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beatriz_bermudez_supersalud_gov_co/Documents/SELECCIÓN ABREVIADA (ACUERDO MARCO)/2023/COMPUTADORES SILVI/"/>
    </mc:Choice>
  </mc:AlternateContent>
  <xr:revisionPtr revIDLastSave="50" documentId="14_{5FBA8B00-4EE9-417F-B442-39D973E667C3}" xr6:coauthVersionLast="47" xr6:coauthVersionMax="47" xr10:uidLastSave="{CAF8D005-30D9-44ED-89A3-073BD4734CA8}"/>
  <bookViews>
    <workbookView minimized="1" xWindow="345" yWindow="555" windowWidth="15810" windowHeight="13320" xr2:uid="{5D5A0FF1-43D3-C848-A544-6DB2E9152CAA}"/>
  </bookViews>
  <sheets>
    <sheet name="SIMULACIÓN" sheetId="1" r:id="rId1"/>
    <sheet name="Hoja1 (3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J23" i="1"/>
  <c r="N25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9" i="1"/>
  <c r="L23" i="1"/>
  <c r="K23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10" i="1"/>
  <c r="J10" i="1"/>
  <c r="K10" i="1"/>
  <c r="K9" i="1"/>
  <c r="J9" i="1"/>
  <c r="I9" i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10" i="3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G16" i="1"/>
  <c r="G17" i="1"/>
  <c r="G16" i="3"/>
  <c r="F11" i="3"/>
  <c r="F12" i="3"/>
  <c r="F13" i="3"/>
  <c r="G13" i="3" s="1"/>
  <c r="F14" i="3"/>
  <c r="G14" i="3" s="1"/>
  <c r="F15" i="3"/>
  <c r="G15" i="3" s="1"/>
  <c r="F16" i="3"/>
  <c r="F17" i="3"/>
  <c r="G17" i="3" s="1"/>
  <c r="F18" i="3"/>
  <c r="G18" i="3" s="1"/>
  <c r="H18" i="3" s="1"/>
  <c r="I18" i="3" s="1"/>
  <c r="K18" i="3" s="1"/>
  <c r="L18" i="3" s="1"/>
  <c r="F19" i="3"/>
  <c r="G19" i="3" s="1"/>
  <c r="H19" i="3" s="1"/>
  <c r="I19" i="3" s="1"/>
  <c r="K19" i="3" s="1"/>
  <c r="L19" i="3" s="1"/>
  <c r="F20" i="3"/>
  <c r="F21" i="3"/>
  <c r="G21" i="3" s="1"/>
  <c r="F22" i="3"/>
  <c r="G22" i="3" s="1"/>
  <c r="F23" i="3"/>
  <c r="G23" i="3" s="1"/>
  <c r="F10" i="3"/>
  <c r="U10" i="3"/>
  <c r="M10" i="3"/>
  <c r="N10" i="3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G20" i="1" s="1"/>
  <c r="E21" i="1"/>
  <c r="F21" i="1" s="1"/>
  <c r="E22" i="1"/>
  <c r="F22" i="1" s="1"/>
  <c r="H16" i="3" l="1"/>
  <c r="I16" i="3" s="1"/>
  <c r="K16" i="3" s="1"/>
  <c r="L16" i="3" s="1"/>
  <c r="G9" i="1"/>
  <c r="G15" i="1"/>
  <c r="G22" i="1"/>
  <c r="G14" i="1"/>
  <c r="G21" i="1"/>
  <c r="G13" i="1"/>
  <c r="G12" i="1"/>
  <c r="G19" i="1"/>
  <c r="G11" i="1"/>
  <c r="G18" i="1"/>
  <c r="G10" i="1"/>
  <c r="H20" i="3"/>
  <c r="I20" i="3" s="1"/>
  <c r="K20" i="3" s="1"/>
  <c r="L20" i="3" s="1"/>
  <c r="G11" i="3"/>
  <c r="H11" i="3" s="1"/>
  <c r="I11" i="3" s="1"/>
  <c r="K11" i="3" s="1"/>
  <c r="L11" i="3" s="1"/>
  <c r="H17" i="3"/>
  <c r="I17" i="3" s="1"/>
  <c r="K17" i="3" s="1"/>
  <c r="L17" i="3" s="1"/>
  <c r="G12" i="3"/>
  <c r="H12" i="3" s="1"/>
  <c r="I12" i="3" s="1"/>
  <c r="K12" i="3" s="1"/>
  <c r="L12" i="3" s="1"/>
  <c r="G10" i="3"/>
  <c r="H10" i="3" s="1"/>
  <c r="I10" i="3" s="1"/>
  <c r="G20" i="3"/>
  <c r="H23" i="3"/>
  <c r="I23" i="3" s="1"/>
  <c r="K23" i="3" s="1"/>
  <c r="L23" i="3" s="1"/>
  <c r="H15" i="3"/>
  <c r="I15" i="3" s="1"/>
  <c r="K15" i="3" s="1"/>
  <c r="L15" i="3" s="1"/>
  <c r="H22" i="3"/>
  <c r="I22" i="3" s="1"/>
  <c r="K22" i="3" s="1"/>
  <c r="L22" i="3" s="1"/>
  <c r="H14" i="3"/>
  <c r="I14" i="3" s="1"/>
  <c r="K14" i="3" s="1"/>
  <c r="L14" i="3" s="1"/>
  <c r="H21" i="3"/>
  <c r="I21" i="3" s="1"/>
  <c r="K21" i="3" s="1"/>
  <c r="L21" i="3" s="1"/>
  <c r="H13" i="3"/>
  <c r="I13" i="3" s="1"/>
  <c r="K13" i="3" s="1"/>
  <c r="L13" i="3" s="1"/>
  <c r="N6" i="3"/>
  <c r="O7" i="3" s="1"/>
  <c r="P7" i="3" s="1"/>
  <c r="N11" i="3" s="1"/>
  <c r="N12" i="3" s="1"/>
  <c r="V10" i="3"/>
  <c r="W10" i="3" s="1"/>
  <c r="K10" i="3" l="1"/>
  <c r="L10" i="3" s="1"/>
  <c r="P10" i="3" s="1"/>
  <c r="Q10" i="3" s="1"/>
  <c r="I24" i="3"/>
  <c r="K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T8" authorId="0" shapeId="0" xr:uid="{5F2B555A-6B2A-483D-BA1C-F2B43456F98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sharedStrings.xml><?xml version="1.0" encoding="utf-8"?>
<sst xmlns="http://schemas.openxmlformats.org/spreadsheetml/2006/main" count="98" uniqueCount="77">
  <si>
    <t>Referencia producto</t>
  </si>
  <si>
    <t>Descripción</t>
  </si>
  <si>
    <t>Costo unitario</t>
  </si>
  <si>
    <t>Cantidad</t>
  </si>
  <si>
    <t>Subtototal</t>
  </si>
  <si>
    <t>Simulación:19684: Compraventa - Nacional Compraventa - LOTE 11 - DESKTOP ESCRITORIO - IMPRESIÓN</t>
  </si>
  <si>
    <t>Proveedor: 804000673. HARDWARE ASESORIAS SOFTWARE LTDA - Consumibles de Impresión II, SUMINISTRO MATERIAL PEDAGOGICO, ETP III</t>
  </si>
  <si>
    <t>Generado: 12/10/2023 19:05</t>
  </si>
  <si>
    <t>ETP-I-15</t>
  </si>
  <si>
    <t>ETP -- ETP -- IMPRESORA LÁSER O LED -- A4 -- MULTIFUNCIONAL -- BLANCO Y NEGRO -- Mínimo 3.000 páginas -- Mínimo 32 ppm -- Zona 1
ETP
IMPRESORA LASER O LED
A4
MULTIFUNCIONAL
BLANCO Y NEGRO
MINIMO 3.000 PAGINAS
MINIMO 32 PPM
ZONA 1</t>
  </si>
  <si>
    <t>ETP-I-16</t>
  </si>
  <si>
    <t>ETP -- ETP -- IMPRESORA LÁSER O LED -- A4 -- MULTIFUNCIONAL -- BLANCO Y NEGRO -- Mínimo 7.000 páginas -- Mínimo 40 ppm -- Zona 1
ETP
IMPRESORA LASER O LED
A4
MULTIFUNCIONAL
BLANCO Y NEGRO
MINIMO 7.000 PAGINAS
MINIMO 40 PPM
ZONA 1</t>
  </si>
  <si>
    <t>ETP-I-17</t>
  </si>
  <si>
    <t>ETP -- ETP -- IMPRESORA LÁSER O LED -- A4 -- MULTIFUNCIONAL -- BLANCO Y NEGRO -- Mínimo 10.000 páginas -- Mínimo 50 ppm -- Zona 1
ETP
IMPRESORA LASER O LED
A4
MULTIFUNCIONAL
BLANCO Y NEGRO
MINIMO 10.000 PAGINAS
MINIMO 50 PPM
ZONA 1</t>
  </si>
  <si>
    <t>ETP-I-22</t>
  </si>
  <si>
    <t>ETP -- ETP -- IMPRESORA LÁSER O LED -- A4 -- MULTIFUNCIONAL -- COLOR -- Mínimo 10.000 páginas -- Mínimo 40 ppm -- Zona 1
ETP
IMPRESORA LASER O LED
A4
MULTIFUNCIONAL
COLOR
MINIMO 10.000 PAGINAS
MINIMO 40 PPM
ZONA 1</t>
  </si>
  <si>
    <t>ETP-I-32</t>
  </si>
  <si>
    <t>ETP -- ETP -- IMPRESORA TÉRMICA DIRECTA/TRANSFERENCIA TÉRMICA -- ETIQUETAS -- 2" -- FIJA - ESCRITORIO -- NA -- NA -- Zona 1
ETP
IMPRESORA TERMICA DIRECTA/TRANSFERENCIA TERMICA
ETIQUETAS
2"
FIJA - ESCRITORIO
NA
NA
ZONA 1</t>
  </si>
  <si>
    <t>ETP-I-58</t>
  </si>
  <si>
    <t>ETP -- ETP -- IMPRESORA LÁSER O LED -- A4 -- MULTIFUNCIONAL -- BLANCO Y NEGRO -- Mínimo 3.000 páginas -- Mínimo 32 ppm -- Zona 2
ETP
IMPRESORA LASER O LED
A4
MULTIFUNCIONAL
BLANCO Y NEGRO
MINIMO 3.000 PAGINAS
MINIMO 32 PPM
ZONA 2</t>
  </si>
  <si>
    <t>ETP-I-75</t>
  </si>
  <si>
    <t>ETP -- ETP -- IMPRESORA TÉRMICA DIRECTA/TRANSFERENCIA TÉRMICA -- ETIQUETAS -- 2" -- FIJA - ESCRITORIO -- NA -- NA -- Zona 2
ETP
IMPRESORA TERMICA DIRECTA/TRANSFERENCIA TERMICA
ETIQUETAS
2"
FIJA - ESCRITORIO
NA
NA
ZONA 2</t>
  </si>
  <si>
    <t>ETP-I-101</t>
  </si>
  <si>
    <t>ETP -- ETP -- IMPRESORA LÁSER O LED -- A4 -- MULTIFUNCIONAL -- BLANCO Y NEGRO -- Mínimo 3.000 páginas -- Mínimo 32 ppm -- Zona 3
ETP
IMPRESORA LASER O LED
A4
MULTIFUNCIONAL
BLANCO Y NEGRO
MINIMO 3.000 PAGINAS
MINIMO 32 PPM
ZONA 3</t>
  </si>
  <si>
    <t>ETP-I-118</t>
  </si>
  <si>
    <t>ETP -- ETP -- IMPRESORA TÉRMICA DIRECTA/TRANSFERENCIA TÉRMICA -- ETIQUETAS -- 2" -- FIJA - ESCRITORIO -- NA -- NA -- Zona 3
ETP
IMPRESORA TERMICA DIRECTA/TRANSFERENCIA TERMICA
ETIQUETAS
2"
FIJA - ESCRITORIO
NA
NA
ZONA 3</t>
  </si>
  <si>
    <t>COMPONENTE-I-141</t>
  </si>
  <si>
    <t>COMPONENTE -- COMPONENTE -- KIT DE MANTENIMIENTO -- NA -- NA -- NA -- NA -- NA -- Todas las zonas
COMPONENTE
KIT DE MANTENIMIENTO
NA
NA
NA
NA
NA
TODAS LAS ZONAS</t>
  </si>
  <si>
    <t>SERVICIO-I-147</t>
  </si>
  <si>
    <t>SERVICIO -- SERVICIO -- Mantenimiento preventivo -- NA -- NA -- NA -- NA -- NA -- Zona 1
SERVICIO
MANTENIMIENTO PREVENTIVO
NA
NA
NA
NA
NA
ZONA 1</t>
  </si>
  <si>
    <t>SERVICIO-I-148</t>
  </si>
  <si>
    <t>SERVICIO -- SERVICIO -- Mantenimiento preventivo -- NA -- NA -- NA -- NA -- NA -- Zona 2
SERVICIO
MANTENIMIENTO PREVENTIVO
NA
NA
NA
NA
NA
ZONA 2</t>
  </si>
  <si>
    <t>SERVICIO-I-149</t>
  </si>
  <si>
    <t>SERVICIO -- SERVICIO -- Mantenimiento preventivo -- NA -- NA -- NA -- NA -- NA -- Zona 3
SERVICIO
MANTENIMIENTO PREVENTIVO
NA
NA
NA
NA
NA
ZONA 3</t>
  </si>
  <si>
    <t>SERVICIO-I-152</t>
  </si>
  <si>
    <t>SERVICIO -- SERVICIO -- Garantía extendida Impresión - 2 años -- NA -- NA -- NA -- NA -- NA -- NA
SERVICIO
GARANTIA EXTENDIDA IMPRESION - 2 ANOS
NA
NA
NA
NA
NA
NA</t>
  </si>
  <si>
    <t>SUBTOTAL</t>
  </si>
  <si>
    <t>IVA</t>
  </si>
  <si>
    <t>TOTAL</t>
  </si>
  <si>
    <t>Cotización 109977</t>
  </si>
  <si>
    <t>804000673 - HARDWARE ASESORIAS SOFTWARE LTDA - Consumibles de Impresión II, SUMINISTRO MATERIAL PEDAGOGICO, ETP III</t>
  </si>
  <si>
    <t>Fecha generación: 12/10/2023 18:22</t>
  </si>
  <si>
    <t>Precio unitario</t>
  </si>
  <si>
    <t>Descuento (%)</t>
  </si>
  <si>
    <t>Valor total  descuento</t>
  </si>
  <si>
    <t>Descuento categoría (%)</t>
  </si>
  <si>
    <t>Valor total descuento categoría</t>
  </si>
  <si>
    <t>IVA (%)</t>
  </si>
  <si>
    <t>Valor total IVA</t>
  </si>
  <si>
    <t>Subtotal antes de IVA</t>
  </si>
  <si>
    <t>ETP -- ETP -- IMPRESORA LÁSER O LED -- A4 -- MULTIFUNCIONAL -- BLANCO Y NEGRO -- Mínimo 3.000 páginas -- Mínimo 32 ppm -- Zona 1
ETP - IMPRESORA LASER O LED - A4 - MULTIFUNCIONAL - BLANCO Y NEGRO - MINIMO 3.000 PAGINAS - MINIMO 32 PPM - ZONA 1</t>
  </si>
  <si>
    <t>ETP -- ETP -- IMPRESORA LÁSER O LED -- A4 -- MULTIFUNCIONAL -- BLANCO Y NEGRO -- Mínimo 7.000 páginas -- Mínimo 40 ppm -- Zona 1
ETP - IMPRESORA LASER O LED - A4 - MULTIFUNCIONAL - BLANCO Y NEGRO - MINIMO 7.000 PAGINAS - MINIMO 40 PPM - ZONA 1</t>
  </si>
  <si>
    <t>ETP -- ETP -- IMPRESORA LÁSER O LED -- A4 -- MULTIFUNCIONAL -- BLANCO Y NEGRO -- Mínimo 10.000 páginas -- Mínimo 50 ppm -- Zona 1
ETP - IMPRESORA LASER O LED - A4 - MULTIFUNCIONAL - BLANCO Y NEGRO - MINIMO 10.000 PAGINAS - MINIMO 50 PPM - ZONA 1</t>
  </si>
  <si>
    <t>ETP -- ETP -- IMPRESORA LÁSER O LED -- A4 -- MULTIFUNCIONAL -- COLOR -- Mínimo 10.000 páginas -- Mínimo 40 ppm -- Zona 1
ETP - IMPRESORA LASER O LED - A4 - MULTIFUNCIONAL - COLOR - MINIMO 10.000 PAGINAS - MINIMO 40 PPM - ZONA 1</t>
  </si>
  <si>
    <t>ETP -- ETP -- IMPRESORA TÉRMICA DIRECTA/TRANSFERENCIA TÉRMICA -- ETIQUETAS -- 2" -- FIJA - ESCRITORIO -- NA -- NA -- Zona 1
ETP - IMPRESORA TERMICA DIRECTA/TRANSFERENCIA TERMICA - ETIQUETAS - 2" - FIJA - ESCRITORIO - NA - NA - ZONA 1</t>
  </si>
  <si>
    <t>ETP -- ETP -- IMPRESORA LÁSER O LED -- A4 -- MULTIFUNCIONAL -- BLANCO Y NEGRO -- Mínimo 3.000 páginas -- Mínimo 32 ppm -- Zona 2
ETP - IMPRESORA LASER O LED - A4 - MULTIFUNCIONAL - BLANCO Y NEGRO - MINIMO 3.000 PAGINAS - MINIMO 32 PPM - ZONA 2</t>
  </si>
  <si>
    <t>ETP -- ETP -- IMPRESORA TÉRMICA DIRECTA/TRANSFERENCIA TÉRMICA -- ETIQUETAS -- 2" -- FIJA - ESCRITORIO -- NA -- NA -- Zona 2
ETP - IMPRESORA TERMICA DIRECTA/TRANSFERENCIA TERMICA - ETIQUETAS - 2" - FIJA - ESCRITORIO - NA - NA - ZONA 2</t>
  </si>
  <si>
    <t>ETP -- ETP -- IMPRESORA LÁSER O LED -- A4 -- MULTIFUNCIONAL -- BLANCO Y NEGRO -- Mínimo 3.000 páginas -- Mínimo 32 ppm -- Zona 3
ETP - IMPRESORA LASER O LED - A4 - MULTIFUNCIONAL - BLANCO Y NEGRO - MINIMO 3.000 PAGINAS - MINIMO 32 PPM - ZONA 3</t>
  </si>
  <si>
    <t>ETP -- ETP -- IMPRESORA TÉRMICA DIRECTA/TRANSFERENCIA TÉRMICA -- ETIQUETAS -- 2" -- FIJA - ESCRITORIO -- NA -- NA -- Zona 3
ETP - IMPRESORA TERMICA DIRECTA/TRANSFERENCIA TERMICA - ETIQUETAS - 2" - FIJA - ESCRITORIO - NA - NA - ZONA 3</t>
  </si>
  <si>
    <t>COMPONENTE -- COMPONENTE -- KIT DE MANTENIMIENTO -- NA -- NA -- NA -- NA -- NA -- Todas las zonas
COMPONENTE - KIT DE MANTENIMIENTO - NA - NA - NA - NA - NA - TODAS LAS ZONAS</t>
  </si>
  <si>
    <t>SERVICIO -- SERVICIO -- Mantenimiento preventivo -- NA -- NA -- NA -- NA -- NA -- Zona 1
SERVICIO - MANTENIMIENTO PREVENTIVO - NA - NA - NA - NA - NA - ZONA 1</t>
  </si>
  <si>
    <t>SERVICIO -- SERVICIO -- Mantenimiento preventivo -- NA -- NA -- NA -- NA -- NA -- Zona 2
SERVICIO - MANTENIMIENTO PREVENTIVO - NA - NA - NA - NA - NA - ZONA 2</t>
  </si>
  <si>
    <t>SERVICIO -- SERVICIO -- Mantenimiento preventivo -- NA -- NA -- NA -- NA -- NA -- Zona 3
SERVICIO - MANTENIMIENTO PREVENTIVO - NA - NA - NA - NA - NA - ZONA 3</t>
  </si>
  <si>
    <t>SERVICIO -- SERVICIO -- Garantía extendida Impresión - 2 años -- NA -- NA -- NA -- NA -- NA -- NA
SERVICIO - GARANTIA EXTENDIDA IMPRESION - 2 ANOS - NA - NA - NA - NA - NA - NA</t>
  </si>
  <si>
    <t>DESCUENTO</t>
  </si>
  <si>
    <t xml:space="preserve">DESCUENTO VALOR </t>
  </si>
  <si>
    <t>VR TOTAL</t>
  </si>
  <si>
    <t>IVA UNIT</t>
  </si>
  <si>
    <t>VR UNIT CON DCTO (SUBTOTAL)</t>
  </si>
  <si>
    <t>VR UNIT IVA INCLUIDO (TOTAL UNIT)</t>
  </si>
  <si>
    <t>VR TOTAL CON IVA</t>
  </si>
  <si>
    <t>SIMULADOR</t>
  </si>
  <si>
    <t>VR UNIT</t>
  </si>
  <si>
    <t>COTIZACIÓN</t>
  </si>
  <si>
    <t>VERIFICACIÓN SIMULADOR VS COTIZACIÓN</t>
  </si>
  <si>
    <t xml:space="preserve"> VR UNIT VS COTIZACIÓN</t>
  </si>
  <si>
    <t xml:space="preserve"> VR TOTAL VS COTIZACIÓN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</si>
</sst>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00000%"/>
  </numFmts>
  <fonts count="8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51">
    <xf numFmtId="0" fontId="0" fillId="0" borderId="0" xfId="0"/>
    <xf numFmtId="4" fontId="0" fillId="0" borderId="0" xfId="0" applyNumberFormat="1"/>
    <xf numFmtId="4" fontId="5" fillId="0" borderId="0" xfId="0" applyNumberFormat="1" applyFont="1"/>
    <xf numFmtId="0" fontId="4" fillId="3" borderId="0" xfId="1"/>
    <xf numFmtId="44" fontId="4" fillId="3" borderId="0" xfId="1" applyNumberFormat="1"/>
    <xf numFmtId="4" fontId="4" fillId="3" borderId="0" xfId="1" applyNumberFormat="1"/>
    <xf numFmtId="10" fontId="4" fillId="3" borderId="0" xfId="1" applyNumberFormat="1"/>
    <xf numFmtId="9" fontId="4" fillId="3" borderId="0" xfId="1" applyNumberFormat="1"/>
    <xf numFmtId="164" fontId="4" fillId="3" borderId="0" xfId="1" applyNumberFormat="1"/>
    <xf numFmtId="0" fontId="2" fillId="2" borderId="0" xfId="1" applyFont="1" applyFill="1" applyAlignment="1">
      <alignment wrapText="1"/>
    </xf>
    <xf numFmtId="4" fontId="2" fillId="2" borderId="0" xfId="1" applyNumberFormat="1" applyFont="1" applyFill="1" applyAlignment="1">
      <alignment wrapText="1"/>
    </xf>
    <xf numFmtId="0" fontId="4" fillId="3" borderId="0" xfId="1" applyAlignment="1">
      <alignment wrapText="1"/>
    </xf>
    <xf numFmtId="44" fontId="4" fillId="3" borderId="0" xfId="1" applyNumberFormat="1" applyAlignment="1">
      <alignment wrapText="1"/>
    </xf>
    <xf numFmtId="4" fontId="5" fillId="3" borderId="0" xfId="1" applyNumberFormat="1" applyFont="1"/>
    <xf numFmtId="0" fontId="0" fillId="0" borderId="1" xfId="0" applyBorder="1"/>
    <xf numFmtId="0" fontId="5" fillId="0" borderId="1" xfId="0" applyFont="1" applyBorder="1"/>
    <xf numFmtId="4" fontId="0" fillId="0" borderId="1" xfId="0" applyNumberFormat="1" applyBorder="1"/>
    <xf numFmtId="4" fontId="5" fillId="0" borderId="1" xfId="0" applyNumberFormat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" fontId="0" fillId="0" borderId="1" xfId="0" applyNumberFormat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7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wrapText="1"/>
    </xf>
    <xf numFmtId="4" fontId="0" fillId="8" borderId="1" xfId="0" applyNumberForma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3" borderId="0" xfId="1" applyAlignment="1">
      <alignment horizontal="center"/>
    </xf>
    <xf numFmtId="0" fontId="1" fillId="3" borderId="0" xfId="1" applyFont="1" applyAlignment="1">
      <alignment horizontal="center"/>
    </xf>
    <xf numFmtId="4" fontId="1" fillId="3" borderId="0" xfId="1" applyNumberFormat="1" applyFont="1" applyAlignment="1">
      <alignment horizontal="center"/>
    </xf>
    <xf numFmtId="4" fontId="3" fillId="3" borderId="0" xfId="1" applyNumberFormat="1" applyFont="1" applyAlignment="1">
      <alignment horizontal="center"/>
    </xf>
    <xf numFmtId="4" fontId="4" fillId="3" borderId="0" xfId="1" applyNumberFormat="1" applyAlignment="1">
      <alignment horizontal="center"/>
    </xf>
    <xf numFmtId="0" fontId="0" fillId="9" borderId="1" xfId="0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4" fontId="0" fillId="9" borderId="1" xfId="0" applyNumberFormat="1" applyFill="1" applyBorder="1" applyAlignment="1">
      <alignment vertical="center"/>
    </xf>
    <xf numFmtId="4" fontId="5" fillId="9" borderId="1" xfId="0" applyNumberFormat="1" applyFont="1" applyFill="1" applyBorder="1" applyAlignment="1">
      <alignment vertical="center"/>
    </xf>
    <xf numFmtId="0" fontId="0" fillId="9" borderId="0" xfId="0" applyFill="1"/>
  </cellXfs>
  <cellStyles count="2">
    <cellStyle name="Normal" xfId="0" builtinId="0"/>
    <cellStyle name="Normal 2" xfId="1" xr:uid="{A5479F9B-E3F9-4AA6-BAA4-6677ABF6A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1</xdr:col>
      <xdr:colOff>965200</xdr:colOff>
      <xdr:row>4</xdr:row>
      <xdr:rowOff>202406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3C104-3CAF-D74B-BBDF-DD9F74BB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E74DF-709B-4159-9CD8-164142AC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2B3F-DBA3-B54D-B108-4AD49329EAA3}">
  <dimension ref="A1:N27"/>
  <sheetViews>
    <sheetView tabSelected="1" topLeftCell="C17" zoomScale="55" zoomScaleNormal="55" workbookViewId="0">
      <selection activeCell="D25" sqref="D25"/>
    </sheetView>
  </sheetViews>
  <sheetFormatPr baseColWidth="10" defaultRowHeight="15.75" x14ac:dyDescent="0.25"/>
  <cols>
    <col min="1" max="1" width="5" customWidth="1"/>
    <col min="2" max="2" width="55.875" customWidth="1"/>
    <col min="3" max="3" width="13.75" style="1" customWidth="1"/>
    <col min="4" max="4" width="9.875" bestFit="1" customWidth="1"/>
    <col min="5" max="5" width="14.25" customWidth="1"/>
    <col min="6" max="6" width="14" style="1" customWidth="1"/>
    <col min="7" max="7" width="20" style="2" customWidth="1"/>
    <col min="8" max="8" width="18.75" customWidth="1"/>
    <col min="9" max="9" width="19.375" customWidth="1"/>
    <col min="10" max="10" width="19.125" customWidth="1"/>
    <col min="11" max="11" width="21.625" customWidth="1"/>
    <col min="12" max="12" width="11" style="18" customWidth="1"/>
    <col min="13" max="13" width="15.75" customWidth="1"/>
    <col min="14" max="14" width="27.875" customWidth="1"/>
  </cols>
  <sheetData>
    <row r="1" spans="1:13" ht="26.25" x14ac:dyDescent="0.4">
      <c r="A1" s="36"/>
      <c r="B1" s="37" t="s">
        <v>5</v>
      </c>
      <c r="C1" s="37"/>
      <c r="D1" s="37"/>
      <c r="E1" s="37"/>
      <c r="F1" s="16"/>
      <c r="G1" s="17"/>
      <c r="H1" s="14"/>
      <c r="I1" s="14"/>
      <c r="J1" s="14"/>
      <c r="K1" s="14"/>
      <c r="L1" s="19"/>
      <c r="M1" s="14"/>
    </row>
    <row r="2" spans="1:13" ht="21" x14ac:dyDescent="0.35">
      <c r="A2" s="36"/>
      <c r="B2" s="38" t="s">
        <v>6</v>
      </c>
      <c r="C2" s="38"/>
      <c r="D2" s="38"/>
      <c r="E2" s="38"/>
      <c r="F2" s="16"/>
      <c r="G2" s="17"/>
      <c r="H2" s="14"/>
      <c r="I2" s="14"/>
      <c r="J2" s="14"/>
      <c r="K2" s="14"/>
      <c r="L2" s="19"/>
      <c r="M2" s="14"/>
    </row>
    <row r="3" spans="1:13" x14ac:dyDescent="0.25">
      <c r="A3" s="36"/>
      <c r="B3" s="36" t="s">
        <v>7</v>
      </c>
      <c r="C3" s="36"/>
      <c r="D3" s="36"/>
      <c r="E3" s="36"/>
      <c r="F3" s="16"/>
      <c r="G3" s="17"/>
      <c r="H3" s="14"/>
      <c r="I3" s="14"/>
      <c r="J3" s="14"/>
      <c r="K3" s="14"/>
      <c r="L3" s="19"/>
      <c r="M3" s="14"/>
    </row>
    <row r="4" spans="1:13" x14ac:dyDescent="0.25">
      <c r="A4" s="36"/>
      <c r="B4" s="36"/>
      <c r="C4" s="36"/>
      <c r="D4" s="36"/>
      <c r="E4" s="36"/>
      <c r="F4" s="16"/>
      <c r="G4" s="17"/>
      <c r="H4" s="14"/>
      <c r="I4" s="14"/>
      <c r="J4" s="14"/>
      <c r="K4" s="14"/>
      <c r="L4" s="19"/>
      <c r="M4" s="14"/>
    </row>
    <row r="5" spans="1:13" x14ac:dyDescent="0.25">
      <c r="A5" s="36"/>
      <c r="B5" s="36"/>
      <c r="C5" s="36"/>
      <c r="D5" s="36"/>
      <c r="E5" s="36"/>
      <c r="F5" s="16"/>
      <c r="G5" s="17"/>
      <c r="H5" s="14"/>
      <c r="I5" s="14"/>
      <c r="J5" s="14"/>
      <c r="K5" s="14"/>
      <c r="L5" s="19"/>
      <c r="M5" s="14"/>
    </row>
    <row r="6" spans="1:13" ht="30.75" customHeight="1" x14ac:dyDescent="0.25">
      <c r="A6" s="36"/>
      <c r="B6" s="39" t="s">
        <v>71</v>
      </c>
      <c r="C6" s="39"/>
      <c r="D6" s="39"/>
      <c r="E6" s="39"/>
      <c r="F6" s="39"/>
      <c r="G6" s="39"/>
      <c r="H6" s="34" t="s">
        <v>73</v>
      </c>
      <c r="I6" s="34"/>
      <c r="J6" s="34"/>
      <c r="K6" s="34"/>
      <c r="L6" s="35" t="s">
        <v>74</v>
      </c>
      <c r="M6" s="35"/>
    </row>
    <row r="7" spans="1:13" x14ac:dyDescent="0.25">
      <c r="A7" s="14"/>
      <c r="B7" s="14"/>
      <c r="C7" s="16"/>
      <c r="D7" s="14"/>
      <c r="E7" s="14"/>
      <c r="F7" s="16"/>
      <c r="G7" s="17"/>
      <c r="H7" s="14"/>
      <c r="I7" s="14"/>
      <c r="J7" s="14"/>
      <c r="K7" s="14"/>
      <c r="L7" s="19"/>
      <c r="M7" s="14"/>
    </row>
    <row r="8" spans="1:13" ht="48" x14ac:dyDescent="0.3">
      <c r="A8" s="22" t="s">
        <v>0</v>
      </c>
      <c r="B8" s="22" t="s">
        <v>1</v>
      </c>
      <c r="C8" s="32" t="s">
        <v>2</v>
      </c>
      <c r="D8" s="22" t="s">
        <v>3</v>
      </c>
      <c r="E8" s="22" t="s">
        <v>4</v>
      </c>
      <c r="F8" s="17" t="s">
        <v>37</v>
      </c>
      <c r="G8" s="16" t="s">
        <v>38</v>
      </c>
      <c r="H8" s="14" t="s">
        <v>72</v>
      </c>
      <c r="I8" s="14" t="s">
        <v>36</v>
      </c>
      <c r="J8" s="14" t="s">
        <v>37</v>
      </c>
      <c r="K8" s="15" t="s">
        <v>38</v>
      </c>
      <c r="L8" s="20" t="s">
        <v>75</v>
      </c>
      <c r="M8" s="20" t="s">
        <v>76</v>
      </c>
    </row>
    <row r="9" spans="1:13" ht="159.75" customHeight="1" x14ac:dyDescent="0.25">
      <c r="A9" s="23" t="s">
        <v>8</v>
      </c>
      <c r="B9" s="23" t="s">
        <v>9</v>
      </c>
      <c r="C9" s="25">
        <v>1444985.12</v>
      </c>
      <c r="D9" s="29">
        <v>32</v>
      </c>
      <c r="E9" s="25">
        <f>+C9*D9</f>
        <v>46239523.840000004</v>
      </c>
      <c r="F9" s="26">
        <f>+E9*19%</f>
        <v>8785509.5296</v>
      </c>
      <c r="G9" s="27">
        <f t="shared" ref="G9:G22" si="0">+E9+F9</f>
        <v>55025033.369600005</v>
      </c>
      <c r="H9" s="26">
        <f>+VLOOKUP($A9,'Hoja1 (3)'!$A$10:$K$23,3,FALSE)</f>
        <v>1444985.12</v>
      </c>
      <c r="I9" s="26">
        <f>+VLOOKUP($A9,'Hoja1 (3)'!$A$10:$K$23,11,FALSE)</f>
        <v>44800000</v>
      </c>
      <c r="J9" s="26">
        <f>+VLOOKUP($A9,'Hoja1 (3)'!$A$10:$K$23,10,FALSE)</f>
        <v>8512000</v>
      </c>
      <c r="K9" s="27">
        <f>+VLOOKUP($A9,'Hoja1 (3)'!$A$10:$K$23,9,FALSE)</f>
        <v>53312000</v>
      </c>
      <c r="L9" s="25">
        <f>+C9-H9</f>
        <v>0</v>
      </c>
      <c r="M9" s="26">
        <f>+G9-K9</f>
        <v>1713033.3696000054</v>
      </c>
    </row>
    <row r="10" spans="1:13" ht="173.25" x14ac:dyDescent="0.25">
      <c r="A10" s="24" t="s">
        <v>10</v>
      </c>
      <c r="B10" s="24" t="s">
        <v>11</v>
      </c>
      <c r="C10" s="31">
        <v>2434485.7999999998</v>
      </c>
      <c r="D10" s="30">
        <v>8</v>
      </c>
      <c r="E10" s="25">
        <f t="shared" ref="E10:E22" si="1">+C10*D10</f>
        <v>19475886.399999999</v>
      </c>
      <c r="F10" s="26">
        <f t="shared" ref="F10:F22" si="2">+E10*19%</f>
        <v>3700418.4159999997</v>
      </c>
      <c r="G10" s="27">
        <f t="shared" si="0"/>
        <v>23176304.816</v>
      </c>
      <c r="H10" s="26">
        <f>+VLOOKUP(A10,'Hoja1 (3)'!$A$10:$K$23,3,FALSE)</f>
        <v>2434485.7999999998</v>
      </c>
      <c r="I10" s="26">
        <f>+VLOOKUP($A10,'Hoja1 (3)'!$A$10:$K$23,11,FALSE)</f>
        <v>15480000.000000004</v>
      </c>
      <c r="J10" s="26">
        <f>+VLOOKUP($A10,'Hoja1 (3)'!$A$10:$K$23,10,FALSE)</f>
        <v>2941200.0000000009</v>
      </c>
      <c r="K10" s="27">
        <f>+VLOOKUP($A10,'Hoja1 (3)'!$A$10:$K$23,9,FALSE)</f>
        <v>18421200.000000004</v>
      </c>
      <c r="L10" s="25">
        <f t="shared" ref="L10:L22" si="3">+C10-H10</f>
        <v>0</v>
      </c>
      <c r="M10" s="26">
        <f t="shared" ref="M10:M22" si="4">+G10-K10</f>
        <v>4755104.8159999959</v>
      </c>
    </row>
    <row r="11" spans="1:13" ht="173.25" x14ac:dyDescent="0.25">
      <c r="A11" s="23" t="s">
        <v>12</v>
      </c>
      <c r="B11" s="23" t="s">
        <v>13</v>
      </c>
      <c r="C11" s="25">
        <v>5155612.67</v>
      </c>
      <c r="D11" s="29">
        <v>2</v>
      </c>
      <c r="E11" s="25">
        <f t="shared" si="1"/>
        <v>10311225.34</v>
      </c>
      <c r="F11" s="26">
        <f t="shared" si="2"/>
        <v>1959132.8145999999</v>
      </c>
      <c r="G11" s="27">
        <f t="shared" si="0"/>
        <v>12270358.1546</v>
      </c>
      <c r="H11" s="26">
        <f>+VLOOKUP(A11,'Hoja1 (3)'!$A$10:$K$23,3,FALSE)</f>
        <v>5155612.67</v>
      </c>
      <c r="I11" s="26">
        <f>+VLOOKUP($A11,'Hoja1 (3)'!$A$10:$K$23,11,FALSE)</f>
        <v>7400000</v>
      </c>
      <c r="J11" s="26">
        <f>+VLOOKUP($A11,'Hoja1 (3)'!$A$10:$K$23,10,FALSE)</f>
        <v>1406000</v>
      </c>
      <c r="K11" s="27">
        <f>+VLOOKUP($A11,'Hoja1 (3)'!$A$10:$K$23,9,FALSE)</f>
        <v>8806000</v>
      </c>
      <c r="L11" s="25">
        <f t="shared" si="3"/>
        <v>0</v>
      </c>
      <c r="M11" s="26">
        <f t="shared" si="4"/>
        <v>3464358.1546</v>
      </c>
    </row>
    <row r="12" spans="1:13" ht="157.5" x14ac:dyDescent="0.25">
      <c r="A12" s="24" t="s">
        <v>14</v>
      </c>
      <c r="B12" s="24" t="s">
        <v>15</v>
      </c>
      <c r="C12" s="31">
        <v>3777379.58</v>
      </c>
      <c r="D12" s="30">
        <v>3</v>
      </c>
      <c r="E12" s="25">
        <f t="shared" si="1"/>
        <v>11332138.74</v>
      </c>
      <c r="F12" s="26">
        <f t="shared" si="2"/>
        <v>2153106.3606000002</v>
      </c>
      <c r="G12" s="27">
        <f t="shared" si="0"/>
        <v>13485245.1006</v>
      </c>
      <c r="H12" s="26">
        <f>+VLOOKUP(A12,'Hoja1 (3)'!$A$10:$K$23,3,FALSE)</f>
        <v>3777379.58</v>
      </c>
      <c r="I12" s="26">
        <f>+VLOOKUP($A12,'Hoja1 (3)'!$A$10:$K$23,11,FALSE)</f>
        <v>11332138.74</v>
      </c>
      <c r="J12" s="26">
        <f>+VLOOKUP($A12,'Hoja1 (3)'!$A$10:$K$23,10,FALSE)</f>
        <v>2153106.3606000002</v>
      </c>
      <c r="K12" s="27">
        <f>+VLOOKUP($A12,'Hoja1 (3)'!$A$10:$K$23,9,FALSE)</f>
        <v>13485245.1006</v>
      </c>
      <c r="L12" s="25">
        <f t="shared" si="3"/>
        <v>0</v>
      </c>
      <c r="M12" s="26">
        <f t="shared" si="4"/>
        <v>0</v>
      </c>
    </row>
    <row r="13" spans="1:13" ht="157.5" customHeight="1" x14ac:dyDescent="0.25">
      <c r="A13" s="23" t="s">
        <v>16</v>
      </c>
      <c r="B13" s="23" t="s">
        <v>17</v>
      </c>
      <c r="C13" s="25">
        <v>1197609.95</v>
      </c>
      <c r="D13" s="29">
        <v>13</v>
      </c>
      <c r="E13" s="25">
        <f t="shared" si="1"/>
        <v>15568929.35</v>
      </c>
      <c r="F13" s="26">
        <f t="shared" si="2"/>
        <v>2958096.5765</v>
      </c>
      <c r="G13" s="27">
        <f t="shared" si="0"/>
        <v>18527025.9265</v>
      </c>
      <c r="H13" s="26">
        <f>+VLOOKUP(A13,'Hoja1 (3)'!$A$10:$K$23,3,FALSE)</f>
        <v>1197609.95</v>
      </c>
      <c r="I13" s="26">
        <f>+VLOOKUP($A13,'Hoja1 (3)'!$A$10:$K$23,11,FALSE)</f>
        <v>9977252.9999999907</v>
      </c>
      <c r="J13" s="26">
        <f>+VLOOKUP($A13,'Hoja1 (3)'!$A$10:$K$23,10,FALSE)</f>
        <v>1895678.0699999982</v>
      </c>
      <c r="K13" s="27">
        <f>+VLOOKUP($A13,'Hoja1 (3)'!$A$10:$K$23,9,FALSE)</f>
        <v>11872931.069999989</v>
      </c>
      <c r="L13" s="25">
        <f t="shared" si="3"/>
        <v>0</v>
      </c>
      <c r="M13" s="26">
        <f t="shared" si="4"/>
        <v>6654094.8565000109</v>
      </c>
    </row>
    <row r="14" spans="1:13" ht="164.25" customHeight="1" x14ac:dyDescent="0.25">
      <c r="A14" s="24" t="s">
        <v>18</v>
      </c>
      <c r="B14" s="24" t="s">
        <v>19</v>
      </c>
      <c r="C14" s="31">
        <v>1441058.53</v>
      </c>
      <c r="D14" s="30">
        <v>2</v>
      </c>
      <c r="E14" s="25">
        <f t="shared" si="1"/>
        <v>2882117.06</v>
      </c>
      <c r="F14" s="26">
        <f t="shared" si="2"/>
        <v>547602.24140000006</v>
      </c>
      <c r="G14" s="27">
        <f t="shared" si="0"/>
        <v>3429719.3014000002</v>
      </c>
      <c r="H14" s="26">
        <f>+VLOOKUP(A14,'Hoja1 (3)'!$A$10:$K$23,3,FALSE)</f>
        <v>1441058.53</v>
      </c>
      <c r="I14" s="26">
        <f>+VLOOKUP($A14,'Hoja1 (3)'!$A$10:$K$23,11,FALSE)</f>
        <v>2800000</v>
      </c>
      <c r="J14" s="26">
        <f>+VLOOKUP($A14,'Hoja1 (3)'!$A$10:$K$23,10,FALSE)</f>
        <v>532000</v>
      </c>
      <c r="K14" s="27">
        <f>+VLOOKUP($A14,'Hoja1 (3)'!$A$10:$K$23,9,FALSE)</f>
        <v>3332000</v>
      </c>
      <c r="L14" s="25">
        <f t="shared" si="3"/>
        <v>0</v>
      </c>
      <c r="M14" s="26">
        <f t="shared" si="4"/>
        <v>97719.301400000229</v>
      </c>
    </row>
    <row r="15" spans="1:13" ht="159.75" customHeight="1" x14ac:dyDescent="0.25">
      <c r="A15" s="23" t="s">
        <v>20</v>
      </c>
      <c r="B15" s="23" t="s">
        <v>21</v>
      </c>
      <c r="C15" s="25">
        <v>1197609.95</v>
      </c>
      <c r="D15" s="29">
        <v>2</v>
      </c>
      <c r="E15" s="25">
        <f t="shared" si="1"/>
        <v>2395219.9</v>
      </c>
      <c r="F15" s="26">
        <f t="shared" si="2"/>
        <v>455091.78099999996</v>
      </c>
      <c r="G15" s="27">
        <f t="shared" si="0"/>
        <v>2850311.6809999999</v>
      </c>
      <c r="H15" s="26">
        <f>+VLOOKUP(A15,'Hoja1 (3)'!$A$10:$K$23,3,FALSE)</f>
        <v>1197609.95</v>
      </c>
      <c r="I15" s="26">
        <f>+VLOOKUP($A15,'Hoja1 (3)'!$A$10:$K$23,11,FALSE)</f>
        <v>1534961.9999999988</v>
      </c>
      <c r="J15" s="26">
        <f>+VLOOKUP($A15,'Hoja1 (3)'!$A$10:$K$23,10,FALSE)</f>
        <v>291642.7799999998</v>
      </c>
      <c r="K15" s="27">
        <f>+VLOOKUP($A15,'Hoja1 (3)'!$A$10:$K$23,9,FALSE)</f>
        <v>1826604.7799999984</v>
      </c>
      <c r="L15" s="25">
        <f t="shared" si="3"/>
        <v>0</v>
      </c>
      <c r="M15" s="26">
        <f t="shared" si="4"/>
        <v>1023706.9010000015</v>
      </c>
    </row>
    <row r="16" spans="1:13" ht="173.25" x14ac:dyDescent="0.25">
      <c r="A16" s="24" t="s">
        <v>22</v>
      </c>
      <c r="B16" s="24" t="s">
        <v>23</v>
      </c>
      <c r="C16" s="31">
        <v>1441058.53</v>
      </c>
      <c r="D16" s="30">
        <v>2</v>
      </c>
      <c r="E16" s="25">
        <f t="shared" si="1"/>
        <v>2882117.06</v>
      </c>
      <c r="F16" s="26">
        <f t="shared" si="2"/>
        <v>547602.24140000006</v>
      </c>
      <c r="G16" s="27">
        <f t="shared" si="0"/>
        <v>3429719.3014000002</v>
      </c>
      <c r="H16" s="26">
        <f>+VLOOKUP(A16,'Hoja1 (3)'!$A$10:$K$23,3,FALSE)</f>
        <v>1441058.53</v>
      </c>
      <c r="I16" s="26">
        <f>+VLOOKUP($A16,'Hoja1 (3)'!$A$10:$K$23,11,FALSE)</f>
        <v>2800000</v>
      </c>
      <c r="J16" s="26">
        <f>+VLOOKUP($A16,'Hoja1 (3)'!$A$10:$K$23,10,FALSE)</f>
        <v>532000</v>
      </c>
      <c r="K16" s="27">
        <f>+VLOOKUP($A16,'Hoja1 (3)'!$A$10:$K$23,9,FALSE)</f>
        <v>3332000</v>
      </c>
      <c r="L16" s="25">
        <f t="shared" si="3"/>
        <v>0</v>
      </c>
      <c r="M16" s="26">
        <f t="shared" si="4"/>
        <v>97719.301400000229</v>
      </c>
    </row>
    <row r="17" spans="1:14" ht="162.75" customHeight="1" x14ac:dyDescent="0.25">
      <c r="A17" s="23" t="s">
        <v>24</v>
      </c>
      <c r="B17" s="23" t="s">
        <v>25</v>
      </c>
      <c r="C17" s="25">
        <v>1197609.95</v>
      </c>
      <c r="D17" s="29">
        <v>2</v>
      </c>
      <c r="E17" s="25">
        <f t="shared" si="1"/>
        <v>2395219.9</v>
      </c>
      <c r="F17" s="26">
        <f t="shared" si="2"/>
        <v>455091.78099999996</v>
      </c>
      <c r="G17" s="27">
        <f t="shared" si="0"/>
        <v>2850311.6809999999</v>
      </c>
      <c r="H17" s="26">
        <f>+VLOOKUP(A17,'Hoja1 (3)'!$A$10:$K$23,3,FALSE)</f>
        <v>1197609.95</v>
      </c>
      <c r="I17" s="26">
        <f>+VLOOKUP($A17,'Hoja1 (3)'!$A$10:$K$23,11,FALSE)</f>
        <v>1534961.9999999988</v>
      </c>
      <c r="J17" s="26">
        <f>+VLOOKUP($A17,'Hoja1 (3)'!$A$10:$K$23,10,FALSE)</f>
        <v>291642.7799999998</v>
      </c>
      <c r="K17" s="27">
        <f>+VLOOKUP($A17,'Hoja1 (3)'!$A$10:$K$23,9,FALSE)</f>
        <v>1826604.7799999984</v>
      </c>
      <c r="L17" s="25">
        <f t="shared" si="3"/>
        <v>0</v>
      </c>
      <c r="M17" s="26">
        <f t="shared" si="4"/>
        <v>1023706.9010000015</v>
      </c>
    </row>
    <row r="18" spans="1:14" s="50" customFormat="1" ht="157.5" x14ac:dyDescent="0.25">
      <c r="A18" s="45" t="s">
        <v>26</v>
      </c>
      <c r="B18" s="45" t="s">
        <v>27</v>
      </c>
      <c r="C18" s="46">
        <v>3455399.2</v>
      </c>
      <c r="D18" s="47">
        <v>66</v>
      </c>
      <c r="E18" s="46">
        <f t="shared" si="1"/>
        <v>228056347.20000002</v>
      </c>
      <c r="F18" s="48">
        <f t="shared" si="2"/>
        <v>43330705.968000002</v>
      </c>
      <c r="G18" s="49">
        <f t="shared" si="0"/>
        <v>271387053.16800004</v>
      </c>
      <c r="H18" s="48">
        <f>+VLOOKUP(A18,'Hoja1 (3)'!$A$10:$K$23,3,FALSE)</f>
        <v>3455399.2</v>
      </c>
      <c r="I18" s="48">
        <f>+VLOOKUP($A18,'Hoja1 (3)'!$A$10:$K$23,11,FALSE)</f>
        <v>0</v>
      </c>
      <c r="J18" s="48">
        <f>+VLOOKUP($A18,'Hoja1 (3)'!$A$10:$K$23,10,FALSE)</f>
        <v>0</v>
      </c>
      <c r="K18" s="49">
        <f>+VLOOKUP($A18,'Hoja1 (3)'!$A$10:$K$23,9,FALSE)</f>
        <v>0</v>
      </c>
      <c r="L18" s="46">
        <f t="shared" si="3"/>
        <v>0</v>
      </c>
      <c r="M18" s="48">
        <f t="shared" si="4"/>
        <v>271387053.16800004</v>
      </c>
    </row>
    <row r="19" spans="1:14" ht="157.5" x14ac:dyDescent="0.25">
      <c r="A19" s="23" t="s">
        <v>28</v>
      </c>
      <c r="B19" s="23" t="s">
        <v>29</v>
      </c>
      <c r="C19" s="25">
        <v>395920</v>
      </c>
      <c r="D19" s="29">
        <v>174</v>
      </c>
      <c r="E19" s="33">
        <f t="shared" si="1"/>
        <v>68890080</v>
      </c>
      <c r="F19" s="26">
        <f t="shared" si="2"/>
        <v>13089115.199999999</v>
      </c>
      <c r="G19" s="27">
        <f t="shared" si="0"/>
        <v>81979195.200000003</v>
      </c>
      <c r="H19" s="26">
        <f>+VLOOKUP(A19,'Hoja1 (3)'!$A$10:$K$23,3,FALSE)</f>
        <v>395920</v>
      </c>
      <c r="I19" s="26">
        <f>+VLOOKUP($A19,'Hoja1 (3)'!$A$10:$K$23,11,FALSE)</f>
        <v>2610000</v>
      </c>
      <c r="J19" s="26">
        <f>+VLOOKUP($A19,'Hoja1 (3)'!$A$10:$K$23,10,FALSE)</f>
        <v>495900</v>
      </c>
      <c r="K19" s="27">
        <f>+VLOOKUP($A19,'Hoja1 (3)'!$A$10:$K$23,9,FALSE)</f>
        <v>3105900</v>
      </c>
      <c r="L19" s="25">
        <f t="shared" si="3"/>
        <v>0</v>
      </c>
      <c r="M19" s="26">
        <f t="shared" si="4"/>
        <v>78873295.200000003</v>
      </c>
    </row>
    <row r="20" spans="1:14" ht="157.5" x14ac:dyDescent="0.25">
      <c r="A20" s="24" t="s">
        <v>30</v>
      </c>
      <c r="B20" s="24" t="s">
        <v>31</v>
      </c>
      <c r="C20" s="31">
        <v>565600</v>
      </c>
      <c r="D20" s="30">
        <v>12</v>
      </c>
      <c r="E20" s="33">
        <f t="shared" si="1"/>
        <v>6787200</v>
      </c>
      <c r="F20" s="26">
        <f t="shared" si="2"/>
        <v>1289568</v>
      </c>
      <c r="G20" s="27">
        <f t="shared" si="0"/>
        <v>8076768</v>
      </c>
      <c r="H20" s="26">
        <f>+VLOOKUP(A20,'Hoja1 (3)'!$A$10:$K$23,3,FALSE)</f>
        <v>565600</v>
      </c>
      <c r="I20" s="26">
        <f>+VLOOKUP($A20,'Hoja1 (3)'!$A$10:$K$23,11,FALSE)</f>
        <v>299999.99999999866</v>
      </c>
      <c r="J20" s="26">
        <f>+VLOOKUP($A20,'Hoja1 (3)'!$A$10:$K$23,10,FALSE)</f>
        <v>56999.999999999745</v>
      </c>
      <c r="K20" s="27">
        <f>+VLOOKUP($A20,'Hoja1 (3)'!$A$10:$K$23,9,FALSE)</f>
        <v>356999.99999999837</v>
      </c>
      <c r="L20" s="25">
        <f t="shared" si="3"/>
        <v>0</v>
      </c>
      <c r="M20" s="26">
        <f t="shared" si="4"/>
        <v>7719768.0000000019</v>
      </c>
    </row>
    <row r="21" spans="1:14" ht="157.5" x14ac:dyDescent="0.25">
      <c r="A21" s="23" t="s">
        <v>32</v>
      </c>
      <c r="B21" s="23" t="s">
        <v>33</v>
      </c>
      <c r="C21" s="25">
        <v>791840</v>
      </c>
      <c r="D21" s="29">
        <v>12</v>
      </c>
      <c r="E21" s="33">
        <f t="shared" si="1"/>
        <v>9502080</v>
      </c>
      <c r="F21" s="26">
        <f t="shared" si="2"/>
        <v>1805395.2</v>
      </c>
      <c r="G21" s="27">
        <f t="shared" si="0"/>
        <v>11307475.199999999</v>
      </c>
      <c r="H21" s="26">
        <f>+VLOOKUP(A21,'Hoja1 (3)'!$A$10:$K$23,3,FALSE)</f>
        <v>791840</v>
      </c>
      <c r="I21" s="26">
        <f>+VLOOKUP($A21,'Hoja1 (3)'!$A$10:$K$23,11,FALSE)</f>
        <v>419999.99999999866</v>
      </c>
      <c r="J21" s="26">
        <f>+VLOOKUP($A21,'Hoja1 (3)'!$A$10:$K$23,10,FALSE)</f>
        <v>79799.999999999753</v>
      </c>
      <c r="K21" s="27">
        <f>+VLOOKUP($A21,'Hoja1 (3)'!$A$10:$K$23,9,FALSE)</f>
        <v>499799.99999999837</v>
      </c>
      <c r="L21" s="25">
        <f t="shared" si="3"/>
        <v>0</v>
      </c>
      <c r="M21" s="26">
        <f t="shared" si="4"/>
        <v>10807675.200000001</v>
      </c>
    </row>
    <row r="22" spans="1:14" s="50" customFormat="1" ht="157.5" x14ac:dyDescent="0.25">
      <c r="A22" s="45" t="s">
        <v>34</v>
      </c>
      <c r="B22" s="45" t="s">
        <v>35</v>
      </c>
      <c r="C22" s="46">
        <v>1357440</v>
      </c>
      <c r="D22" s="47">
        <v>66</v>
      </c>
      <c r="E22" s="46">
        <f t="shared" si="1"/>
        <v>89591040</v>
      </c>
      <c r="F22" s="48">
        <f t="shared" si="2"/>
        <v>17022297.600000001</v>
      </c>
      <c r="G22" s="49">
        <f t="shared" si="0"/>
        <v>106613337.59999999</v>
      </c>
      <c r="H22" s="48">
        <f>+VLOOKUP(A22,'Hoja1 (3)'!$A$10:$K$23,3,FALSE)</f>
        <v>1357440</v>
      </c>
      <c r="I22" s="48">
        <f>+VLOOKUP($A22,'Hoja1 (3)'!$A$10:$K$23,11,FALSE)</f>
        <v>0</v>
      </c>
      <c r="J22" s="48">
        <f>+VLOOKUP($A22,'Hoja1 (3)'!$A$10:$K$23,10,FALSE)</f>
        <v>0</v>
      </c>
      <c r="K22" s="49">
        <f>+VLOOKUP($A22,'Hoja1 (3)'!$A$10:$K$23,9,FALSE)</f>
        <v>0</v>
      </c>
      <c r="L22" s="46">
        <f t="shared" si="3"/>
        <v>0</v>
      </c>
      <c r="M22" s="48">
        <f t="shared" si="4"/>
        <v>106613337.59999999</v>
      </c>
    </row>
    <row r="23" spans="1:14" x14ac:dyDescent="0.25">
      <c r="A23" s="14"/>
      <c r="B23" s="14"/>
      <c r="C23" s="16"/>
      <c r="D23" s="14">
        <f>SUM(D9:D22)</f>
        <v>396</v>
      </c>
      <c r="E23" s="14"/>
      <c r="F23" s="16"/>
      <c r="G23" s="17"/>
      <c r="H23" s="14"/>
      <c r="I23" s="14"/>
      <c r="J23" s="16">
        <f>SUM(J9:J22)</f>
        <v>19187969.990600001</v>
      </c>
      <c r="K23" s="28">
        <f>SUM(K9:K22)</f>
        <v>120177285.7306</v>
      </c>
      <c r="L23" s="21">
        <f>+K23-'Hoja1 (3)'!I24</f>
        <v>0</v>
      </c>
      <c r="M23" s="14"/>
    </row>
    <row r="24" spans="1:14" x14ac:dyDescent="0.25">
      <c r="D24">
        <f>D23-D22-D18</f>
        <v>264</v>
      </c>
    </row>
    <row r="25" spans="1:14" x14ac:dyDescent="0.25">
      <c r="N25" s="1">
        <f>$K$23</f>
        <v>120177285.7306</v>
      </c>
    </row>
    <row r="27" spans="1:14" x14ac:dyDescent="0.25">
      <c r="L27" s="28"/>
    </row>
  </sheetData>
  <mergeCells count="9">
    <mergeCell ref="H6:K6"/>
    <mergeCell ref="L6:M6"/>
    <mergeCell ref="A1:A6"/>
    <mergeCell ref="B1:E1"/>
    <mergeCell ref="B2:E2"/>
    <mergeCell ref="B3:E3"/>
    <mergeCell ref="B4:E4"/>
    <mergeCell ref="B5:E5"/>
    <mergeCell ref="B6:G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BD7A-3B51-4A28-8827-5114566E83E7}">
  <dimension ref="A1:W24"/>
  <sheetViews>
    <sheetView topLeftCell="C1" workbookViewId="0">
      <selection activeCell="A10" sqref="A10:I10"/>
    </sheetView>
  </sheetViews>
  <sheetFormatPr baseColWidth="10" defaultRowHeight="15.75" x14ac:dyDescent="0.25"/>
  <cols>
    <col min="1" max="1" width="22" style="3" customWidth="1"/>
    <col min="2" max="2" width="58.875" style="3" customWidth="1"/>
    <col min="3" max="3" width="21.875" style="5" customWidth="1"/>
    <col min="4" max="4" width="16.75" style="3" customWidth="1"/>
    <col min="5" max="5" width="25.5" style="3" customWidth="1"/>
    <col min="6" max="6" width="20.375" style="5" bestFit="1" customWidth="1"/>
    <col min="7" max="10" width="20.375" style="5" customWidth="1"/>
    <col min="11" max="14" width="25.5" style="5" customWidth="1"/>
    <col min="15" max="15" width="26.875" style="5" customWidth="1"/>
    <col min="16" max="16" width="17" style="3" customWidth="1"/>
    <col min="17" max="17" width="35.875" style="3" customWidth="1"/>
    <col min="18" max="18" width="16.75" style="3" customWidth="1"/>
    <col min="19" max="19" width="22.125" style="3" customWidth="1"/>
    <col min="20" max="20" width="25.5" style="3" hidden="1" customWidth="1"/>
    <col min="21" max="21" width="11.375" style="3" bestFit="1" customWidth="1"/>
    <col min="22" max="22" width="15.125" style="4" bestFit="1" customWidth="1"/>
    <col min="23" max="23" width="14.125" style="3" bestFit="1" customWidth="1"/>
    <col min="24" max="16384" width="11" style="3"/>
  </cols>
  <sheetData>
    <row r="1" spans="1:23" ht="26.25" x14ac:dyDescent="0.4">
      <c r="A1" s="40"/>
      <c r="B1" s="41" t="s">
        <v>39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1"/>
      <c r="Q1" s="41"/>
      <c r="R1" s="41"/>
      <c r="S1" s="41"/>
      <c r="T1" s="41"/>
    </row>
    <row r="2" spans="1:23" ht="21" x14ac:dyDescent="0.35">
      <c r="A2" s="40"/>
      <c r="B2" s="43" t="s">
        <v>40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3" x14ac:dyDescent="0.25">
      <c r="A3" s="40"/>
      <c r="B3" s="40" t="s">
        <v>41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4"/>
      <c r="P3" s="40"/>
      <c r="Q3" s="40"/>
      <c r="R3" s="40"/>
      <c r="S3" s="40"/>
      <c r="T3" s="40"/>
    </row>
    <row r="4" spans="1:23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4"/>
      <c r="P4" s="40"/>
      <c r="Q4" s="40"/>
      <c r="R4" s="40"/>
      <c r="S4" s="40"/>
      <c r="T4" s="40"/>
    </row>
    <row r="5" spans="1:23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4"/>
      <c r="P5" s="40"/>
      <c r="Q5" s="40"/>
    </row>
    <row r="6" spans="1:23" x14ac:dyDescent="0.25">
      <c r="A6" s="40"/>
      <c r="N6" s="5">
        <f>+N10</f>
        <v>1400000</v>
      </c>
      <c r="O6" s="5">
        <v>1</v>
      </c>
      <c r="Q6" s="6"/>
    </row>
    <row r="7" spans="1:23" x14ac:dyDescent="0.25">
      <c r="N7" s="5">
        <v>1439523.8400000001</v>
      </c>
      <c r="O7" s="5">
        <f>+N7*O6/N6</f>
        <v>1.0282313142857142</v>
      </c>
      <c r="P7" s="8">
        <f>+O7-100%</f>
        <v>2.8231314285714237E-2</v>
      </c>
    </row>
    <row r="8" spans="1:23" s="11" customFormat="1" ht="65.25" customHeight="1" x14ac:dyDescent="0.3">
      <c r="A8" s="9" t="s">
        <v>0</v>
      </c>
      <c r="B8" s="9" t="s">
        <v>1</v>
      </c>
      <c r="C8" s="10" t="s">
        <v>42</v>
      </c>
      <c r="D8" s="9" t="s">
        <v>3</v>
      </c>
      <c r="E8" s="9" t="s">
        <v>43</v>
      </c>
      <c r="F8" s="10" t="s">
        <v>68</v>
      </c>
      <c r="G8" s="10" t="s">
        <v>67</v>
      </c>
      <c r="H8" s="10" t="s">
        <v>69</v>
      </c>
      <c r="I8" s="10" t="s">
        <v>70</v>
      </c>
      <c r="J8" s="10" t="s">
        <v>37</v>
      </c>
      <c r="K8" s="10" t="s">
        <v>36</v>
      </c>
      <c r="L8" s="10" t="s">
        <v>65</v>
      </c>
      <c r="M8" s="10" t="s">
        <v>66</v>
      </c>
      <c r="N8" s="10" t="s">
        <v>64</v>
      </c>
      <c r="O8" s="10" t="s">
        <v>44</v>
      </c>
      <c r="P8" s="9" t="s">
        <v>45</v>
      </c>
      <c r="Q8" s="9" t="s">
        <v>46</v>
      </c>
      <c r="R8" s="9" t="s">
        <v>47</v>
      </c>
      <c r="S8" s="9" t="s">
        <v>48</v>
      </c>
      <c r="T8" s="9" t="s">
        <v>49</v>
      </c>
      <c r="V8" s="12"/>
    </row>
    <row r="10" spans="1:23" x14ac:dyDescent="0.25">
      <c r="A10" s="3" t="s">
        <v>8</v>
      </c>
      <c r="B10" s="3" t="s">
        <v>50</v>
      </c>
      <c r="C10" s="5">
        <v>1444985.12</v>
      </c>
      <c r="D10" s="3">
        <v>32</v>
      </c>
      <c r="E10" s="6">
        <v>3.11318915173328E-2</v>
      </c>
      <c r="F10" s="5">
        <f>(C10*-E10)+C10</f>
        <v>1400000</v>
      </c>
      <c r="G10" s="5">
        <f>+(F10*19%)</f>
        <v>266000</v>
      </c>
      <c r="H10" s="5">
        <f>+F10+G10</f>
        <v>1666000</v>
      </c>
      <c r="I10" s="5">
        <f>+H10*D10</f>
        <v>53312000</v>
      </c>
      <c r="J10" s="5">
        <f>+K10*19%</f>
        <v>8512000</v>
      </c>
      <c r="K10" s="5">
        <f>+I10/1.19</f>
        <v>44800000</v>
      </c>
      <c r="L10" s="5">
        <f>(K10*-E10)+K10</f>
        <v>43405291.26002349</v>
      </c>
      <c r="M10" s="5">
        <f>+C10*E10</f>
        <v>44985.120000000119</v>
      </c>
      <c r="N10" s="5">
        <f>+C10-M10</f>
        <v>1400000</v>
      </c>
      <c r="O10" s="5">
        <v>1439523.8400000001</v>
      </c>
      <c r="P10" s="5">
        <f>+(D10*N10)+L10</f>
        <v>88205291.26002349</v>
      </c>
      <c r="Q10" s="5">
        <f>+P10-53312000</f>
        <v>34893291.26002349</v>
      </c>
      <c r="R10" s="3">
        <v>19</v>
      </c>
      <c r="S10" s="5">
        <v>8512000</v>
      </c>
      <c r="T10" s="3">
        <v>53312000</v>
      </c>
      <c r="U10" s="5">
        <f>+(C10*D10)*19%</f>
        <v>8785509.5296</v>
      </c>
      <c r="V10" s="4">
        <f>-U10*E10</f>
        <v>-273509.52960000071</v>
      </c>
      <c r="W10" s="4">
        <f>+U10+V10</f>
        <v>8512000</v>
      </c>
    </row>
    <row r="11" spans="1:23" x14ac:dyDescent="0.25">
      <c r="A11" s="3" t="s">
        <v>10</v>
      </c>
      <c r="B11" s="3" t="s">
        <v>51</v>
      </c>
      <c r="C11" s="5">
        <v>2434485.7999999998</v>
      </c>
      <c r="D11" s="3">
        <v>8</v>
      </c>
      <c r="E11" s="6">
        <v>0.205170964644772</v>
      </c>
      <c r="F11" s="5">
        <f t="shared" ref="F11:F23" si="0">(C11*-E11)+C11</f>
        <v>1935000.0000000005</v>
      </c>
      <c r="G11" s="5">
        <f t="shared" ref="G11:G23" si="1">+(F11*19%)</f>
        <v>367650.00000000012</v>
      </c>
      <c r="H11" s="5">
        <f t="shared" ref="H11:H23" si="2">+F11+G11</f>
        <v>2302650.0000000005</v>
      </c>
      <c r="I11" s="5">
        <f t="shared" ref="I11:I23" si="3">+H11*D11</f>
        <v>18421200.000000004</v>
      </c>
      <c r="J11" s="5">
        <f t="shared" ref="J11:J23" si="4">+K11*19%</f>
        <v>2941200.0000000009</v>
      </c>
      <c r="K11" s="5">
        <f t="shared" ref="K11:K23" si="5">+I11/1.19</f>
        <v>15480000.000000004</v>
      </c>
      <c r="L11" s="5">
        <f t="shared" ref="L11:L23" si="6">(K11*-E11)+K11</f>
        <v>12303953.467298932</v>
      </c>
      <c r="N11" s="5">
        <f>+N10*P7</f>
        <v>39523.839999999931</v>
      </c>
      <c r="O11" s="5">
        <v>3995886.4</v>
      </c>
      <c r="P11" s="3">
        <v>0</v>
      </c>
      <c r="Q11" s="3">
        <v>0</v>
      </c>
      <c r="R11" s="3">
        <v>19</v>
      </c>
      <c r="S11" s="5">
        <v>2941200</v>
      </c>
      <c r="T11" s="3">
        <v>18421200</v>
      </c>
    </row>
    <row r="12" spans="1:23" x14ac:dyDescent="0.25">
      <c r="A12" s="3" t="s">
        <v>12</v>
      </c>
      <c r="B12" s="3" t="s">
        <v>52</v>
      </c>
      <c r="C12" s="5">
        <v>5155612.67</v>
      </c>
      <c r="D12" s="3">
        <v>2</v>
      </c>
      <c r="E12" s="6">
        <v>0.28233553666086397</v>
      </c>
      <c r="F12" s="5">
        <f t="shared" si="0"/>
        <v>3700000</v>
      </c>
      <c r="G12" s="5">
        <f t="shared" si="1"/>
        <v>703000</v>
      </c>
      <c r="H12" s="5">
        <f t="shared" si="2"/>
        <v>4403000</v>
      </c>
      <c r="I12" s="5">
        <f t="shared" si="3"/>
        <v>8806000</v>
      </c>
      <c r="J12" s="5">
        <f t="shared" si="4"/>
        <v>1406000</v>
      </c>
      <c r="K12" s="5">
        <f t="shared" si="5"/>
        <v>7400000</v>
      </c>
      <c r="L12" s="5">
        <f t="shared" si="6"/>
        <v>5310717.0287096063</v>
      </c>
      <c r="N12" s="5">
        <f>+N10+N11</f>
        <v>1439523.8399999999</v>
      </c>
      <c r="O12" s="5">
        <v>2911225.34</v>
      </c>
      <c r="P12" s="3">
        <v>0</v>
      </c>
      <c r="Q12" s="3">
        <v>0</v>
      </c>
      <c r="R12" s="3">
        <v>19</v>
      </c>
      <c r="S12" s="5">
        <v>1406000</v>
      </c>
      <c r="T12" s="3">
        <v>8806000</v>
      </c>
    </row>
    <row r="13" spans="1:23" x14ac:dyDescent="0.25">
      <c r="A13" s="3" t="s">
        <v>14</v>
      </c>
      <c r="B13" s="3" t="s">
        <v>53</v>
      </c>
      <c r="C13" s="5">
        <v>3777379.58</v>
      </c>
      <c r="D13" s="3">
        <v>3</v>
      </c>
      <c r="E13" s="7">
        <v>0</v>
      </c>
      <c r="F13" s="5">
        <f t="shared" si="0"/>
        <v>3777379.58</v>
      </c>
      <c r="G13" s="5">
        <f t="shared" si="1"/>
        <v>717702.1202</v>
      </c>
      <c r="H13" s="5">
        <f t="shared" si="2"/>
        <v>4495081.7001999998</v>
      </c>
      <c r="I13" s="5">
        <f t="shared" si="3"/>
        <v>13485245.1006</v>
      </c>
      <c r="J13" s="5">
        <f t="shared" si="4"/>
        <v>2153106.3606000002</v>
      </c>
      <c r="K13" s="5">
        <f t="shared" si="5"/>
        <v>11332138.74</v>
      </c>
      <c r="L13" s="5">
        <f t="shared" si="6"/>
        <v>11332138.74</v>
      </c>
      <c r="O13" s="5">
        <v>0</v>
      </c>
      <c r="P13" s="3">
        <v>0</v>
      </c>
      <c r="Q13" s="3">
        <v>0</v>
      </c>
      <c r="R13" s="3">
        <v>19</v>
      </c>
      <c r="S13" s="5">
        <v>2153106.36</v>
      </c>
      <c r="T13" s="3">
        <v>13485245.1</v>
      </c>
    </row>
    <row r="14" spans="1:23" x14ac:dyDescent="0.25">
      <c r="A14" s="3" t="s">
        <v>16</v>
      </c>
      <c r="B14" s="3" t="s">
        <v>54</v>
      </c>
      <c r="C14" s="5">
        <v>1197609.95</v>
      </c>
      <c r="D14" s="3">
        <v>13</v>
      </c>
      <c r="E14" s="6">
        <v>0.35915612591562102</v>
      </c>
      <c r="F14" s="5">
        <f t="shared" si="0"/>
        <v>767480.9999999993</v>
      </c>
      <c r="G14" s="5">
        <f t="shared" si="1"/>
        <v>145821.38999999987</v>
      </c>
      <c r="H14" s="5">
        <f t="shared" si="2"/>
        <v>913302.3899999992</v>
      </c>
      <c r="I14" s="5">
        <f t="shared" si="3"/>
        <v>11872931.069999989</v>
      </c>
      <c r="J14" s="5">
        <f t="shared" si="4"/>
        <v>1895678.0699999982</v>
      </c>
      <c r="K14" s="5">
        <f t="shared" si="5"/>
        <v>9977252.9999999907</v>
      </c>
      <c r="L14" s="5">
        <f t="shared" si="6"/>
        <v>6393861.4652399868</v>
      </c>
      <c r="O14" s="5">
        <v>5591676.3500000006</v>
      </c>
      <c r="P14" s="3">
        <v>0</v>
      </c>
      <c r="Q14" s="3">
        <v>0</v>
      </c>
      <c r="R14" s="3">
        <v>19</v>
      </c>
      <c r="S14" s="5">
        <v>1895678.07</v>
      </c>
      <c r="T14" s="3">
        <v>11872931.07</v>
      </c>
    </row>
    <row r="15" spans="1:23" x14ac:dyDescent="0.25">
      <c r="A15" s="3" t="s">
        <v>18</v>
      </c>
      <c r="B15" s="3" t="s">
        <v>55</v>
      </c>
      <c r="C15" s="5">
        <v>1441058.53</v>
      </c>
      <c r="D15" s="3">
        <v>2</v>
      </c>
      <c r="E15" s="6">
        <v>2.8491923919287301E-2</v>
      </c>
      <c r="F15" s="5">
        <f t="shared" si="0"/>
        <v>1400000</v>
      </c>
      <c r="G15" s="5">
        <f t="shared" si="1"/>
        <v>266000</v>
      </c>
      <c r="H15" s="5">
        <f t="shared" si="2"/>
        <v>1666000</v>
      </c>
      <c r="I15" s="5">
        <f t="shared" si="3"/>
        <v>3332000</v>
      </c>
      <c r="J15" s="5">
        <f t="shared" si="4"/>
        <v>532000</v>
      </c>
      <c r="K15" s="5">
        <f t="shared" si="5"/>
        <v>2800000</v>
      </c>
      <c r="L15" s="5">
        <f t="shared" si="6"/>
        <v>2720222.6130259954</v>
      </c>
      <c r="O15" s="5">
        <v>82117.06</v>
      </c>
      <c r="P15" s="3">
        <v>0</v>
      </c>
      <c r="Q15" s="3">
        <v>0</v>
      </c>
      <c r="R15" s="3">
        <v>19</v>
      </c>
      <c r="S15" s="5">
        <v>532000</v>
      </c>
      <c r="T15" s="3">
        <v>3332000</v>
      </c>
    </row>
    <row r="16" spans="1:23" x14ac:dyDescent="0.25">
      <c r="A16" s="3" t="s">
        <v>20</v>
      </c>
      <c r="B16" s="3" t="s">
        <v>56</v>
      </c>
      <c r="C16" s="5">
        <v>1197609.95</v>
      </c>
      <c r="D16" s="3">
        <v>2</v>
      </c>
      <c r="E16" s="6">
        <v>0.35915612591562102</v>
      </c>
      <c r="F16" s="5">
        <f t="shared" si="0"/>
        <v>767480.9999999993</v>
      </c>
      <c r="G16" s="5">
        <f t="shared" si="1"/>
        <v>145821.38999999987</v>
      </c>
      <c r="H16" s="5">
        <f t="shared" si="2"/>
        <v>913302.3899999992</v>
      </c>
      <c r="I16" s="5">
        <f t="shared" si="3"/>
        <v>1826604.7799999984</v>
      </c>
      <c r="J16" s="5">
        <f t="shared" si="4"/>
        <v>291642.7799999998</v>
      </c>
      <c r="K16" s="5">
        <f t="shared" si="5"/>
        <v>1534961.9999999988</v>
      </c>
      <c r="L16" s="5">
        <f t="shared" si="6"/>
        <v>983670.99465230573</v>
      </c>
      <c r="O16" s="5">
        <v>860257.9</v>
      </c>
      <c r="P16" s="3">
        <v>0</v>
      </c>
      <c r="Q16" s="3">
        <v>0</v>
      </c>
      <c r="R16" s="3">
        <v>19</v>
      </c>
      <c r="S16" s="5">
        <v>291642.78000000003</v>
      </c>
      <c r="T16" s="3">
        <v>1826604.78</v>
      </c>
    </row>
    <row r="17" spans="1:20" x14ac:dyDescent="0.25">
      <c r="A17" s="3" t="s">
        <v>22</v>
      </c>
      <c r="B17" s="3" t="s">
        <v>57</v>
      </c>
      <c r="C17" s="5">
        <v>1441058.53</v>
      </c>
      <c r="D17" s="3">
        <v>2</v>
      </c>
      <c r="E17" s="6">
        <v>2.8491923919287301E-2</v>
      </c>
      <c r="F17" s="5">
        <f t="shared" si="0"/>
        <v>1400000</v>
      </c>
      <c r="G17" s="5">
        <f t="shared" si="1"/>
        <v>266000</v>
      </c>
      <c r="H17" s="5">
        <f t="shared" si="2"/>
        <v>1666000</v>
      </c>
      <c r="I17" s="5">
        <f t="shared" si="3"/>
        <v>3332000</v>
      </c>
      <c r="J17" s="5">
        <f t="shared" si="4"/>
        <v>532000</v>
      </c>
      <c r="K17" s="5">
        <f t="shared" si="5"/>
        <v>2800000</v>
      </c>
      <c r="L17" s="5">
        <f t="shared" si="6"/>
        <v>2720222.6130259954</v>
      </c>
      <c r="O17" s="5">
        <v>82117.06</v>
      </c>
      <c r="P17" s="3">
        <v>0</v>
      </c>
      <c r="Q17" s="3">
        <v>0</v>
      </c>
      <c r="R17" s="3">
        <v>19</v>
      </c>
      <c r="S17" s="5">
        <v>532000</v>
      </c>
      <c r="T17" s="3">
        <v>3332000</v>
      </c>
    </row>
    <row r="18" spans="1:20" x14ac:dyDescent="0.25">
      <c r="A18" s="3" t="s">
        <v>24</v>
      </c>
      <c r="B18" s="3" t="s">
        <v>58</v>
      </c>
      <c r="C18" s="5">
        <v>1197609.95</v>
      </c>
      <c r="D18" s="3">
        <v>2</v>
      </c>
      <c r="E18" s="6">
        <v>0.35915612591562102</v>
      </c>
      <c r="F18" s="5">
        <f t="shared" si="0"/>
        <v>767480.9999999993</v>
      </c>
      <c r="G18" s="5">
        <f t="shared" si="1"/>
        <v>145821.38999999987</v>
      </c>
      <c r="H18" s="5">
        <f t="shared" si="2"/>
        <v>913302.3899999992</v>
      </c>
      <c r="I18" s="5">
        <f t="shared" si="3"/>
        <v>1826604.7799999984</v>
      </c>
      <c r="J18" s="5">
        <f t="shared" si="4"/>
        <v>291642.7799999998</v>
      </c>
      <c r="K18" s="5">
        <f t="shared" si="5"/>
        <v>1534961.9999999988</v>
      </c>
      <c r="L18" s="5">
        <f t="shared" si="6"/>
        <v>983670.99465230573</v>
      </c>
      <c r="O18" s="5">
        <v>860257.9</v>
      </c>
      <c r="P18" s="3">
        <v>0</v>
      </c>
      <c r="Q18" s="3">
        <v>0</v>
      </c>
      <c r="R18" s="3">
        <v>19</v>
      </c>
      <c r="S18" s="5">
        <v>291642.78000000003</v>
      </c>
      <c r="T18" s="3">
        <v>1826604.78</v>
      </c>
    </row>
    <row r="19" spans="1:20" x14ac:dyDescent="0.25">
      <c r="A19" s="3" t="s">
        <v>26</v>
      </c>
      <c r="B19" s="3" t="s">
        <v>59</v>
      </c>
      <c r="C19" s="5">
        <v>3455399.2</v>
      </c>
      <c r="D19" s="3">
        <v>66</v>
      </c>
      <c r="E19" s="7">
        <v>1</v>
      </c>
      <c r="F19" s="5">
        <f t="shared" si="0"/>
        <v>0</v>
      </c>
      <c r="G19" s="5">
        <f t="shared" si="1"/>
        <v>0</v>
      </c>
      <c r="H19" s="5">
        <f t="shared" si="2"/>
        <v>0</v>
      </c>
      <c r="I19" s="5">
        <f t="shared" si="3"/>
        <v>0</v>
      </c>
      <c r="J19" s="5">
        <f t="shared" si="4"/>
        <v>0</v>
      </c>
      <c r="K19" s="5">
        <f t="shared" si="5"/>
        <v>0</v>
      </c>
      <c r="L19" s="5">
        <f t="shared" si="6"/>
        <v>0</v>
      </c>
      <c r="O19" s="5">
        <v>228056347.20000002</v>
      </c>
      <c r="P19" s="3">
        <v>0</v>
      </c>
      <c r="Q19" s="3">
        <v>0</v>
      </c>
      <c r="R19" s="3">
        <v>19</v>
      </c>
      <c r="S19" s="5">
        <v>0</v>
      </c>
      <c r="T19" s="3">
        <v>0</v>
      </c>
    </row>
    <row r="20" spans="1:20" x14ac:dyDescent="0.25">
      <c r="A20" s="3" t="s">
        <v>28</v>
      </c>
      <c r="B20" s="3" t="s">
        <v>60</v>
      </c>
      <c r="C20" s="5">
        <v>395920</v>
      </c>
      <c r="D20" s="3">
        <v>174</v>
      </c>
      <c r="E20" s="6">
        <v>0.96211355829460499</v>
      </c>
      <c r="F20" s="5">
        <f t="shared" si="0"/>
        <v>15000</v>
      </c>
      <c r="G20" s="5">
        <f t="shared" si="1"/>
        <v>2850</v>
      </c>
      <c r="H20" s="5">
        <f t="shared" si="2"/>
        <v>17850</v>
      </c>
      <c r="I20" s="5">
        <f t="shared" si="3"/>
        <v>3105900</v>
      </c>
      <c r="J20" s="5">
        <f t="shared" si="4"/>
        <v>495900</v>
      </c>
      <c r="K20" s="5">
        <f t="shared" si="5"/>
        <v>2610000</v>
      </c>
      <c r="L20" s="5">
        <f t="shared" si="6"/>
        <v>98883.61285108095</v>
      </c>
      <c r="O20" s="5">
        <v>66280080</v>
      </c>
      <c r="P20" s="3">
        <v>0</v>
      </c>
      <c r="Q20" s="3">
        <v>0</v>
      </c>
      <c r="R20" s="3">
        <v>19</v>
      </c>
      <c r="S20" s="5">
        <v>495900</v>
      </c>
      <c r="T20" s="3">
        <v>3105900</v>
      </c>
    </row>
    <row r="21" spans="1:20" x14ac:dyDescent="0.25">
      <c r="A21" s="3" t="s">
        <v>30</v>
      </c>
      <c r="B21" s="3" t="s">
        <v>61</v>
      </c>
      <c r="C21" s="5">
        <v>565600</v>
      </c>
      <c r="D21" s="3">
        <v>12</v>
      </c>
      <c r="E21" s="6">
        <v>0.95579915134370597</v>
      </c>
      <c r="F21" s="5">
        <f t="shared" si="0"/>
        <v>24999.999999999884</v>
      </c>
      <c r="G21" s="5">
        <f t="shared" si="1"/>
        <v>4749.9999999999782</v>
      </c>
      <c r="H21" s="5">
        <f t="shared" si="2"/>
        <v>29749.999999999862</v>
      </c>
      <c r="I21" s="5">
        <f t="shared" si="3"/>
        <v>356999.99999999837</v>
      </c>
      <c r="J21" s="5">
        <f t="shared" si="4"/>
        <v>56999.999999999745</v>
      </c>
      <c r="K21" s="5">
        <f t="shared" si="5"/>
        <v>299999.99999999866</v>
      </c>
      <c r="L21" s="5">
        <f t="shared" si="6"/>
        <v>13260.254596888146</v>
      </c>
      <c r="O21" s="5">
        <v>6487200</v>
      </c>
      <c r="P21" s="3">
        <v>0</v>
      </c>
      <c r="Q21" s="3">
        <v>0</v>
      </c>
      <c r="R21" s="3">
        <v>19</v>
      </c>
      <c r="S21" s="5">
        <v>57000</v>
      </c>
      <c r="T21" s="3">
        <v>357000</v>
      </c>
    </row>
    <row r="22" spans="1:20" x14ac:dyDescent="0.25">
      <c r="A22" s="3" t="s">
        <v>32</v>
      </c>
      <c r="B22" s="3" t="s">
        <v>62</v>
      </c>
      <c r="C22" s="5">
        <v>791840</v>
      </c>
      <c r="D22" s="3">
        <v>12</v>
      </c>
      <c r="E22" s="6">
        <v>0.95579915134370597</v>
      </c>
      <c r="F22" s="5">
        <f t="shared" si="0"/>
        <v>34999.999999999884</v>
      </c>
      <c r="G22" s="5">
        <f t="shared" si="1"/>
        <v>6649.9999999999782</v>
      </c>
      <c r="H22" s="5">
        <f t="shared" si="2"/>
        <v>41649.999999999862</v>
      </c>
      <c r="I22" s="5">
        <f t="shared" si="3"/>
        <v>499799.99999999837</v>
      </c>
      <c r="J22" s="5">
        <f t="shared" si="4"/>
        <v>79799.999999999753</v>
      </c>
      <c r="K22" s="5">
        <f t="shared" si="5"/>
        <v>419999.99999999866</v>
      </c>
      <c r="L22" s="5">
        <f t="shared" si="6"/>
        <v>18564.356435643451</v>
      </c>
      <c r="O22" s="5">
        <v>9082080</v>
      </c>
      <c r="P22" s="3">
        <v>0</v>
      </c>
      <c r="Q22" s="3">
        <v>0</v>
      </c>
      <c r="R22" s="3">
        <v>19</v>
      </c>
      <c r="S22" s="5">
        <v>79800</v>
      </c>
      <c r="T22" s="3">
        <v>499800</v>
      </c>
    </row>
    <row r="23" spans="1:20" x14ac:dyDescent="0.25">
      <c r="A23" s="3" t="s">
        <v>34</v>
      </c>
      <c r="B23" s="3" t="s">
        <v>63</v>
      </c>
      <c r="C23" s="5">
        <v>1357440</v>
      </c>
      <c r="D23" s="3">
        <v>66</v>
      </c>
      <c r="E23" s="7">
        <v>1</v>
      </c>
      <c r="F23" s="5">
        <f t="shared" si="0"/>
        <v>0</v>
      </c>
      <c r="G23" s="5">
        <f t="shared" si="1"/>
        <v>0</v>
      </c>
      <c r="H23" s="5">
        <f t="shared" si="2"/>
        <v>0</v>
      </c>
      <c r="I23" s="5">
        <f t="shared" si="3"/>
        <v>0</v>
      </c>
      <c r="J23" s="5">
        <f t="shared" si="4"/>
        <v>0</v>
      </c>
      <c r="K23" s="5">
        <f t="shared" si="5"/>
        <v>0</v>
      </c>
      <c r="L23" s="5">
        <f t="shared" si="6"/>
        <v>0</v>
      </c>
      <c r="O23" s="5">
        <v>89591040</v>
      </c>
      <c r="P23" s="3">
        <v>0</v>
      </c>
      <c r="Q23" s="3">
        <v>0</v>
      </c>
      <c r="R23" s="3">
        <v>19</v>
      </c>
      <c r="S23" s="5">
        <v>0</v>
      </c>
      <c r="T23" s="3">
        <v>0</v>
      </c>
    </row>
    <row r="24" spans="1:20" x14ac:dyDescent="0.25">
      <c r="I24" s="13">
        <f>SUM(I10:I23)</f>
        <v>120177285.7306</v>
      </c>
      <c r="J24" s="13"/>
      <c r="K24" s="13">
        <f>+I24/1.19</f>
        <v>100989315.74000001</v>
      </c>
      <c r="S24" s="5"/>
    </row>
  </sheetData>
  <mergeCells count="6">
    <mergeCell ref="A1:A6"/>
    <mergeCell ref="B1:T1"/>
    <mergeCell ref="B2:T2"/>
    <mergeCell ref="B3:T3"/>
    <mergeCell ref="B4:T4"/>
    <mergeCell ref="B5:Q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SIMULACIÓN</vt:lpstr>
      <vt:lpstr>Hoja1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Beatriz Elena Bermudez Benjumea</cp:lastModifiedBy>
  <dcterms:created xsi:type="dcterms:W3CDTF">2021-09-29T20:07:41Z</dcterms:created>
  <dcterms:modified xsi:type="dcterms:W3CDTF">2023-10-18T13:07:32Z</dcterms:modified>
</cp:coreProperties>
</file>