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P\Documents\COLOMBIA COMPRA EFICIENTE\ACUERDOS 5\2. SOFTWARE POR CATALOGO\Catalogo\Catalogo Google 20-3-2024\fabricante\"/>
    </mc:Choice>
  </mc:AlternateContent>
  <bookViews>
    <workbookView xWindow="0" yWindow="0" windowWidth="19200" windowHeight="8180" tabRatio="862" firstSheet="18" activeTab="24"/>
  </bookViews>
  <sheets>
    <sheet name="Servinformación" sheetId="18" r:id="rId1"/>
    <sheet name="Integrasoft" sheetId="20" r:id="rId2"/>
    <sheet name="Analitica" sheetId="21" r:id="rId3"/>
    <sheet name="Heinsohn HGS" sheetId="22" r:id="rId4"/>
    <sheet name="Tecnoprocesos-cie" sheetId="27" r:id="rId5"/>
    <sheet name="Nexura" sheetId="39" r:id="rId6"/>
    <sheet name="Xertica Colombia SAS" sheetId="35" r:id="rId7"/>
    <sheet name="SYSMAN SAS" sheetId="41" r:id="rId8"/>
    <sheet name="SOAINT" sheetId="42" r:id="rId9"/>
    <sheet name="Softmanagement" sheetId="43" r:id="rId10"/>
    <sheet name="GRUPOINVESCO" sheetId="45" r:id="rId11"/>
    <sheet name="Macro Proyectos SAS" sheetId="44" r:id="rId12"/>
    <sheet name="Digital Ware" sheetId="46" r:id="rId13"/>
    <sheet name="Creangel" sheetId="47" r:id="rId14"/>
    <sheet name="Novasoft" sheetId="19" r:id="rId15"/>
    <sheet name="Pensemos" sheetId="37" r:id="rId16"/>
    <sheet name="SAP Colombia" sheetId="31" r:id="rId17"/>
    <sheet name="Control Online International  " sheetId="38" r:id="rId18"/>
    <sheet name="High Tech Software" sheetId="49" r:id="rId19"/>
    <sheet name="Global Technology Services" sheetId="50" r:id="rId20"/>
    <sheet name="SG-Skannia" sheetId="51" r:id="rId21"/>
    <sheet name="Alfapeople" sheetId="52" r:id="rId22"/>
    <sheet name="UT SOFTWARE EPX CCE" sheetId="53" r:id="rId23"/>
    <sheet name="ADA" sheetId="54" r:id="rId24"/>
    <sheet name="BEXTA" sheetId="55" r:id="rId25"/>
    <sheet name="RICOH" sheetId="56" r:id="rId26"/>
  </sheets>
  <externalReferences>
    <externalReference r:id="rId27"/>
  </externalReferences>
  <definedNames>
    <definedName name="_xlnm._FilterDatabase" localSheetId="2" hidden="1">Analitica!$A$1:$M$146</definedName>
    <definedName name="_xlnm._FilterDatabase" localSheetId="19" hidden="1">'Global Technology Services'!$A$4:$M$1081</definedName>
    <definedName name="_xlnm._FilterDatabase" localSheetId="3" hidden="1">'Heinsohn HGS'!$A$1:$M$61</definedName>
    <definedName name="_xlnm._FilterDatabase" localSheetId="18" hidden="1">'High Tech Software'!$A$5:$M$109</definedName>
    <definedName name="_xlnm._FilterDatabase" localSheetId="1" hidden="1">Integrasoft!$A$1:$N$137</definedName>
    <definedName name="_xlnm._FilterDatabase" localSheetId="14" hidden="1">Novasoft!$A$2:$M$150</definedName>
    <definedName name="_xlnm._FilterDatabase" localSheetId="15" hidden="1">Pensemos!$A$2:$M$124</definedName>
    <definedName name="_xlnm._FilterDatabase" localSheetId="0" hidden="1">Servinformación!$A$1:$O$165</definedName>
    <definedName name="_xlnm._FilterDatabase" localSheetId="8" hidden="1">SOAINT!$A$1:$M$37</definedName>
    <definedName name="_xlnm._FilterDatabase" localSheetId="9" hidden="1">Softmanagement!$A$2:$O$110</definedName>
    <definedName name="_xlnm._FilterDatabase" localSheetId="7" hidden="1">'SYSMAN SAS'!$A$2:$K$62</definedName>
    <definedName name="_xlnm._FilterDatabase" localSheetId="6" hidden="1">'Xertica Colombia SAS'!$A$1:$O$6</definedName>
    <definedName name="_xlnm.Print_Area" localSheetId="21">Alfapeople!$B$4:$L$4</definedName>
    <definedName name="_xlnm.Print_Area" localSheetId="16">'SAP Colombia'!#REF!</definedName>
    <definedName name="_xlnm.Print_Area" localSheetId="20">'SG-Skannia'!$B$4:$L$6</definedName>
    <definedName name="_xlnm.Print_Area" localSheetId="7">'SYSMAN SAS'!$A$1:$K$62</definedName>
    <definedName name="_xlnm.Print_Area" localSheetId="4">'Tecnoprocesos-cie'!$A$1:$K$62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6" i="56" l="1"/>
  <c r="A175" i="56"/>
  <c r="A174" i="56"/>
  <c r="A173" i="56"/>
  <c r="A172" i="56"/>
  <c r="A171" i="56"/>
  <c r="A170" i="56"/>
  <c r="A169" i="56"/>
  <c r="A168" i="56"/>
  <c r="A167" i="56"/>
  <c r="A166" i="56"/>
  <c r="A165" i="56"/>
  <c r="A164" i="56"/>
  <c r="A163" i="56"/>
  <c r="A162" i="56"/>
  <c r="A161" i="56"/>
  <c r="A160" i="56"/>
  <c r="A159" i="56"/>
  <c r="A158" i="56"/>
  <c r="A157" i="56"/>
  <c r="A156" i="56"/>
  <c r="A155" i="56"/>
  <c r="A154" i="56"/>
  <c r="A153" i="56"/>
  <c r="A152" i="56"/>
  <c r="A151" i="56"/>
  <c r="A150" i="56"/>
  <c r="A149" i="56"/>
  <c r="A148" i="56"/>
  <c r="A147" i="56"/>
  <c r="A146" i="56"/>
  <c r="A145" i="56"/>
  <c r="A144" i="56"/>
  <c r="A143" i="56"/>
  <c r="A142" i="56"/>
  <c r="A141" i="56"/>
  <c r="A140" i="56"/>
  <c r="A139" i="56"/>
  <c r="A138" i="56"/>
  <c r="A137" i="56"/>
  <c r="A136" i="56"/>
  <c r="A135" i="56"/>
  <c r="A134" i="56"/>
  <c r="A133" i="56"/>
  <c r="A132" i="56"/>
  <c r="A131" i="56"/>
  <c r="A130" i="56"/>
  <c r="A129" i="56"/>
  <c r="A128" i="56"/>
  <c r="A127" i="56"/>
  <c r="A126" i="56"/>
  <c r="A125" i="56"/>
  <c r="A124" i="56"/>
  <c r="A123" i="56"/>
  <c r="A122" i="56"/>
  <c r="A121" i="56"/>
  <c r="A120" i="56"/>
  <c r="A119" i="56"/>
  <c r="A118" i="56"/>
  <c r="A117" i="56"/>
  <c r="A116" i="56"/>
  <c r="A115" i="56"/>
  <c r="A114" i="56"/>
  <c r="A113" i="56"/>
  <c r="A112" i="56"/>
  <c r="A111" i="56"/>
  <c r="A110" i="56"/>
  <c r="A109" i="56"/>
  <c r="A108" i="56"/>
  <c r="A107" i="56"/>
  <c r="A106" i="56"/>
  <c r="A105" i="56"/>
  <c r="A104" i="56"/>
  <c r="A103" i="56"/>
  <c r="A102" i="56"/>
  <c r="A101" i="56"/>
  <c r="A100" i="56"/>
  <c r="A99" i="56"/>
  <c r="A98" i="56"/>
  <c r="A97" i="56"/>
  <c r="A96" i="56"/>
  <c r="A95" i="56"/>
  <c r="A94" i="56"/>
  <c r="A93" i="56"/>
  <c r="A92" i="56"/>
  <c r="A91" i="56"/>
  <c r="A90" i="56"/>
  <c r="A89" i="56"/>
  <c r="A88" i="56"/>
  <c r="A87" i="56"/>
  <c r="A86" i="56"/>
  <c r="A85" i="56"/>
  <c r="A84" i="56"/>
  <c r="A83" i="56"/>
  <c r="A82" i="56"/>
  <c r="A81" i="56"/>
  <c r="A80" i="56"/>
  <c r="A79" i="56"/>
  <c r="A78" i="56"/>
  <c r="A77" i="56"/>
  <c r="A76" i="56"/>
  <c r="A75" i="56"/>
  <c r="A74" i="56"/>
  <c r="A73" i="56"/>
  <c r="A72" i="56"/>
  <c r="A71" i="56"/>
  <c r="A70" i="56"/>
  <c r="A69" i="56"/>
  <c r="A68" i="56"/>
  <c r="A67" i="56"/>
  <c r="A66" i="56"/>
  <c r="A65" i="56"/>
  <c r="A64" i="56"/>
  <c r="A63" i="56"/>
  <c r="A62" i="56"/>
  <c r="A61" i="56"/>
  <c r="A60" i="56"/>
  <c r="A59" i="56"/>
  <c r="A58" i="56"/>
  <c r="A57" i="56"/>
  <c r="A56" i="56"/>
  <c r="A55" i="56"/>
  <c r="A54" i="56"/>
  <c r="A53" i="56"/>
  <c r="A52" i="56"/>
  <c r="A51" i="56"/>
  <c r="A50" i="56"/>
  <c r="A49" i="56"/>
  <c r="A48" i="56"/>
  <c r="A47" i="56"/>
  <c r="A46" i="56"/>
  <c r="A45" i="56"/>
  <c r="A44" i="56"/>
  <c r="A43" i="56"/>
  <c r="A42" i="56"/>
  <c r="A41" i="56"/>
  <c r="A40" i="56"/>
  <c r="A39" i="56"/>
  <c r="A38" i="56"/>
  <c r="A37" i="56"/>
  <c r="A36" i="56"/>
  <c r="A35" i="56"/>
  <c r="A34" i="56"/>
  <c r="A33" i="56"/>
  <c r="A32" i="56"/>
  <c r="A31" i="56"/>
  <c r="A30" i="56"/>
  <c r="A29" i="56"/>
  <c r="A28" i="56"/>
  <c r="A27" i="56"/>
  <c r="A26" i="56"/>
  <c r="A25" i="56"/>
  <c r="A24" i="56"/>
  <c r="A23" i="56"/>
  <c r="A22" i="56"/>
  <c r="A21" i="56"/>
  <c r="A20" i="56"/>
  <c r="A19" i="56"/>
  <c r="A18" i="56"/>
  <c r="A17" i="56"/>
  <c r="A16" i="56"/>
  <c r="A15" i="56"/>
  <c r="A14" i="56"/>
  <c r="A13" i="56"/>
  <c r="A12" i="56"/>
  <c r="A11" i="56"/>
  <c r="A10" i="56"/>
  <c r="A9" i="56"/>
  <c r="A8" i="56"/>
  <c r="A7" i="56"/>
  <c r="A6" i="56"/>
  <c r="A5" i="56"/>
  <c r="A4" i="56"/>
  <c r="A3" i="56"/>
  <c r="K976" i="50" l="1"/>
  <c r="K975" i="50"/>
  <c r="K974" i="50"/>
  <c r="K973" i="50"/>
  <c r="K972" i="50"/>
  <c r="K971" i="50"/>
  <c r="K970" i="50"/>
  <c r="K969" i="50"/>
  <c r="K968" i="50"/>
  <c r="K967" i="50"/>
  <c r="K966" i="50"/>
  <c r="K965" i="50"/>
  <c r="K964" i="50"/>
  <c r="K963" i="50"/>
  <c r="K962" i="50"/>
  <c r="K961" i="50"/>
  <c r="K960" i="50"/>
  <c r="K959" i="50"/>
  <c r="K958" i="50"/>
  <c r="K957" i="50"/>
  <c r="K956" i="50"/>
  <c r="K955" i="50"/>
  <c r="K954" i="50"/>
  <c r="K953" i="50"/>
  <c r="K952" i="50"/>
  <c r="K951" i="50"/>
  <c r="K950" i="50"/>
  <c r="K949" i="50"/>
  <c r="K948" i="50"/>
  <c r="K947" i="50"/>
  <c r="K946" i="50"/>
  <c r="K945" i="50"/>
  <c r="K944" i="50"/>
  <c r="K943" i="50"/>
  <c r="K942" i="50"/>
  <c r="K941" i="50"/>
  <c r="K940" i="50"/>
  <c r="K939" i="50"/>
  <c r="K938" i="50"/>
  <c r="K937" i="50"/>
  <c r="K936" i="50"/>
  <c r="K935" i="50"/>
  <c r="K934" i="50"/>
  <c r="K933" i="50"/>
  <c r="K932" i="50"/>
  <c r="K931" i="50"/>
  <c r="K930" i="50"/>
  <c r="K929" i="50"/>
  <c r="K928" i="50"/>
  <c r="K927" i="50"/>
  <c r="K926" i="50"/>
  <c r="K925" i="50"/>
  <c r="K924" i="50"/>
  <c r="K923" i="50"/>
  <c r="K922" i="50"/>
  <c r="K921" i="50"/>
  <c r="K920" i="50"/>
  <c r="K919" i="50"/>
  <c r="K918" i="50"/>
  <c r="K917" i="50"/>
  <c r="K916" i="50"/>
  <c r="K915" i="50"/>
  <c r="K914" i="50"/>
  <c r="K913" i="50"/>
  <c r="K912" i="50"/>
  <c r="K911" i="50"/>
  <c r="K910" i="50"/>
  <c r="K909" i="50"/>
  <c r="K908" i="50"/>
  <c r="K907" i="50"/>
  <c r="K906" i="50"/>
  <c r="K905" i="50"/>
  <c r="K864" i="50"/>
  <c r="K863" i="50"/>
  <c r="K862" i="50"/>
  <c r="K861" i="50"/>
  <c r="K860" i="50"/>
  <c r="K859" i="50"/>
  <c r="K858" i="50"/>
  <c r="K857" i="50"/>
  <c r="K856" i="50"/>
  <c r="K855" i="50"/>
  <c r="K854" i="50"/>
  <c r="K853" i="50"/>
  <c r="K834" i="50"/>
  <c r="K833" i="50"/>
  <c r="K832" i="50"/>
  <c r="K831" i="50"/>
  <c r="K830" i="50"/>
  <c r="K829" i="50"/>
  <c r="K828" i="50"/>
  <c r="K827" i="50"/>
  <c r="K826" i="50"/>
  <c r="K825" i="50"/>
  <c r="K824" i="50"/>
  <c r="K823" i="50"/>
  <c r="K822" i="50"/>
  <c r="K821" i="50"/>
  <c r="K820" i="50"/>
  <c r="K819" i="50"/>
  <c r="K818" i="50"/>
  <c r="K817" i="50"/>
  <c r="K816" i="50"/>
  <c r="K815" i="50"/>
  <c r="K814" i="50"/>
  <c r="K813" i="50"/>
  <c r="K812" i="50"/>
  <c r="K811" i="50"/>
  <c r="K810" i="50"/>
  <c r="K809" i="50"/>
  <c r="K808" i="50"/>
  <c r="K807" i="50"/>
  <c r="K806" i="50"/>
  <c r="K805" i="50"/>
  <c r="K804" i="50"/>
  <c r="K803" i="50"/>
  <c r="K802" i="50"/>
  <c r="K801" i="50"/>
  <c r="K800" i="50"/>
  <c r="K799" i="50"/>
  <c r="K771" i="50"/>
  <c r="K770" i="50"/>
  <c r="K769" i="50"/>
  <c r="K768" i="50"/>
  <c r="K767" i="50"/>
  <c r="K766" i="50"/>
  <c r="K765" i="50"/>
  <c r="K764" i="50"/>
  <c r="K763" i="50"/>
  <c r="K762" i="50"/>
  <c r="K761" i="50"/>
  <c r="K760" i="50"/>
  <c r="K759" i="50"/>
  <c r="K758" i="50"/>
  <c r="K757" i="50"/>
  <c r="K756" i="50"/>
  <c r="K755" i="50"/>
  <c r="K754" i="50"/>
  <c r="K753" i="50"/>
  <c r="K752" i="50"/>
  <c r="K751" i="50"/>
  <c r="K750" i="50"/>
  <c r="K749" i="50"/>
  <c r="K748" i="50"/>
  <c r="K747" i="50"/>
  <c r="K746" i="50"/>
  <c r="K745" i="50"/>
  <c r="K744" i="50"/>
  <c r="K743" i="50"/>
  <c r="K742" i="50"/>
  <c r="K741" i="50"/>
  <c r="K740" i="50"/>
  <c r="K739" i="50"/>
  <c r="K738" i="50"/>
  <c r="K737" i="50"/>
  <c r="K736" i="50"/>
  <c r="K708" i="50"/>
  <c r="K707" i="50"/>
  <c r="K706" i="50"/>
  <c r="K705" i="50"/>
  <c r="K704" i="50"/>
  <c r="K703" i="50"/>
  <c r="K702" i="50"/>
  <c r="K701" i="50"/>
  <c r="K700" i="50"/>
  <c r="K699" i="50"/>
  <c r="K698" i="50"/>
  <c r="K697" i="50"/>
  <c r="K696" i="50"/>
  <c r="K695" i="50"/>
  <c r="K694" i="50"/>
  <c r="K693" i="50"/>
  <c r="K692" i="50"/>
  <c r="K691" i="50"/>
  <c r="K690" i="50"/>
  <c r="K689" i="50"/>
  <c r="K688" i="50"/>
  <c r="K687" i="50"/>
  <c r="K686" i="50"/>
  <c r="K685" i="50"/>
  <c r="K684" i="50"/>
  <c r="K683" i="50"/>
  <c r="K682" i="50"/>
  <c r="K681" i="50"/>
  <c r="K680" i="50"/>
  <c r="K679" i="50"/>
  <c r="K678" i="50"/>
  <c r="K677" i="50"/>
  <c r="K676" i="50"/>
  <c r="K675" i="50"/>
  <c r="K674" i="50"/>
  <c r="K673" i="50"/>
  <c r="K672" i="50"/>
  <c r="K671" i="50"/>
  <c r="K670" i="50"/>
  <c r="K669" i="50"/>
  <c r="K668" i="50"/>
  <c r="K667" i="50"/>
  <c r="K666" i="50"/>
  <c r="K665" i="50"/>
  <c r="K664" i="50"/>
  <c r="K663" i="50"/>
  <c r="K662" i="50"/>
  <c r="K661" i="50"/>
  <c r="K660" i="50"/>
  <c r="K659" i="50"/>
  <c r="K658" i="50"/>
  <c r="K657" i="50"/>
  <c r="K656" i="50"/>
  <c r="K655" i="50"/>
  <c r="K654" i="50"/>
  <c r="K653" i="50"/>
  <c r="K652" i="50"/>
  <c r="K651" i="50"/>
  <c r="K650" i="50"/>
  <c r="K649" i="50"/>
  <c r="K648" i="50"/>
  <c r="K647" i="50"/>
  <c r="K646" i="50"/>
  <c r="K645" i="50"/>
  <c r="K644" i="50"/>
  <c r="K643" i="50"/>
  <c r="K642" i="50"/>
  <c r="K641" i="50"/>
  <c r="K640" i="50"/>
  <c r="K639" i="50"/>
  <c r="K638" i="50"/>
  <c r="K637" i="50"/>
  <c r="K630" i="50"/>
  <c r="K629" i="50"/>
  <c r="K628" i="50"/>
  <c r="K627" i="50"/>
  <c r="K617" i="50"/>
  <c r="K616" i="50"/>
  <c r="K615" i="50"/>
  <c r="K614" i="50"/>
  <c r="K596" i="50"/>
  <c r="K595" i="50"/>
  <c r="K594" i="50"/>
  <c r="K593" i="50"/>
  <c r="K592" i="50"/>
  <c r="K591" i="50"/>
  <c r="K590" i="50"/>
  <c r="K589" i="50"/>
  <c r="K588" i="50"/>
  <c r="K587" i="50"/>
  <c r="K586" i="50"/>
  <c r="K585" i="50"/>
  <c r="K584" i="50"/>
  <c r="K583" i="50"/>
  <c r="K582" i="50"/>
  <c r="K581" i="50"/>
  <c r="K580" i="50"/>
  <c r="K579" i="50"/>
  <c r="K578" i="50"/>
  <c r="K577" i="50"/>
  <c r="K576" i="50"/>
  <c r="K575" i="50"/>
  <c r="K574" i="50"/>
  <c r="K573" i="50"/>
  <c r="K572" i="50"/>
  <c r="K571" i="50"/>
  <c r="K570" i="50"/>
  <c r="K569" i="50"/>
  <c r="K568" i="50"/>
  <c r="K567" i="50"/>
  <c r="K566" i="50"/>
  <c r="K555" i="50"/>
  <c r="K554" i="50"/>
  <c r="K553" i="50"/>
  <c r="K552" i="50"/>
  <c r="K551" i="50"/>
  <c r="K550" i="50"/>
  <c r="K549" i="50"/>
  <c r="K548" i="50"/>
  <c r="K547" i="50"/>
  <c r="K546" i="50"/>
  <c r="K545" i="50"/>
  <c r="K544" i="50"/>
  <c r="K543" i="50"/>
  <c r="K542" i="50"/>
  <c r="K541" i="50"/>
  <c r="K540" i="50"/>
  <c r="K539" i="50"/>
  <c r="K538" i="50"/>
  <c r="K537" i="50"/>
  <c r="K536" i="50"/>
  <c r="K535" i="50"/>
  <c r="K534" i="50"/>
  <c r="K533" i="50"/>
  <c r="K532" i="50"/>
  <c r="K531" i="50"/>
  <c r="K530" i="50"/>
  <c r="K529" i="50"/>
  <c r="K528" i="50"/>
  <c r="K527" i="50"/>
  <c r="K526" i="50"/>
  <c r="K525" i="50"/>
  <c r="K524" i="50"/>
  <c r="K523" i="50"/>
  <c r="K522" i="50"/>
  <c r="K521" i="50"/>
  <c r="K520" i="50"/>
  <c r="K519" i="50"/>
  <c r="K518" i="50"/>
  <c r="K517" i="50"/>
  <c r="K516" i="50"/>
  <c r="K515" i="50"/>
  <c r="K514" i="50"/>
  <c r="K513" i="50"/>
  <c r="K512" i="50"/>
  <c r="K511" i="50"/>
  <c r="K510" i="50"/>
  <c r="K509" i="50"/>
  <c r="K508" i="50"/>
  <c r="K507" i="50"/>
  <c r="K506" i="50"/>
  <c r="K505" i="50"/>
  <c r="K504" i="50"/>
  <c r="K503" i="50"/>
  <c r="K502" i="50"/>
  <c r="K501" i="50"/>
  <c r="K500" i="50"/>
  <c r="K499" i="50"/>
  <c r="K498" i="50"/>
  <c r="K497" i="50"/>
  <c r="K496" i="50"/>
  <c r="K495" i="50"/>
  <c r="K494" i="50"/>
  <c r="K493" i="50"/>
  <c r="K492" i="50"/>
  <c r="K491" i="50"/>
  <c r="K490" i="50"/>
  <c r="K489" i="50"/>
  <c r="K488" i="50"/>
  <c r="K487" i="50"/>
  <c r="K486" i="50"/>
  <c r="K485" i="50"/>
  <c r="K484" i="50"/>
  <c r="K483" i="50"/>
  <c r="K482" i="50"/>
  <c r="K481" i="50"/>
  <c r="K480" i="50"/>
  <c r="K479" i="50"/>
  <c r="K478" i="50"/>
  <c r="K477" i="50"/>
  <c r="K476" i="50"/>
  <c r="K475" i="50"/>
  <c r="K474" i="50"/>
  <c r="K473" i="50"/>
  <c r="K472" i="50"/>
  <c r="K471" i="50"/>
  <c r="K470" i="50"/>
  <c r="K469" i="50"/>
  <c r="K468" i="50"/>
  <c r="K467" i="50"/>
  <c r="K466" i="50"/>
  <c r="K459" i="50"/>
  <c r="K458" i="50"/>
  <c r="K457" i="50"/>
  <c r="K456" i="50"/>
  <c r="K455" i="50"/>
  <c r="K454" i="50"/>
  <c r="K453" i="50"/>
  <c r="K452" i="50"/>
  <c r="K451" i="50"/>
  <c r="K450" i="50"/>
  <c r="K449" i="50"/>
  <c r="K448" i="50"/>
  <c r="K447" i="50"/>
  <c r="K446" i="50"/>
  <c r="K445" i="50"/>
  <c r="K444" i="50"/>
  <c r="K443" i="50"/>
  <c r="K442" i="50"/>
  <c r="K441" i="50"/>
  <c r="K440" i="50"/>
  <c r="K439" i="50"/>
  <c r="K438" i="50"/>
  <c r="K437" i="50"/>
  <c r="K436" i="50"/>
  <c r="K435" i="50"/>
  <c r="K434" i="50"/>
  <c r="K433" i="50"/>
  <c r="K432" i="50"/>
  <c r="K430" i="50"/>
  <c r="K429" i="50"/>
  <c r="K428" i="50"/>
  <c r="K427" i="50"/>
  <c r="K426" i="50"/>
  <c r="K425" i="50"/>
  <c r="K424" i="50"/>
  <c r="K423" i="50"/>
  <c r="K422" i="50"/>
  <c r="K421" i="50"/>
  <c r="K420" i="50"/>
  <c r="K419" i="50"/>
  <c r="J101" i="47"/>
  <c r="J100" i="47"/>
  <c r="J99" i="47"/>
  <c r="J98" i="47"/>
  <c r="J97" i="47"/>
  <c r="J96" i="47"/>
  <c r="J95" i="47"/>
  <c r="J94" i="47"/>
  <c r="J93" i="47"/>
  <c r="J92" i="47"/>
  <c r="J91" i="47"/>
  <c r="J90" i="47"/>
  <c r="J89" i="47"/>
  <c r="J88" i="47"/>
  <c r="J87" i="47"/>
  <c r="J86" i="47"/>
  <c r="J85" i="47"/>
  <c r="J84" i="47"/>
  <c r="J83" i="47"/>
  <c r="J82" i="47"/>
  <c r="J81" i="47"/>
  <c r="J80" i="47"/>
  <c r="J79" i="47"/>
  <c r="J78" i="47"/>
  <c r="J77" i="47"/>
  <c r="J76" i="47"/>
  <c r="J75" i="47"/>
  <c r="J74" i="47"/>
  <c r="J73" i="47"/>
  <c r="J72" i="47"/>
  <c r="J71" i="47"/>
  <c r="J70" i="47"/>
  <c r="J69" i="47"/>
  <c r="J68" i="47"/>
  <c r="J67" i="47"/>
  <c r="J66" i="47"/>
  <c r="J65" i="47"/>
  <c r="J64" i="47"/>
  <c r="J63" i="47"/>
  <c r="J62" i="47"/>
  <c r="J61" i="47"/>
  <c r="J60" i="47"/>
  <c r="J59" i="47"/>
  <c r="J58" i="47"/>
  <c r="J57" i="47"/>
  <c r="J56" i="47"/>
  <c r="J55" i="47"/>
  <c r="J54" i="47"/>
  <c r="J53" i="47"/>
  <c r="J52" i="47"/>
  <c r="J51" i="47"/>
  <c r="J50" i="47"/>
  <c r="J49" i="47"/>
  <c r="J48" i="47"/>
  <c r="J47" i="47"/>
  <c r="J46" i="47"/>
  <c r="J45" i="47"/>
  <c r="J44" i="47"/>
  <c r="J43" i="47"/>
  <c r="J42" i="47"/>
  <c r="J41" i="47"/>
  <c r="J40" i="47"/>
  <c r="J39" i="47"/>
  <c r="J38" i="47"/>
  <c r="J37" i="47"/>
  <c r="J36" i="47"/>
  <c r="J35" i="47"/>
  <c r="J34" i="47"/>
  <c r="J33" i="47"/>
  <c r="J32" i="47"/>
  <c r="J31" i="47"/>
  <c r="J30" i="47"/>
  <c r="J29" i="47"/>
  <c r="J28" i="47"/>
  <c r="J27" i="47"/>
  <c r="J26" i="47"/>
  <c r="J25" i="47"/>
  <c r="J24" i="47"/>
  <c r="J23" i="47"/>
  <c r="J22" i="47"/>
  <c r="J21" i="47"/>
  <c r="J20" i="47"/>
  <c r="J19" i="47"/>
  <c r="J18" i="47"/>
  <c r="J17" i="47"/>
  <c r="J16" i="47"/>
  <c r="J15" i="47"/>
  <c r="J14" i="47"/>
  <c r="J13" i="47"/>
  <c r="J12" i="47"/>
  <c r="J11" i="47"/>
  <c r="J10" i="47"/>
  <c r="J9" i="47"/>
  <c r="J8" i="47"/>
  <c r="J7" i="47"/>
  <c r="J6" i="47"/>
  <c r="J5" i="47"/>
  <c r="J4" i="47"/>
  <c r="J3" i="47"/>
  <c r="I54" i="39"/>
  <c r="I55" i="39" s="1"/>
  <c r="I51" i="39"/>
  <c r="I52" i="39" s="1"/>
  <c r="I48" i="39"/>
  <c r="I49" i="39" s="1"/>
  <c r="J61" i="27" l="1"/>
  <c r="J60" i="27"/>
  <c r="J59" i="27"/>
  <c r="J58" i="27"/>
  <c r="J57" i="27"/>
  <c r="J56" i="27"/>
  <c r="J55" i="27"/>
  <c r="J54" i="27"/>
  <c r="J53" i="27"/>
  <c r="J52" i="27"/>
  <c r="J51" i="27"/>
  <c r="J50" i="27"/>
  <c r="J49" i="27"/>
  <c r="J48" i="27"/>
  <c r="J47" i="27"/>
  <c r="J46" i="27"/>
  <c r="J45" i="27"/>
  <c r="J44" i="27"/>
  <c r="J43" i="27"/>
  <c r="J42" i="27"/>
  <c r="J41" i="27"/>
  <c r="J40" i="27"/>
  <c r="J39" i="27"/>
  <c r="J38" i="27"/>
  <c r="J37" i="27"/>
  <c r="J36" i="27"/>
  <c r="J35" i="27"/>
  <c r="J34" i="27"/>
  <c r="J33" i="27"/>
  <c r="J32" i="27"/>
  <c r="J31" i="27"/>
  <c r="J30" i="27"/>
  <c r="J29" i="27"/>
  <c r="J28" i="27"/>
  <c r="J27" i="27"/>
  <c r="J26" i="27"/>
  <c r="J25" i="27"/>
  <c r="J24" i="27"/>
  <c r="J23" i="27"/>
  <c r="J22" i="27"/>
  <c r="J21" i="27"/>
  <c r="J20" i="27"/>
  <c r="J19" i="27"/>
  <c r="J18" i="27"/>
  <c r="J17" i="27"/>
  <c r="J16" i="27"/>
  <c r="J15" i="27"/>
  <c r="J14" i="27"/>
  <c r="J13" i="27"/>
  <c r="J12" i="27"/>
  <c r="J11" i="27"/>
  <c r="J10" i="27"/>
  <c r="J9" i="27"/>
  <c r="J8" i="27"/>
  <c r="J7" i="27"/>
  <c r="J6" i="27"/>
  <c r="J5" i="27"/>
  <c r="J4" i="27"/>
  <c r="J3" i="27"/>
  <c r="J2" i="27"/>
  <c r="K87" i="18"/>
  <c r="K86" i="18"/>
  <c r="K85" i="18"/>
  <c r="K84" i="18"/>
  <c r="K83" i="18"/>
  <c r="K82" i="18"/>
  <c r="K81" i="18"/>
  <c r="K80" i="18"/>
  <c r="K37" i="18" l="1"/>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8" i="18"/>
  <c r="K89" i="18"/>
  <c r="K90" i="18"/>
  <c r="K91" i="18"/>
  <c r="K92" i="18"/>
  <c r="K93" i="18"/>
  <c r="K94" i="18"/>
  <c r="K95" i="18"/>
  <c r="K96" i="18"/>
  <c r="K97" i="18"/>
  <c r="K98" i="18"/>
  <c r="K99" i="18"/>
  <c r="K100" i="18"/>
  <c r="K101" i="18"/>
  <c r="K102" i="18"/>
  <c r="K103" i="18"/>
  <c r="K104" i="18"/>
  <c r="K105" i="18"/>
  <c r="K106" i="18"/>
  <c r="K107" i="18"/>
  <c r="K108" i="18"/>
  <c r="K109" i="18"/>
  <c r="K110" i="18"/>
  <c r="K111" i="18"/>
  <c r="K112" i="18"/>
  <c r="K113" i="18"/>
  <c r="K114" i="18"/>
  <c r="K115" i="18"/>
  <c r="K116" i="18"/>
  <c r="K117" i="18"/>
  <c r="K118" i="18"/>
  <c r="K119" i="18"/>
  <c r="K120" i="18"/>
  <c r="K121" i="18"/>
  <c r="K122" i="18"/>
  <c r="K123" i="18"/>
  <c r="K124" i="18"/>
  <c r="K125" i="18"/>
  <c r="K126" i="18"/>
  <c r="K127" i="18"/>
  <c r="K128" i="18"/>
  <c r="K129" i="18"/>
  <c r="K130" i="18"/>
  <c r="K131" i="18"/>
  <c r="K132" i="18"/>
  <c r="K133" i="18"/>
  <c r="K134" i="18"/>
  <c r="K135" i="18"/>
  <c r="K136" i="18"/>
  <c r="K137" i="18"/>
  <c r="K138" i="18"/>
  <c r="K139" i="18"/>
  <c r="K140" i="18"/>
  <c r="K141" i="18"/>
  <c r="K142" i="18"/>
  <c r="K143" i="18"/>
  <c r="K144" i="18"/>
  <c r="K145" i="18"/>
  <c r="K146" i="18"/>
  <c r="K147" i="18"/>
  <c r="K148" i="18"/>
  <c r="K149" i="18"/>
  <c r="K150" i="18"/>
  <c r="K151" i="18"/>
  <c r="K152" i="18"/>
  <c r="K153" i="18"/>
  <c r="K154" i="18"/>
  <c r="K155" i="18"/>
  <c r="K156" i="18"/>
  <c r="K157" i="18"/>
  <c r="K158" i="18"/>
  <c r="K159" i="18"/>
  <c r="K160" i="18"/>
  <c r="K161" i="18"/>
  <c r="K162" i="18"/>
  <c r="K163" i="18"/>
  <c r="K164" i="18"/>
  <c r="K165" i="18"/>
  <c r="O165" i="18"/>
  <c r="O164" i="18"/>
  <c r="O163" i="18"/>
  <c r="O162" i="18"/>
  <c r="O161" i="18"/>
  <c r="O160" i="18"/>
  <c r="O159" i="18"/>
  <c r="O158" i="18"/>
  <c r="O157" i="18"/>
  <c r="O156" i="18"/>
  <c r="O155" i="18"/>
  <c r="O154" i="18"/>
  <c r="O153" i="18"/>
  <c r="O152" i="18"/>
  <c r="O151" i="18"/>
  <c r="O150" i="18"/>
  <c r="O149" i="18"/>
  <c r="O148" i="18"/>
  <c r="O147" i="18"/>
  <c r="O146" i="18"/>
  <c r="O145" i="18"/>
  <c r="O144" i="18"/>
  <c r="O143" i="18"/>
  <c r="O142" i="18"/>
  <c r="O141" i="18"/>
  <c r="O140" i="18"/>
  <c r="O139" i="18"/>
  <c r="O138" i="18"/>
  <c r="O137" i="18"/>
  <c r="O136" i="18"/>
  <c r="O135" i="18"/>
  <c r="O134" i="18"/>
  <c r="O133" i="18"/>
  <c r="O132" i="18"/>
  <c r="O131" i="18"/>
  <c r="O130" i="18"/>
  <c r="O129" i="18"/>
  <c r="O128" i="18"/>
  <c r="O127" i="18"/>
  <c r="O126" i="18"/>
  <c r="O125" i="18"/>
  <c r="O124" i="18"/>
  <c r="O123" i="18"/>
  <c r="O122" i="18"/>
  <c r="O121" i="18"/>
  <c r="O120" i="18"/>
  <c r="O119" i="18"/>
  <c r="O118" i="18"/>
  <c r="O117" i="18"/>
  <c r="O116" i="18"/>
  <c r="O115" i="18"/>
  <c r="O114" i="18"/>
  <c r="O113" i="18"/>
  <c r="O112" i="18"/>
  <c r="O111" i="18"/>
  <c r="O110" i="18"/>
  <c r="O109" i="18"/>
  <c r="O108" i="18"/>
  <c r="O107" i="18"/>
  <c r="O106" i="18"/>
  <c r="O105" i="18"/>
  <c r="O104" i="18"/>
  <c r="O103" i="18"/>
  <c r="O102" i="18"/>
  <c r="O101" i="18"/>
  <c r="O100" i="18"/>
  <c r="O99" i="18"/>
  <c r="O98" i="18"/>
  <c r="O97" i="18"/>
  <c r="O96" i="18"/>
  <c r="O95" i="18"/>
  <c r="O94" i="18"/>
  <c r="O93" i="18"/>
  <c r="O92" i="18"/>
  <c r="O91" i="18"/>
  <c r="O90" i="18"/>
  <c r="O89" i="18"/>
  <c r="O88" i="18"/>
  <c r="O87" i="18"/>
  <c r="O86" i="18"/>
  <c r="O85" i="18"/>
  <c r="O84" i="18"/>
  <c r="O83" i="18"/>
  <c r="O82" i="18"/>
  <c r="O81" i="18"/>
  <c r="O80" i="18"/>
  <c r="O79" i="18"/>
  <c r="O78" i="18"/>
  <c r="O77" i="18"/>
  <c r="O76" i="18"/>
  <c r="O75" i="18"/>
  <c r="O74" i="18"/>
  <c r="O73" i="18"/>
  <c r="O72" i="18"/>
  <c r="O71" i="18"/>
  <c r="O70" i="18"/>
  <c r="O69" i="18"/>
  <c r="O68" i="18"/>
  <c r="O67" i="18"/>
  <c r="O66" i="18"/>
  <c r="O65" i="18"/>
  <c r="O64" i="18"/>
  <c r="O63" i="18"/>
  <c r="O62" i="18"/>
  <c r="O61" i="18"/>
  <c r="O60" i="18"/>
  <c r="O59" i="18"/>
  <c r="O58" i="18"/>
  <c r="O57" i="18"/>
  <c r="O56" i="18"/>
  <c r="O55" i="18"/>
  <c r="O54" i="18"/>
  <c r="O53" i="18"/>
  <c r="O52" i="18"/>
  <c r="O51" i="18"/>
  <c r="O50" i="18"/>
  <c r="O49" i="18"/>
  <c r="O48" i="18"/>
  <c r="O47" i="18"/>
  <c r="O46" i="18"/>
  <c r="O45" i="18"/>
  <c r="O44" i="18"/>
  <c r="O43" i="18"/>
  <c r="O42" i="18"/>
  <c r="O41" i="18"/>
  <c r="O40" i="18"/>
  <c r="O39" i="18"/>
  <c r="O38" i="18"/>
  <c r="O37" i="18"/>
  <c r="O36" i="18"/>
  <c r="K36" i="18"/>
  <c r="O35" i="18"/>
  <c r="K35" i="18"/>
  <c r="O34" i="18"/>
  <c r="K34" i="18"/>
  <c r="O33" i="18"/>
  <c r="K33" i="18"/>
  <c r="O32" i="18"/>
  <c r="K32" i="18"/>
  <c r="O31" i="18"/>
  <c r="K31" i="18"/>
  <c r="O30" i="18"/>
  <c r="K30" i="18"/>
  <c r="O29" i="18"/>
  <c r="K29" i="18"/>
  <c r="O28" i="18"/>
  <c r="K28" i="18"/>
  <c r="O27" i="18"/>
  <c r="K27" i="18"/>
  <c r="O26" i="18"/>
  <c r="K26" i="18"/>
  <c r="O25" i="18"/>
  <c r="K25" i="18"/>
  <c r="O24" i="18"/>
  <c r="K24" i="18"/>
  <c r="O23" i="18"/>
  <c r="K23" i="18"/>
  <c r="O22" i="18"/>
  <c r="K22" i="18"/>
  <c r="O21" i="18"/>
  <c r="K21" i="18"/>
  <c r="O20" i="18"/>
  <c r="K20" i="18"/>
  <c r="O19" i="18"/>
  <c r="K19" i="18"/>
  <c r="O18" i="18"/>
  <c r="K18" i="18"/>
  <c r="O17" i="18"/>
  <c r="K17" i="18"/>
  <c r="O16" i="18"/>
  <c r="K16" i="18"/>
  <c r="O15" i="18"/>
  <c r="K15" i="18"/>
  <c r="O14" i="18"/>
  <c r="K14" i="18"/>
  <c r="O13" i="18"/>
  <c r="K13" i="18"/>
  <c r="O12" i="18"/>
  <c r="K12" i="18"/>
  <c r="K11" i="18"/>
  <c r="O10" i="18"/>
  <c r="K10" i="18"/>
  <c r="O9" i="18"/>
  <c r="K9" i="18"/>
  <c r="O8" i="18"/>
  <c r="K8" i="18"/>
  <c r="O7" i="18"/>
  <c r="K7" i="18"/>
  <c r="O6" i="18"/>
  <c r="K6" i="18"/>
  <c r="O5" i="18"/>
  <c r="K5" i="18"/>
  <c r="O4" i="18"/>
  <c r="K4" i="18"/>
  <c r="O3" i="18"/>
  <c r="K3" i="18"/>
  <c r="O2" i="18"/>
  <c r="K2" i="18"/>
</calcChain>
</file>

<file path=xl/sharedStrings.xml><?xml version="1.0" encoding="utf-8"?>
<sst xmlns="http://schemas.openxmlformats.org/spreadsheetml/2006/main" count="93059" uniqueCount="11327">
  <si>
    <t>PROVEEDOR</t>
  </si>
  <si>
    <t>Código matriz Colombia Compra Eficiente</t>
  </si>
  <si>
    <t>categoria</t>
  </si>
  <si>
    <t>Moneda</t>
  </si>
  <si>
    <t>Nombre Producto</t>
  </si>
  <si>
    <t>Unidad de Medida</t>
  </si>
  <si>
    <t>Tipo</t>
  </si>
  <si>
    <t>Zona</t>
  </si>
  <si>
    <t>Asistencia</t>
  </si>
  <si>
    <t>Perfil</t>
  </si>
  <si>
    <t>Número de parte</t>
  </si>
  <si>
    <t>Forma de Pago</t>
  </si>
  <si>
    <t>Precio</t>
  </si>
  <si>
    <t>IVA</t>
  </si>
  <si>
    <t>COP</t>
  </si>
  <si>
    <t>N/A</t>
  </si>
  <si>
    <t>Producto</t>
  </si>
  <si>
    <t>Zonas (1,2,3)</t>
  </si>
  <si>
    <t>Remoto y/o fisico</t>
  </si>
  <si>
    <t>Empleado</t>
  </si>
  <si>
    <t>Nit</t>
  </si>
  <si>
    <t>Servicio</t>
  </si>
  <si>
    <t xml:space="preserve">Anual </t>
  </si>
  <si>
    <t>Pago anual Anticipado</t>
  </si>
  <si>
    <t>Suscripción mensual con pago mensual vencido</t>
  </si>
  <si>
    <t>Usuario</t>
  </si>
  <si>
    <t>Remoto</t>
  </si>
  <si>
    <t>4 Horas</t>
  </si>
  <si>
    <t>Mensual por servicios/productos efectivamente prestados</t>
  </si>
  <si>
    <t>Hora</t>
  </si>
  <si>
    <t>Paq x 15 usuarios</t>
  </si>
  <si>
    <t>unidad</t>
  </si>
  <si>
    <t>usuario</t>
  </si>
  <si>
    <t>Suscripción mensual con pago anual</t>
  </si>
  <si>
    <t>Paq x 50 usuarios</t>
  </si>
  <si>
    <t>P-2001</t>
  </si>
  <si>
    <t>Georreferenciador: Georreferenciación malla vial SaaS</t>
  </si>
  <si>
    <t>Registro</t>
  </si>
  <si>
    <t>P-2002</t>
  </si>
  <si>
    <t>Georreferenciador: Georreferenciación Predial SaaS</t>
  </si>
  <si>
    <t>P-2003</t>
  </si>
  <si>
    <t>Georreferenciador: Georreferenciación malla vial - ON Premise</t>
  </si>
  <si>
    <t>Sitio</t>
  </si>
  <si>
    <t>P-2004</t>
  </si>
  <si>
    <t>Georreferenciador: Georreferenciación Predial - ON Premise</t>
  </si>
  <si>
    <t>P-2005</t>
  </si>
  <si>
    <t>Georreferenciador: Georreferenciación Homologación SUI - ON Premise</t>
  </si>
  <si>
    <t>P-2006</t>
  </si>
  <si>
    <t>Georreferenciador: Georreferenciación Homologación SUI SaaS</t>
  </si>
  <si>
    <t>P-2007</t>
  </si>
  <si>
    <t>Georreferenciador: Georreferenciación Inverso SaaS</t>
  </si>
  <si>
    <t>P-2008</t>
  </si>
  <si>
    <t>Georreferenciador: Georreferenciación Inverso - On Premise</t>
  </si>
  <si>
    <t>P-3001</t>
  </si>
  <si>
    <t>SitiData Estandarización, validación, Georeferenciación Predial y código postal SaaS</t>
  </si>
  <si>
    <t>P-3002</t>
  </si>
  <si>
    <t>SitiData Geoinverso, estandarización, validación y código Postal SaaS</t>
  </si>
  <si>
    <t>P-3003</t>
  </si>
  <si>
    <t>SitiData Homologación NPN - SUI Automática y Manual SaaS</t>
  </si>
  <si>
    <t>P-6001</t>
  </si>
  <si>
    <t>Mensual por recurso</t>
  </si>
  <si>
    <t>P-6002</t>
  </si>
  <si>
    <t>Anual por recurso</t>
  </si>
  <si>
    <t>P-4001</t>
  </si>
  <si>
    <t>Mensual</t>
  </si>
  <si>
    <t>P-4002</t>
  </si>
  <si>
    <t>P-4003</t>
  </si>
  <si>
    <t>P-4004</t>
  </si>
  <si>
    <t>P-4005</t>
  </si>
  <si>
    <t>P-4006</t>
  </si>
  <si>
    <t>Zona 1</t>
  </si>
  <si>
    <t>P-4007</t>
  </si>
  <si>
    <t>Zona 3</t>
  </si>
  <si>
    <t>P-4008</t>
  </si>
  <si>
    <t>Zona 2</t>
  </si>
  <si>
    <t>P-4009</t>
  </si>
  <si>
    <t>Anual</t>
  </si>
  <si>
    <t>P-4010</t>
  </si>
  <si>
    <t>P-4011</t>
  </si>
  <si>
    <t>P-4012</t>
  </si>
  <si>
    <t>P-4013</t>
  </si>
  <si>
    <t>P-4014</t>
  </si>
  <si>
    <t>P-9001</t>
  </si>
  <si>
    <t>P-9002</t>
  </si>
  <si>
    <t>P-9003</t>
  </si>
  <si>
    <t>P-9004</t>
  </si>
  <si>
    <t>P-9005</t>
  </si>
  <si>
    <t>Geovisor Movil 1TB Tráfico Mensual (Almacenamiento y Procesamiento)</t>
  </si>
  <si>
    <t>P-9006</t>
  </si>
  <si>
    <t>IT-SW-01-01</t>
  </si>
  <si>
    <t xml:space="preserve">Capacitación para usuario final - hasta 10 Personas.  </t>
  </si>
  <si>
    <t>Por sesión de capacitación de 4 horas para un grupo de hasta 10 personas.</t>
  </si>
  <si>
    <t>IT-SW-01-02</t>
  </si>
  <si>
    <t>IT-SW-01-03</t>
  </si>
  <si>
    <t>IT-SW-01-04</t>
  </si>
  <si>
    <t>IT-SW-01-05</t>
  </si>
  <si>
    <t>IT-SW-01-06</t>
  </si>
  <si>
    <t>IT-SW-02-01</t>
  </si>
  <si>
    <t xml:space="preserve">Capacitación para usuario final hasta 20 Personas.  </t>
  </si>
  <si>
    <t>Por sesión de capacitación de 4 horas para un grupo de hasta 20 personas.</t>
  </si>
  <si>
    <t>IT-SW-02-02</t>
  </si>
  <si>
    <t>IT-SW-02-03</t>
  </si>
  <si>
    <t>IT-SW-02-04</t>
  </si>
  <si>
    <t>IT-SW-02-05</t>
  </si>
  <si>
    <t>IT-SW-02-06</t>
  </si>
  <si>
    <t>IT-SW-03-01</t>
  </si>
  <si>
    <t xml:space="preserve">Capacitación para usuario técnico o administrador - hasta 10 Personas.  </t>
  </si>
  <si>
    <t>IT-SW-03-02</t>
  </si>
  <si>
    <t>IT-SW-03-03</t>
  </si>
  <si>
    <t>IT-SW-03-04</t>
  </si>
  <si>
    <t>IT-SW-03-05</t>
  </si>
  <si>
    <t>IT-SW-03-06</t>
  </si>
  <si>
    <t>IT-SW-04-01</t>
  </si>
  <si>
    <t xml:space="preserve">Capacitación para usuario técnico o administrador hasta 20 Personas.  </t>
  </si>
  <si>
    <t>IT-SW-04-02</t>
  </si>
  <si>
    <t>IT-SW-04-03</t>
  </si>
  <si>
    <t>IT-SW-04-04</t>
  </si>
  <si>
    <t>IT-SW-04-05</t>
  </si>
  <si>
    <t>IT-SW-04-06</t>
  </si>
  <si>
    <t>IT-SW-05-01</t>
  </si>
  <si>
    <t xml:space="preserve">Configuración y parametrización de los Productos </t>
  </si>
  <si>
    <t>IT-SW-05-02</t>
  </si>
  <si>
    <t>IT-SW-05-03</t>
  </si>
  <si>
    <t>IT-SW-05-04</t>
  </si>
  <si>
    <t>IT-SW-05-05</t>
  </si>
  <si>
    <t>IT-SW-05-06</t>
  </si>
  <si>
    <t>IT-SW-06-01</t>
  </si>
  <si>
    <t xml:space="preserve">Gerente de cuenta (soporte) </t>
  </si>
  <si>
    <t>Mes</t>
  </si>
  <si>
    <t>IT-SW-06-02</t>
  </si>
  <si>
    <t>IT-SW-06-03</t>
  </si>
  <si>
    <t>IT-SW-07-01</t>
  </si>
  <si>
    <t xml:space="preserve">Instalación de Licencia o Suscripción Anual, o afínes </t>
  </si>
  <si>
    <t>Unidad</t>
  </si>
  <si>
    <t>IT-SW-07-02</t>
  </si>
  <si>
    <t>IT-SW-07-03</t>
  </si>
  <si>
    <t>IT-SW-07-04</t>
  </si>
  <si>
    <t>IT-SW-07-05</t>
  </si>
  <si>
    <t>IT-SW-07-06</t>
  </si>
  <si>
    <t>IT-SW-08-01</t>
  </si>
  <si>
    <t xml:space="preserve">Migración de información por volumen de datos almacenados </t>
  </si>
  <si>
    <t>GB</t>
  </si>
  <si>
    <t>IT-SW-08-02</t>
  </si>
  <si>
    <t>IT-SW-08-03</t>
  </si>
  <si>
    <t>IT-SW-08-04</t>
  </si>
  <si>
    <t>IT-SW-08-05</t>
  </si>
  <si>
    <t>IT-SW-08-06</t>
  </si>
  <si>
    <t>IT-SW-09-01</t>
  </si>
  <si>
    <t xml:space="preserve">Soporte técnico en sitio </t>
  </si>
  <si>
    <t>IT-SW-09-02</t>
  </si>
  <si>
    <t>IT-SW-09-03</t>
  </si>
  <si>
    <t>IT-SW-10-01</t>
  </si>
  <si>
    <t xml:space="preserve">Soporte técnico proactivo </t>
  </si>
  <si>
    <t>IT-SW-10-02</t>
  </si>
  <si>
    <t>IT-SW-10-03</t>
  </si>
  <si>
    <t>IT-SW-10-04</t>
  </si>
  <si>
    <t>IT-SW-10-05</t>
  </si>
  <si>
    <t>IT-SW-10-06</t>
  </si>
  <si>
    <t>IT-SW-11-01</t>
  </si>
  <si>
    <t xml:space="preserve">Soporte técnico reactivo </t>
  </si>
  <si>
    <t>IT-SW-11-02</t>
  </si>
  <si>
    <t>IT-SW-11-03</t>
  </si>
  <si>
    <t>IT-SW-11-04</t>
  </si>
  <si>
    <t>IT-SW-11-05</t>
  </si>
  <si>
    <t>IT-SW-11-06</t>
  </si>
  <si>
    <t>Suscripción Mensual</t>
  </si>
  <si>
    <t>Capacitador</t>
  </si>
  <si>
    <t>Profesional</t>
  </si>
  <si>
    <t>Licencia</t>
  </si>
  <si>
    <t>Año</t>
  </si>
  <si>
    <t>Técnico o Tecnólogo</t>
  </si>
  <si>
    <t>Tecnico o Tecnologo</t>
  </si>
  <si>
    <t>Si</t>
  </si>
  <si>
    <t>No</t>
  </si>
  <si>
    <t>Mensual por servicios efectivamente prestados</t>
  </si>
  <si>
    <t>USD</t>
  </si>
  <si>
    <t>NA</t>
  </si>
  <si>
    <t>Remota</t>
  </si>
  <si>
    <t>Suscripción anual</t>
  </si>
  <si>
    <t>AG-7001</t>
  </si>
  <si>
    <t>AG-7002</t>
  </si>
  <si>
    <t>AG-7003</t>
  </si>
  <si>
    <t>AG-7004</t>
  </si>
  <si>
    <t>AG-7005</t>
  </si>
  <si>
    <t>AG-7006</t>
  </si>
  <si>
    <t>AG-7007</t>
  </si>
  <si>
    <t>AG-7008</t>
  </si>
  <si>
    <t>PR-001-1</t>
  </si>
  <si>
    <t>Sitidoctor - SaaS</t>
  </si>
  <si>
    <t>PR-001-2</t>
  </si>
  <si>
    <t>PR-001-3</t>
  </si>
  <si>
    <t>PR-002-1</t>
  </si>
  <si>
    <t>PR-002-2</t>
  </si>
  <si>
    <t>PR-003-1</t>
  </si>
  <si>
    <t>PR-003-2</t>
  </si>
  <si>
    <t>PR-003-3</t>
  </si>
  <si>
    <t>CP-001</t>
  </si>
  <si>
    <t>CP-002</t>
  </si>
  <si>
    <t>CP-003</t>
  </si>
  <si>
    <t>CP-004</t>
  </si>
  <si>
    <t>CP-005</t>
  </si>
  <si>
    <t>CP-006</t>
  </si>
  <si>
    <t>Macro Proyectos SAS</t>
  </si>
  <si>
    <t>IT-BPMS-01</t>
  </si>
  <si>
    <t>Software Macro Proyectos SAS</t>
  </si>
  <si>
    <t>Licencia Forest BPMS Básica (Hasta 25 Procedimientos) ONPREMISE</t>
  </si>
  <si>
    <t>Zona 1,2,3</t>
  </si>
  <si>
    <t>IT-BPMS-02</t>
  </si>
  <si>
    <t>Licencia Forest BPMS Básica SaaS (50 usuarios hasta 25 procedimientos)</t>
  </si>
  <si>
    <t>IT-SGDEA-03</t>
  </si>
  <si>
    <t>Licencia Forest SGDEA ONPREMISE</t>
  </si>
  <si>
    <t>IT-SGDEA-04</t>
  </si>
  <si>
    <t>Licencia Forest SGDEA SaaS (50 usuarios)</t>
  </si>
  <si>
    <t>IT-SGDEA-05</t>
  </si>
  <si>
    <t>Licencia Adicional Forest SGDEA SaaS (usuario)</t>
  </si>
  <si>
    <t>Automatización, configuración, parametrización de procesos en Forest BPMS</t>
  </si>
  <si>
    <t>SI</t>
  </si>
  <si>
    <t>Servinformación</t>
  </si>
  <si>
    <t>Software Servinformación</t>
  </si>
  <si>
    <t>Pensemos SA</t>
  </si>
  <si>
    <t>Software Pensemos SA</t>
  </si>
  <si>
    <t>Zona 1, 2 y 3</t>
  </si>
  <si>
    <t>Por sesión de capacitación de 16 horas para un grupo de hasta 10 personas.</t>
  </si>
  <si>
    <t>CON-SVE-05</t>
  </si>
  <si>
    <t>CON-SVE-06</t>
  </si>
  <si>
    <t>CON-SVE-07</t>
  </si>
  <si>
    <t>CON-SVE-08</t>
  </si>
  <si>
    <t>CON-SVE-09</t>
  </si>
  <si>
    <t>Por sesión de capacitación de 4 horas para un grupo de hasta 5 personas.</t>
  </si>
  <si>
    <t>CON-SVE-10</t>
  </si>
  <si>
    <t>Por sesión de capacitación de 16 horas para un grupo de hasta 5 personas.</t>
  </si>
  <si>
    <t>CON-SVE-11</t>
  </si>
  <si>
    <t>CON-SVE-12</t>
  </si>
  <si>
    <t>CON-SVE-17</t>
  </si>
  <si>
    <t xml:space="preserve">Configuración técnica o reportes específicos para la entidad </t>
  </si>
  <si>
    <t>SOP-SVE-01</t>
  </si>
  <si>
    <t>SOP-SVE-02</t>
  </si>
  <si>
    <t>Instalación del Servidor con la Suite Visión Empresarial</t>
  </si>
  <si>
    <t>SOP-SVE-03</t>
  </si>
  <si>
    <t>SOP-SVE-04</t>
  </si>
  <si>
    <t>SOP-SVE-05</t>
  </si>
  <si>
    <t>SOP-SVE-06</t>
  </si>
  <si>
    <t>Soporte técnico remoto</t>
  </si>
  <si>
    <t>Por sesión de trabajo de hasta 4 horas</t>
  </si>
  <si>
    <t>SOP-SVE-07</t>
  </si>
  <si>
    <t>Por sesión de trabajo de hasta 2 días</t>
  </si>
  <si>
    <t>SOP-SVE-08</t>
  </si>
  <si>
    <t>SOP-SVE-09</t>
  </si>
  <si>
    <t>LIC-SVE-01</t>
  </si>
  <si>
    <t>Licenciamiento perpetuo SVE Gestión de la Estrategia</t>
  </si>
  <si>
    <t>Licencia primeros 10 usuarios nombrados</t>
  </si>
  <si>
    <t>No aplica</t>
  </si>
  <si>
    <t>Unico pago</t>
  </si>
  <si>
    <t>LIC-SVE-02</t>
  </si>
  <si>
    <t>Licenciamiento perpetuo SVE Gestión de la Estrategia - usuario adicional</t>
  </si>
  <si>
    <t>Licencia usuario nombrado adicional</t>
  </si>
  <si>
    <t>LIC-SVE-03</t>
  </si>
  <si>
    <t>Licenciamiento perpetuo SVE Gestión de Calidad</t>
  </si>
  <si>
    <t>LIC-SVE-04</t>
  </si>
  <si>
    <t>Licenciamiento perpetuo SVE Gestión de Calidad - usuario adicional</t>
  </si>
  <si>
    <t>LIC-SVE-05</t>
  </si>
  <si>
    <t>Licenciamiento perpetuo SVE MIPG</t>
  </si>
  <si>
    <t>LIC-SVE-06</t>
  </si>
  <si>
    <t>Licenciamiento perpetuo SVE MIPG - usuario adicional</t>
  </si>
  <si>
    <t>LIC-SVE-07</t>
  </si>
  <si>
    <t>Licenciamiento perpetuo SVE Gestión de Proyectos</t>
  </si>
  <si>
    <t>LIC-SVE-08</t>
  </si>
  <si>
    <t>Licenciamiento perpetuo SVE Gestión de Proyectos - usuario adicional</t>
  </si>
  <si>
    <t>LIC-SVE-09</t>
  </si>
  <si>
    <t>Licenciamiento perpetuo SVE Gestión de Riesgos</t>
  </si>
  <si>
    <t>LIC-SVE-10</t>
  </si>
  <si>
    <t>Licenciamiento perpetuo SVE Gestión de Riesgos - usuario adicional</t>
  </si>
  <si>
    <t>LIC-SVE-11</t>
  </si>
  <si>
    <t>Licenciamiento perpetuo SVE Analítico</t>
  </si>
  <si>
    <t>Licencia primeros 20 usuarios nombrados</t>
  </si>
  <si>
    <t>LIC-SVE-12</t>
  </si>
  <si>
    <t>Licenciamiento perpetuo SVE Analítico - usuario adicional</t>
  </si>
  <si>
    <t>LIC-SVE-13</t>
  </si>
  <si>
    <t>Licenciamiento perpetuo SVE GRC</t>
  </si>
  <si>
    <t>LIC-SVE-14</t>
  </si>
  <si>
    <t>Licenciamiento perpetuo SVE GRC - usuario adicional</t>
  </si>
  <si>
    <t>LIC-SVE-15</t>
  </si>
  <si>
    <t>Licenciamiento perpetuo SVE módulo Indicadores - usuario adicional</t>
  </si>
  <si>
    <t>LIC-SVE-16</t>
  </si>
  <si>
    <t>Licenciamiento perpetuo SVE módulo planes - usuario adicional</t>
  </si>
  <si>
    <t>LIC-SVE-17</t>
  </si>
  <si>
    <t>Licenciamiento perpetuo SVE módulo portafolio - usuario adicional</t>
  </si>
  <si>
    <t>LIC-SVE-18</t>
  </si>
  <si>
    <t>Licenciamiento perpetuo SVE módulo alineación - usuario adicional</t>
  </si>
  <si>
    <t>LIC-SVE-19</t>
  </si>
  <si>
    <t>Licenciamiento perpetuo SVE módulo BSC - usuario adicional</t>
  </si>
  <si>
    <t>LIC-SVE-20</t>
  </si>
  <si>
    <t>Licenciamiento perpetuo SVE módulo reuniones - usuario adicional</t>
  </si>
  <si>
    <t>LIC-SVE-21</t>
  </si>
  <si>
    <t>Licenciamiento perpetuo SVE módulo eventos y decisiones - usuario adicional</t>
  </si>
  <si>
    <t>LIC-SVE-22</t>
  </si>
  <si>
    <t>Licenciamiento perpetuo SVE módulo compromisos - usuario adicional</t>
  </si>
  <si>
    <t>LIC-SVE-23</t>
  </si>
  <si>
    <t>Licenciamiento perpetuo SVE módulo documentos - usuario adicional</t>
  </si>
  <si>
    <t>LIC-SVE-24</t>
  </si>
  <si>
    <t>Licenciamiento perpetuo SVE módulo mejoras - usuario adicional</t>
  </si>
  <si>
    <t>LIC-SVE-25</t>
  </si>
  <si>
    <t>Licenciamiento perpetuo SVE módulo verificaciones - usuario adicional</t>
  </si>
  <si>
    <t>LIC-SVE-26</t>
  </si>
  <si>
    <t>Licenciamiento perpetuo SVE módulo riesgos - usuario adicional</t>
  </si>
  <si>
    <t>LIC-SVE-27</t>
  </si>
  <si>
    <t>Licencia Servidor</t>
  </si>
  <si>
    <t>LIC-SVE-28</t>
  </si>
  <si>
    <t>LIC-SVE-29</t>
  </si>
  <si>
    <t>LIC-SVE-30</t>
  </si>
  <si>
    <t>LIC-SVE-31</t>
  </si>
  <si>
    <t>LIC-SVE-32</t>
  </si>
  <si>
    <t>SUS-SVE-01</t>
  </si>
  <si>
    <t>Suscripción anual SaaS SVE Gestión de la Estrategia</t>
  </si>
  <si>
    <t>SUS-SVE-02</t>
  </si>
  <si>
    <t>Suscripción anual SaaS SVE Gestión de la Estrategia - usuario adicional</t>
  </si>
  <si>
    <t>SUS-SVE-03</t>
  </si>
  <si>
    <t>Suscripción anual SaaS SVE Gestión de Calidad</t>
  </si>
  <si>
    <t>SUS-SVE-04</t>
  </si>
  <si>
    <t>Suscripción anual SaaS SVE Gestión de Calidad - usuario adicional</t>
  </si>
  <si>
    <t>SUS-SVE-05</t>
  </si>
  <si>
    <t>Suscripción anual SaaS SVE MIPG</t>
  </si>
  <si>
    <t>SUS-SVE-06</t>
  </si>
  <si>
    <t>Suscripción anual SaaS SVE MIPG - usuario adicional</t>
  </si>
  <si>
    <t>SUS-SVE-07</t>
  </si>
  <si>
    <t>Suscripción anual SaaS SVE Gestión de Proyectos</t>
  </si>
  <si>
    <t>SUS-SVE-08</t>
  </si>
  <si>
    <t>Suscripción anual SaaS SVE Gestión de Proyectos - usuario adicional</t>
  </si>
  <si>
    <t>SUS-SVE-09</t>
  </si>
  <si>
    <t>Suscripción anual SaaS SVE Gestión de Riesgos</t>
  </si>
  <si>
    <t>SUS-SVE-10</t>
  </si>
  <si>
    <t>Suscripción anual SaaS SVE Gestión de Riesgos - usuario adicional</t>
  </si>
  <si>
    <t>SUS-SVE-11</t>
  </si>
  <si>
    <t>Suscripción anual SaaS SVE Analítico</t>
  </si>
  <si>
    <t>SUS-SVE-12</t>
  </si>
  <si>
    <t>Suscripción anual SaaS SVE Analítico - usuario adicional</t>
  </si>
  <si>
    <t>SUS-SVE-13</t>
  </si>
  <si>
    <t>Suscripción anual SaaS SVE GRC</t>
  </si>
  <si>
    <t>SUS-SVE-14</t>
  </si>
  <si>
    <t>Suscripción anual SaaS SVE GRC - usuario adicional</t>
  </si>
  <si>
    <t>SUS-SVE-15</t>
  </si>
  <si>
    <t>Suscripción anual SaaS SVE módulo Indicadores - usuario adicional</t>
  </si>
  <si>
    <t>SUS-SVE-16</t>
  </si>
  <si>
    <t>Suscripción anual SaaS SVE módulo planes - usuario adicional</t>
  </si>
  <si>
    <t>SUS-SVE-17</t>
  </si>
  <si>
    <t>Suscripción anual SaaS SVE módulo portafolio - usuario adicional</t>
  </si>
  <si>
    <t>SUS-SVE-18</t>
  </si>
  <si>
    <t>Suscripción anual SaaS SVE módulo alineación - usuario adicional</t>
  </si>
  <si>
    <t>SUS-SVE-19</t>
  </si>
  <si>
    <t>Suscripción anual SaaS SVE módulo BSC - usuario adicional</t>
  </si>
  <si>
    <t>SUS-SVE-20</t>
  </si>
  <si>
    <t>Suscripción anual SaaS SVE módulo reuniones - usuario adicional</t>
  </si>
  <si>
    <t>SUS-SVE-21</t>
  </si>
  <si>
    <t>Suscripción anual SaaS SVE módulo eventos y decisiones - usuario adicional</t>
  </si>
  <si>
    <t>SUS-SVE-22</t>
  </si>
  <si>
    <t>Suscripción anual SaaS SVE módulo compromisos - usuario adicional</t>
  </si>
  <si>
    <t>SUS-SVE-23</t>
  </si>
  <si>
    <t>Suscripción anual SaaS SVE módulo documentos - usuario adicional</t>
  </si>
  <si>
    <t>SUS-SVE-24</t>
  </si>
  <si>
    <t>Suscripción anual SaaS SVE módulo mejoras - usuario adicional</t>
  </si>
  <si>
    <t>SUS-SVE-25</t>
  </si>
  <si>
    <t>Suscripción anual SaaS SVE módulo verificaciones - usuario adicional</t>
  </si>
  <si>
    <t>SUS-SVE-26</t>
  </si>
  <si>
    <t>Suscripción anual SaaS SVE módulo riesgos - usuario adicional</t>
  </si>
  <si>
    <t>SUS-SVE-27</t>
  </si>
  <si>
    <t>SUS-SVE-28</t>
  </si>
  <si>
    <t>SUS-SVE-29</t>
  </si>
  <si>
    <t>SUS-SVE-30</t>
  </si>
  <si>
    <t>SUS-SVE-31</t>
  </si>
  <si>
    <t>SUS-SVE-32</t>
  </si>
  <si>
    <t>AYM-SVE-01</t>
  </si>
  <si>
    <t>AYM-SVE-02</t>
  </si>
  <si>
    <t>AYM-SVE-03</t>
  </si>
  <si>
    <t>AYM-SVE-04</t>
  </si>
  <si>
    <t>AYM-SVE-05</t>
  </si>
  <si>
    <t>AYM-SVE-06</t>
  </si>
  <si>
    <t>AYM-SVE-07</t>
  </si>
  <si>
    <t>AYM-SVE-08</t>
  </si>
  <si>
    <t>AYM-SVE-09</t>
  </si>
  <si>
    <t>AYM-SVE-10</t>
  </si>
  <si>
    <t>AYM-SVE-11</t>
  </si>
  <si>
    <t>AYM-SVE-12</t>
  </si>
  <si>
    <t>AYM-SVE-13</t>
  </si>
  <si>
    <t>AYM-SVE-14</t>
  </si>
  <si>
    <t>AYM-SVE-15</t>
  </si>
  <si>
    <t>AYM-SVE-16</t>
  </si>
  <si>
    <t>AYM-SVE-17</t>
  </si>
  <si>
    <t>AYM-SVE-18</t>
  </si>
  <si>
    <t>AYM-SVE-19</t>
  </si>
  <si>
    <t>AYM-SVE-20</t>
  </si>
  <si>
    <t>AYM-SVE-21</t>
  </si>
  <si>
    <t>AYM-SVE-22</t>
  </si>
  <si>
    <t>AYM-SVE-23</t>
  </si>
  <si>
    <t>AYM-SVE-24</t>
  </si>
  <si>
    <t>AYM-SVE-25</t>
  </si>
  <si>
    <t>AYM-SVE-26</t>
  </si>
  <si>
    <t>AYM-SVE-27</t>
  </si>
  <si>
    <t>AYM-SVE-28</t>
  </si>
  <si>
    <t>AYM-SVE-29</t>
  </si>
  <si>
    <t>AYM-SVE-30</t>
  </si>
  <si>
    <t>AYM-SVE-31</t>
  </si>
  <si>
    <t>AYM-SVE-32</t>
  </si>
  <si>
    <t>NO</t>
  </si>
  <si>
    <t>P-3001-A</t>
  </si>
  <si>
    <t>SitiData Estandarización, validación, cedula en base de datos propia SaaS</t>
  </si>
  <si>
    <t>Geomarketing para 5 usuarios SaaS (Datalake, Censo Poblacional, Comercial, Empresarial, Ingresos, Gastos, entre otros)</t>
  </si>
  <si>
    <t>Geomarketing Para 10 usuarios SaaS (Datalake, Censo Poblacional, Comercial, Empresarial, Ingresos, Gastos, entre otros)</t>
  </si>
  <si>
    <t>Geomarketing Plus Ilimitado SaaS (Datalake, Censo Poblacional, Comercial, Empresarial, Ingresos, Gastos, entre otros)</t>
  </si>
  <si>
    <t>P-4004-A</t>
  </si>
  <si>
    <t>Geomarketing Servihuella etiquetado de usuario unico SaaS (Intereses, Demograficosl, Geotag, entre otros)</t>
  </si>
  <si>
    <t>P-4014-A</t>
  </si>
  <si>
    <t>Geomarketing BI (2 desarrolladores, 10 usuarios estandar, 250 visualizadores externos, conexion DB ilimitadas, trasmision de datos ilimitados)</t>
  </si>
  <si>
    <t>P-4014-B</t>
  </si>
  <si>
    <t>P-4014-C</t>
  </si>
  <si>
    <t>P-4014-D</t>
  </si>
  <si>
    <t>P-4014-E</t>
  </si>
  <si>
    <t>P-4014-F</t>
  </si>
  <si>
    <t>P-4014-G</t>
  </si>
  <si>
    <t>AGRODATAI - Gremios</t>
  </si>
  <si>
    <t>AGRODATAI - Asociaciones</t>
  </si>
  <si>
    <t>AGRODATAI - Comercializadores</t>
  </si>
  <si>
    <t>AGRODATAI - Transformadores</t>
  </si>
  <si>
    <t>AGRODATAI - Bancos</t>
  </si>
  <si>
    <t>AGRODATAI - Aseguradoras</t>
  </si>
  <si>
    <t>AGRODATAI - Entidas publicas orden nacional</t>
  </si>
  <si>
    <t>AGRODATAI - Entidades territoriales</t>
  </si>
  <si>
    <t>CUPONIX - Activacion tienda</t>
  </si>
  <si>
    <t>CUPONIX - Soporte 7/24</t>
  </si>
  <si>
    <t>CUPONIX - Tienda activa</t>
  </si>
  <si>
    <t>CUPONIX - Plataforma de Activaciones marca blanca</t>
  </si>
  <si>
    <t>CUPONIX - Valor por campaña activa</t>
  </si>
  <si>
    <t>IT-SW-04-06A</t>
  </si>
  <si>
    <t>Capacitacion para usuarios de Geomarketing BI</t>
  </si>
  <si>
    <t>IT-SW-04-06B</t>
  </si>
  <si>
    <t>IT-SW-04-06C</t>
  </si>
  <si>
    <t>IT-SW-04-06D</t>
  </si>
  <si>
    <t>Técnico/Tecnólogo ó Profesional</t>
  </si>
  <si>
    <t>Volumen de datos migrados (GB).</t>
  </si>
  <si>
    <t>Suscripción</t>
  </si>
  <si>
    <t>Creangel</t>
  </si>
  <si>
    <t>IF-SEARCH-02-500K</t>
  </si>
  <si>
    <t>Software IFINDIT</t>
  </si>
  <si>
    <t>LICENCIA IFINDIT SEARCH HASTA:  2 FUENTES O 500K DOCS</t>
  </si>
  <si>
    <t>Remoto y/o sitio</t>
  </si>
  <si>
    <t>Suscripción anual a la entrega de la licencia</t>
  </si>
  <si>
    <t>IF-SEARCH-02-1M</t>
  </si>
  <si>
    <t>LICENCIA IFINDIT SEARCH HASTA:  2 FUENTES O 1M DOCS</t>
  </si>
  <si>
    <t>IF-SEARCH-02-2M</t>
  </si>
  <si>
    <t>LICENCIA IFINDIT SEARCH HASTA:  2 FUENTES O 2M DOCS</t>
  </si>
  <si>
    <t>IF-SEARCH-02-5M</t>
  </si>
  <si>
    <t>LICENCIA IFINDIT SEARCH HASTA:  2 FUENTES O 5M DOCS</t>
  </si>
  <si>
    <t>IF-SEARCH-02-10M</t>
  </si>
  <si>
    <t>LICENCIA IFINDIT SEARCH HASTA:  2 FUENTES O 10M DOCS</t>
  </si>
  <si>
    <t>IF-SEARCH-04-500K</t>
  </si>
  <si>
    <t>LICENCIA IFINDIT SEARCH HASTA:  4 FUENTES O 500K DOCS</t>
  </si>
  <si>
    <t>IF-SEARCH-04-1M</t>
  </si>
  <si>
    <t>LICENCIA IFINDIT SEARCH HASTA:  4 FUENTES O 1M DOCS</t>
  </si>
  <si>
    <t>IF-SEARCH-04-2M</t>
  </si>
  <si>
    <t>LICENCIA IFINDIT SEARCH HASTA:  4 FUENTES O 2M DOCS</t>
  </si>
  <si>
    <t>IF-SEARCH-04-5M</t>
  </si>
  <si>
    <t>LICENCIA IFINDIT SEARCH HASTA:  4 FUENTES O 5M DOCS</t>
  </si>
  <si>
    <t>IF-SEARCH-04-10M</t>
  </si>
  <si>
    <t>LICENCIA IFINDIT SEARCH HASTA:  4 FUENTES O 10M DOCS</t>
  </si>
  <si>
    <t>IF-SEARCH-06-500K</t>
  </si>
  <si>
    <t>LICENCIA IFINDIT SEARCH HASTA:  6 FUENTES O 500K DOCS</t>
  </si>
  <si>
    <t>IF-SEARCH-06-1M</t>
  </si>
  <si>
    <t>LICENCIA IFINDIT SEARCH HASTA:  6 FUENTES O 1M DOCS</t>
  </si>
  <si>
    <t>IF-SEARCH-06-2M</t>
  </si>
  <si>
    <t>LICENCIA IFINDIT SEARCH HASTA:  6 FUENTES O 2M DOCS</t>
  </si>
  <si>
    <t>IF-SEARCH-06-5M</t>
  </si>
  <si>
    <t>LICENCIA IFINDIT SEARCH HASTA:  6 FUENTES O 5M DOCS</t>
  </si>
  <si>
    <t>IF-SEARCH-06-10M</t>
  </si>
  <si>
    <t>LICENCIA IFINDIT SEARCH HASTA:  6 FUENTES O 10M DOCS</t>
  </si>
  <si>
    <t>IF-SEARCH-08-1M</t>
  </si>
  <si>
    <t>LICENCIA IFINDIT SEARCH HASTA:  8 FUENTES O 1M DOCS</t>
  </si>
  <si>
    <t>IF-SEARCH-08-2M</t>
  </si>
  <si>
    <t>LICENCIA IFINDIT SEARCH HASTA:  8 FUENTES O 2M DOCS</t>
  </si>
  <si>
    <t>IF-SEARCH-08-5M</t>
  </si>
  <si>
    <t>LICENCIA IFINDIT SEARCH HASTA:  8 FUENTES O 5M DOCS</t>
  </si>
  <si>
    <t>IF-SEARCH-08-10M</t>
  </si>
  <si>
    <t>LICENCIA IFINDIT SEARCH HASTA:  8 FUENTES O 10M DOCS</t>
  </si>
  <si>
    <t>IF-SEARCH-08-20M</t>
  </si>
  <si>
    <t>LICENCIA IFINDIT SEARCH HASTA:  8 FUENTES O 20M DOCS</t>
  </si>
  <si>
    <t>IF-SEARCH-10-2M</t>
  </si>
  <si>
    <t>LICENCIA IFINDIT SEARCH HASTA:  10 FUENTES O 2M DOCS</t>
  </si>
  <si>
    <t>IF-SEARCH-10-5M</t>
  </si>
  <si>
    <t>LICENCIA IFINDIT SEARCH HASTA:  10 FUENTES O 5M DOCS</t>
  </si>
  <si>
    <t>IF-SEARCH-10-10M</t>
  </si>
  <si>
    <t>LICENCIA IFINDIT SEARCH HASTA:  10 FUENTES O 10M DOCS</t>
  </si>
  <si>
    <t>IF-SEARCH-10-20M</t>
  </si>
  <si>
    <t>LICENCIA IFINDIT SEARCH HASTA:  10 FUENTES O 20M DOCS</t>
  </si>
  <si>
    <t>IF-SEARCH-10-50M</t>
  </si>
  <si>
    <t>LICENCIA IFINDIT SEARCH HASTA:  10 FUENTES O 50M DOCS</t>
  </si>
  <si>
    <t xml:space="preserve">IF-INFORMATION </t>
  </si>
  <si>
    <t>LICENCIA IFINDIT SERVICIOS DE INFORMACION</t>
  </si>
  <si>
    <t>IF-ANALYTICS-05-12</t>
  </si>
  <si>
    <t>LICENCIA IFINDIT ANALYTICS HASTA:  5 FUENTES O 12 GB DATOS O 5 TABLEROS</t>
  </si>
  <si>
    <t>IF-ANALYTICS-10-12</t>
  </si>
  <si>
    <t>LICENCIA IFINDIT ANALYTICS HASTA:  10 FUENTES O 12 GB DATOS O 10 TABLEROS</t>
  </si>
  <si>
    <t>IF-ANALYTICS-15-12</t>
  </si>
  <si>
    <t>LICENCIA IFINDIT ANALYTICS HASTA:  15 FUENTES O 12 GB DATOS O 15 TABLEROS</t>
  </si>
  <si>
    <t>IF-ANALYTICS-20-12</t>
  </si>
  <si>
    <t>LICENCIA IFINDIT ANALYTICS HASTA:  20 FUENTES O 12 GB DATOS O 20 TABLEROS</t>
  </si>
  <si>
    <t>IF-ANALYTICS-25-12</t>
  </si>
  <si>
    <t>LICENCIA IFINDIT ANALYTICS HASTA:  25 FUENTES O 12 GB DATOS O 25 TABLEROS</t>
  </si>
  <si>
    <t>IF-ANALYTICS-05-24</t>
  </si>
  <si>
    <t>LICENCIA IFINDIT ANALYTICS HASTA:  5 FUENTES O 24 GB DATOS O 5 TABLEROS</t>
  </si>
  <si>
    <t>IF-ANALYTICS-10-24</t>
  </si>
  <si>
    <t>LICENCIA IFINDIT ANALYTICS HASTA:  10 FUENTES O 24 GB DATOS O 10 TABLEROS</t>
  </si>
  <si>
    <t>IF-ANALYTICS-15-24</t>
  </si>
  <si>
    <t>IF-ANALYTICS-20-24</t>
  </si>
  <si>
    <t>IF-ANALYTICS-25-24</t>
  </si>
  <si>
    <t>LICENCIA IFINDIT ANALYTICS HASTA:  15 FUENTES O 24 GB DATOS O 15 TABLEROS</t>
  </si>
  <si>
    <t>IF-ANALYTICS-15-30</t>
  </si>
  <si>
    <t>LICENCIA IFINDIT ANALYTICS HASTA:  15 FUENTES O 30 GB DATOS O 15 TABLEROS</t>
  </si>
  <si>
    <t>IF-SEARCH-PL-5M</t>
  </si>
  <si>
    <t>UNICO PAGO</t>
  </si>
  <si>
    <t>IF-SEARCH-PL-5M-MANT</t>
  </si>
  <si>
    <t>MANTENIMIENTO LICENCIA IFINDIT SEARCH HASTA:  2 FUENTES O 5M DOCS</t>
  </si>
  <si>
    <t>Anual a la entrega de la licencia</t>
  </si>
  <si>
    <t>IF-CAP-01-01</t>
  </si>
  <si>
    <t xml:space="preserve">Capacitación IFindIT  para usuario final - hasta 10 Personas.  </t>
  </si>
  <si>
    <t>IF-CAP-01-02</t>
  </si>
  <si>
    <t>IF-CAP-01-03</t>
  </si>
  <si>
    <t>IF-CAP-01-04</t>
  </si>
  <si>
    <t>IF-CAP-01-05</t>
  </si>
  <si>
    <t>IF-CAP-01-06</t>
  </si>
  <si>
    <t>IF-CAP-02-01</t>
  </si>
  <si>
    <t xml:space="preserve">Capacitación IFindIT  para usuario final - hasta 20 Personas.  </t>
  </si>
  <si>
    <t>IF-CAP-02-02</t>
  </si>
  <si>
    <t>IF-CAP-02-03</t>
  </si>
  <si>
    <t>IF-CAP-02-04</t>
  </si>
  <si>
    <t>IF-CAP-02-05</t>
  </si>
  <si>
    <t>IF-CAP-02-06</t>
  </si>
  <si>
    <t>IF-CAP-03-01</t>
  </si>
  <si>
    <t>IF-CAP-03-02</t>
  </si>
  <si>
    <t>IF-CAP-03-03</t>
  </si>
  <si>
    <t>IF-CAP-03-04</t>
  </si>
  <si>
    <t>IF-CAP-03-05</t>
  </si>
  <si>
    <t>IF-CAP-03-06</t>
  </si>
  <si>
    <t>IF-CAP-04-01</t>
  </si>
  <si>
    <t xml:space="preserve">Capacitación para usuario técnico o administrador - hasta 20 Personas.  </t>
  </si>
  <si>
    <t>IF-CAP-04-02</t>
  </si>
  <si>
    <t>IF-CAP-04-03</t>
  </si>
  <si>
    <t>IF-CAP-04-04</t>
  </si>
  <si>
    <t>IF-CAP-04-05</t>
  </si>
  <si>
    <t>IF-CAP-04-06</t>
  </si>
  <si>
    <t>Tecnico o Tecnólogo</t>
  </si>
  <si>
    <t>P-3001 - B</t>
  </si>
  <si>
    <t>SitiData Estandarización, validación, cedula registraduria</t>
  </si>
  <si>
    <t>P-3001 - C</t>
  </si>
  <si>
    <t xml:space="preserve">SitiData correo basico </t>
  </si>
  <si>
    <t>P-3001 - D</t>
  </si>
  <si>
    <t>SitiData correo avanzado</t>
  </si>
  <si>
    <t>P-3001 - E</t>
  </si>
  <si>
    <t>SitiData Estandarización, validación, comercio</t>
  </si>
  <si>
    <t>Datarutas SaaS (Planeación, Zonificación, Seguimiento GPS y formularios personalizados)</t>
  </si>
  <si>
    <t>P-6002 - A</t>
  </si>
  <si>
    <t xml:space="preserve">Datarutas - formularios - Basic </t>
  </si>
  <si>
    <t xml:space="preserve">P-6002 - B </t>
  </si>
  <si>
    <t xml:space="preserve">Datarutas - formularios - Estandar </t>
  </si>
  <si>
    <t>P-6002 - C</t>
  </si>
  <si>
    <t xml:space="preserve">Datarutas - formularios - Premiun </t>
  </si>
  <si>
    <t>Geomarketing Servihuella SaaS (Censo Poblacional, Comercial, Empresarial, Ingresos, Gastos, entre otros)</t>
  </si>
  <si>
    <t>Geomarketing Infocomercio SaaS (Censo Poblacional, Comercial, Empresarial, Ingresos, Gastos, entre otros)</t>
  </si>
  <si>
    <t>Geomarketing Geoproyecciones SaaS (Censo Poblacional, Comercial, Empresarial, Ingresos, Gastos, entre otros)</t>
  </si>
  <si>
    <t>Geomarketing Geoproyecciones SaaS (Datalake, Censo Poblacional, Comercial, Empresarial, Ingresos, Gastos, entre otros)</t>
  </si>
  <si>
    <t>Geomarketing ServiAnalitycs - Machine Learning Model XS</t>
  </si>
  <si>
    <t>Geomarketing ServiAnalitycs - Machine Learning Model S</t>
  </si>
  <si>
    <t>Geomarketing ServiAnalitycs - Machine Learning Model M</t>
  </si>
  <si>
    <t>Geomarketing ServiAnalitycs - Machine Learning Model L</t>
  </si>
  <si>
    <t>P-4014-H</t>
  </si>
  <si>
    <t>P-4014-I</t>
  </si>
  <si>
    <t>Geovisor Web hasta 5 GB SaaS (Sistema de Información Geográfico de código abierto)</t>
  </si>
  <si>
    <t>Geovisor Web 1 GB Adicional (Almacenamiento y Procesamiento)</t>
  </si>
  <si>
    <t>Geovisor Web 1 GB Adicional</t>
  </si>
  <si>
    <t>P-9007</t>
  </si>
  <si>
    <t>Geovisor Ciudades Inteligentes - Basic</t>
  </si>
  <si>
    <t>P-9008</t>
  </si>
  <si>
    <t>P-9009</t>
  </si>
  <si>
    <t xml:space="preserve">Geovisor Ciudades Inteligentes - Estandar </t>
  </si>
  <si>
    <t>P-9010</t>
  </si>
  <si>
    <t>P-9011</t>
  </si>
  <si>
    <t xml:space="preserve">Geovisor Ciudades Inteligentes - Premiun </t>
  </si>
  <si>
    <t>P-9012</t>
  </si>
  <si>
    <t>P-9013</t>
  </si>
  <si>
    <t>Geovisor Catastro Multipropósito SaaS - S</t>
  </si>
  <si>
    <t>P-9014</t>
  </si>
  <si>
    <t>P-9015</t>
  </si>
  <si>
    <t>Geovisor Catastro Multipropósito SaaS  - M</t>
  </si>
  <si>
    <t>P-9016</t>
  </si>
  <si>
    <t>P-9017</t>
  </si>
  <si>
    <t>Geovisor Catastro Multipropósito SaaS  - L</t>
  </si>
  <si>
    <t>P-9018</t>
  </si>
  <si>
    <t>P-9019</t>
  </si>
  <si>
    <t>Geovisor Catastro - Imagen Spot (5 km x 5 km, resolución 0.5 m, escena de archivo mayor a 30 días)</t>
  </si>
  <si>
    <t>P-9020</t>
  </si>
  <si>
    <t>Geovisor Catastro - Imagen Spot (5 km x 5 km, resolución 0.5 m, escena de archivo fresco menor a 30 días)</t>
  </si>
  <si>
    <t>P-9021</t>
  </si>
  <si>
    <t>Geovisor Catastro - Imagen Spot (5 km x 5 km, resolución 0.5 m, programación de escena 7 días)</t>
  </si>
  <si>
    <t>P-9022</t>
  </si>
  <si>
    <t>Geovisor Catastro - Imagen Spot (5 km x 5 km, resolución 0.5 m, programación de escena 3 días)</t>
  </si>
  <si>
    <t>P-9023</t>
  </si>
  <si>
    <t>Geovisor Catastro - Imagen Spot (5 km x 5 km, resolución 0.5 m, programación de escena 1 día)</t>
  </si>
  <si>
    <t>P-9024</t>
  </si>
  <si>
    <t>Geovisor Catastro - Imagen Site (5 km x 10 km, resolución 1 m, escena de archivo mayor a 30 días)</t>
  </si>
  <si>
    <t>P-9025</t>
  </si>
  <si>
    <t>Geovisor Catastro - Imagen Site (5 km x 10 km, resolución 1 m, escena de archivo fresco menor a 30 días)</t>
  </si>
  <si>
    <t>P-9026</t>
  </si>
  <si>
    <t>Geovisor Catastro - Imagen Site (5 km x 10 km, resolución 1 m, programación de escena 7 días)</t>
  </si>
  <si>
    <t>P-9027</t>
  </si>
  <si>
    <t>Geovisor Catastro - Imagen Site (5 km x 10 km, resolución 1 m, programación de escena 3 días)</t>
  </si>
  <si>
    <t>P-9028</t>
  </si>
  <si>
    <t>Geovisor Catastro - Imagen Site(5 km x 10 km, resolución 1 m, programación de escena 1 día)</t>
  </si>
  <si>
    <t>P-9029</t>
  </si>
  <si>
    <t>Geovisor Catastro - Imagen Strip (5 km x 20 km, resolución 1.2 m, escena de archivo mayor a 30 días)</t>
  </si>
  <si>
    <t>P-9030</t>
  </si>
  <si>
    <t>Geovisor Catastro - Imagen Strip (5 km x 20 km, resolución 1.2 m, escena de archivo fresco menor a 30 días)</t>
  </si>
  <si>
    <t>P-9031</t>
  </si>
  <si>
    <t>Geovisor Catastro - Imagen Strip (5 km x 20 km, resolución 1.2 m, programación de escena 7 días)</t>
  </si>
  <si>
    <t>P-9032</t>
  </si>
  <si>
    <t>Geovisor Catastro - Imagen Strip (5 km x 20 km, resolución 1.2 m, programación de escena 3 días)</t>
  </si>
  <si>
    <t>P-9033</t>
  </si>
  <si>
    <t>Geovisor Catastro - Imagen Strip (5 km x 20 km, resolución 1.2 m,, programación de escena 1 día)</t>
  </si>
  <si>
    <t>Geomarketing para 5 usuarios SaaS (Dashboard)</t>
  </si>
  <si>
    <t>Geomarketing para 10 usuarios SaaS (Dashboard)</t>
  </si>
  <si>
    <t>CUPONIX - Setup Plataforma marca blanca</t>
  </si>
  <si>
    <t>Capacitación para usuario final - hasta 10 Personas.</t>
  </si>
  <si>
    <t>Capacitación para usuario final hasta 20 Personas.</t>
  </si>
  <si>
    <t>Capacitación para usuario final - hasta 20 Personas.</t>
  </si>
  <si>
    <t>Capacitación para usuario técnico o administrador - hasta 10 Personas.</t>
  </si>
  <si>
    <t>Capacitación para usuario técnico o administrador hasta 20 Personas.</t>
  </si>
  <si>
    <t>Configuración y parametrización de los Productos</t>
  </si>
  <si>
    <t>Gerente de cuenta (soporte)</t>
  </si>
  <si>
    <t>Instalación de Licencia o Suscripción Anual, o afínes</t>
  </si>
  <si>
    <t>Migración de información por volumen de datos almacenados</t>
  </si>
  <si>
    <t>Soporte técnico en sitio</t>
  </si>
  <si>
    <t>Soporte técnico proactivo</t>
  </si>
  <si>
    <t>Soporte técnico reactivo</t>
  </si>
  <si>
    <t>Novasoft SAS</t>
  </si>
  <si>
    <t>ON-NS-P-01</t>
  </si>
  <si>
    <t xml:space="preserve">LICENCIA NOVASOFT-ERP ESTANDAR ONPREMISE 1 (Inventarios, Activos Fijos, Componente Financiero(Contabilidad, Tesoreria, CXP, CXC) ) </t>
  </si>
  <si>
    <t>Zonas
(1,2,3)</t>
  </si>
  <si>
    <t>Unico Pago</t>
  </si>
  <si>
    <t>ON-NS-P-02</t>
  </si>
  <si>
    <t xml:space="preserve">LICENCIA NOVASOFT-ERP ESTANDAR ONPREMISE 1 (Inventarios, Activos Fijos, integración SIIF NACION) </t>
  </si>
  <si>
    <t>ON-NS-P-03</t>
  </si>
  <si>
    <t xml:space="preserve">LICENCIA NOVASOFT-ERP ESTANDAR ONPREMISE 1 (Inventarios, Activos Fijos) </t>
  </si>
  <si>
    <t>ON-NS-P-04</t>
  </si>
  <si>
    <t>LICENCIA NOVASOFT-ERP MODULOS PRESUPUESTO DE INGRESOS Y GASTOS ONPREMISE</t>
  </si>
  <si>
    <t>ON-NS-P-05</t>
  </si>
  <si>
    <t>LICENCIA NOVASOFT-ERP MODULO COMPRAS ONPREMISE</t>
  </si>
  <si>
    <t>ON-NS-P-06</t>
  </si>
  <si>
    <t>LICENCIA NOVASOFT-ERP MODULO CONTRATACIÓN ONPREMISE</t>
  </si>
  <si>
    <t>ON-NS-P-07</t>
  </si>
  <si>
    <t>LICENCIA NOVASOFT-ERP ESTANDAR ONPREMISE 2 (Contabilidad, Tesorería, Facturación Proveedores, Cartera, Compras, Inventarios, Activos Fijos)</t>
  </si>
  <si>
    <t>ON-NS-P-08</t>
  </si>
  <si>
    <t>LICENCIA NOVASOFT-ERP MODULO PQRS ONPREMISE</t>
  </si>
  <si>
    <t>Paq x 5 usuarios</t>
  </si>
  <si>
    <t>ON-NS-P-09</t>
  </si>
  <si>
    <t>LICENCIA NOVASOFT-ERP USUARIO ADICIONAL BASE DE DATOS ONPREMISE</t>
  </si>
  <si>
    <t>ON-NS-S-01</t>
  </si>
  <si>
    <t>INSTALACION NOVASOFT -ENTERPRISE WEB ONPREMISE</t>
  </si>
  <si>
    <t>8 horas</t>
  </si>
  <si>
    <t>ON-NS-S-02</t>
  </si>
  <si>
    <t>ACTUALIZACION Y SOPORTE ESTANDAR NOVASOFT - ERP ONPREMISE 1</t>
  </si>
  <si>
    <t>ON-NS-S-03</t>
  </si>
  <si>
    <t>ACTUALIZACIÓN Y SOPORTE ESTÁNDAR MODULOS PRESUPUESTO DE INGRESOS Y GASTOS ONPREMISE</t>
  </si>
  <si>
    <t>ON-NS-S-04</t>
  </si>
  <si>
    <t xml:space="preserve">ACTUALIZACIÓN Y SOPORTE ESTÁNDAR MODULO COMPRAS ONPREMISE </t>
  </si>
  <si>
    <t>ON-NS-S-05</t>
  </si>
  <si>
    <t xml:space="preserve">ACTUALIZACIÓN Y SOPORTE ESTÁNDAR MODULO CONTRATACIÓN ONPREMISE  </t>
  </si>
  <si>
    <t>ON-NS-S-06</t>
  </si>
  <si>
    <t xml:space="preserve">ACTUALIZACIÓN Y SOPORTE ESTÁNDAR ESTANDAR ONPREMISE 2 (Contabilidad, Tesorería, Facturación Proveedores, Cartera, Compras, Inventarios, Activos Fijos)  </t>
  </si>
  <si>
    <t>ON-NS-S-07</t>
  </si>
  <si>
    <t xml:space="preserve">ACTUALIZACIÓN Y SOPORTE ESTÁNDAR MODULO PQRS ONPREMISE  </t>
  </si>
  <si>
    <t>ON-NS-S-08</t>
  </si>
  <si>
    <t>ACTUALIZACIÓN Y SOPORTE ESTÁNDAR MODULO CARTERA FINANCIERA ONPREMISE</t>
  </si>
  <si>
    <t>ON-NS-S-09</t>
  </si>
  <si>
    <t xml:space="preserve">ACTUALIZACIÓN Y SOPORTE ESTÁNDAR - ERP ESTANDAR ONPREMISE 1 (Inventarios, Activos Fijos, integración SIIF NACION) </t>
  </si>
  <si>
    <t>ON-NS-S-10</t>
  </si>
  <si>
    <t xml:space="preserve">ACTUALIZACIÓN Y SOPORTE ESTÁNDAR - ERP ESTANDAR ONPREMISE 1 (Inventarios, Activos Fijos) </t>
  </si>
  <si>
    <t>ON-NS-P-51</t>
  </si>
  <si>
    <t xml:space="preserve">LICENCIA NOVASOFT-NOMINA ESTANDAR ONPREMISE </t>
  </si>
  <si>
    <t>Licencia principal para 100 empleados</t>
  </si>
  <si>
    <t>ON-NS-P-52</t>
  </si>
  <si>
    <t xml:space="preserve">LICENCIA NOVASOFT-PORTAL ESTANDAR ONPREMISE </t>
  </si>
  <si>
    <t>ON-NS-P-53</t>
  </si>
  <si>
    <t xml:space="preserve">LICENCIA NOVASOFT-GESTION HUMANA ESTANDAR ONPREMISE </t>
  </si>
  <si>
    <t>ON-NS-P-54</t>
  </si>
  <si>
    <t xml:space="preserve">LICENCIA NOVASOFT-SEGURIDAD Y SALUD EN EL TRABAJO ESTANDAR ONPREMISE </t>
  </si>
  <si>
    <t>ON-NS-P-55</t>
  </si>
  <si>
    <t>Ampliacion Licencia 100 empleados</t>
  </si>
  <si>
    <t>ON-NS-P-56</t>
  </si>
  <si>
    <t>ON-NS-P-57</t>
  </si>
  <si>
    <t>ON-NS-P-58</t>
  </si>
  <si>
    <t>ON-NS-P-59</t>
  </si>
  <si>
    <t>LICENCIA NOVASOFT-Usuario SUITE DE TALENTO HUMANO</t>
  </si>
  <si>
    <t>ON-NS-P-71</t>
  </si>
  <si>
    <t xml:space="preserve">ACTUALIZACION NOVASOFT-NOMINA ESTANDAR ONPREMISE </t>
  </si>
  <si>
    <t>ON-NS-P-22</t>
  </si>
  <si>
    <t xml:space="preserve">ACTUALIZACION NOVASOFT-PORTAL ESTANDAR ONPREMISE </t>
  </si>
  <si>
    <t>ON-NS-P-73</t>
  </si>
  <si>
    <t xml:space="preserve">ACTUALIZACION NOVASOFT-GESTION HUMANA ESTANDAR ONPREMISE </t>
  </si>
  <si>
    <t>ON-NS-P-74</t>
  </si>
  <si>
    <t xml:space="preserve">ACTUALIZACION NOVASOFT-SEGURIDAD Y SALUD EN EL TRABAJO ESTANDAR ONPREMISE </t>
  </si>
  <si>
    <t>ON-NS-P-75</t>
  </si>
  <si>
    <t>ON-NS-P-76</t>
  </si>
  <si>
    <t>ON-NS-P-77</t>
  </si>
  <si>
    <t>ON-NS-P-78</t>
  </si>
  <si>
    <t>ON-NS-P-79</t>
  </si>
  <si>
    <t>ACTUALIZACION LICENCIA NOVASOFT-Usuario SUITE DE TALENTO HUMANO</t>
  </si>
  <si>
    <t>SA-NS-S-01</t>
  </si>
  <si>
    <t>NOVASOFT-ERP-SAAS- ESTANDAR SAAS (Inventarios, Activos Fijos, Componente Financiero integración SIIF NACION)</t>
  </si>
  <si>
    <t>Suscripción Mensual hasta 15 usuarios</t>
  </si>
  <si>
    <t>SA-NS-S-02</t>
  </si>
  <si>
    <t xml:space="preserve">NOVASOFT-ERP-SAAS- ESTANDAR SAAS 1 (Inventarios, Activos Fijos, integración SIIF NACION) </t>
  </si>
  <si>
    <t>Suscripción Mensual hasta 5 usuarios</t>
  </si>
  <si>
    <t>SA-NS-S-03</t>
  </si>
  <si>
    <t xml:space="preserve">NOVASOFT-ERP-SAAS- ESTANDAR SAAS 1 (Inventarios, Activos Fijos) </t>
  </si>
  <si>
    <t>SA-NS-S-04</t>
  </si>
  <si>
    <t>NOVASOFT-ERP-SAAS- MODULOS PRESUPUESTO DE INGRESOS Y GASTOS SAAS</t>
  </si>
  <si>
    <t>SA-NS-S-05</t>
  </si>
  <si>
    <t>NOVASOFT-ERP-SAAS- MODULO COMPRAS SAAS</t>
  </si>
  <si>
    <t>SA-NS-S-06</t>
  </si>
  <si>
    <t>NOVASOFT-ERP-SAAS- MODULO CONTRATACIÓN SAAS</t>
  </si>
  <si>
    <t>SA-NS-S-07</t>
  </si>
  <si>
    <t>NOVASOFT-ERP-SAAS- NIT ADICIONAL BASE DE DATOS SAAS</t>
  </si>
  <si>
    <t>SA-NS-S-08</t>
  </si>
  <si>
    <t>NOVASOFT-ERP-SAAS- USUARIO ADICIONAL BASE DE DATOS SAAS</t>
  </si>
  <si>
    <t>SA-NS-S-09</t>
  </si>
  <si>
    <t>NOVASOFT-ERP-SAAS- ESTANDAR SAAS (Contabilidad, Tesorería, Proveedores, Cartera, Compras, Inventarios, Activos Fijos)</t>
  </si>
  <si>
    <t>SA-NS-S-10</t>
  </si>
  <si>
    <t>NOVASOFT-ERP-SAAS- MODULO PQRS SAAS</t>
  </si>
  <si>
    <t>SA-NS-S-11</t>
  </si>
  <si>
    <t>NOVASOFT-ERP-SAAS- MODULO CARTERA FINANCIERA SAAS</t>
  </si>
  <si>
    <t>SA-NS-S-12</t>
  </si>
  <si>
    <t>NOVASOFT-ERP NIT ADICIONAL BASE DE DATOS SaaS</t>
  </si>
  <si>
    <t>SA-NS-S-13</t>
  </si>
  <si>
    <t>NOVASOFT-ERP USUARIO ADICIONAL BASE DE DATOS SaaS</t>
  </si>
  <si>
    <t>SA-NS-S-14</t>
  </si>
  <si>
    <t>HABILITACION NOVASOFT-ERP SaaS</t>
  </si>
  <si>
    <t>SA-NS-S-15</t>
  </si>
  <si>
    <t>MIGRACIÓN DE INFORMACIÓN POR VOLUMEN DE DATOS ALMACENADOS NOVASOFT-ERP</t>
  </si>
  <si>
    <t>SA-NS-S-51</t>
  </si>
  <si>
    <t>NOVASOFT-NOMINA ESTANDAR Saas</t>
  </si>
  <si>
    <t>SA-NS-S-52</t>
  </si>
  <si>
    <t>NOVASOFT-PORTAL ESTANDAR Saas</t>
  </si>
  <si>
    <t>SA-NS-S-53</t>
  </si>
  <si>
    <t>NOVASOFT-GESTION HUMANA ESTANDAR Saas</t>
  </si>
  <si>
    <t>SA-NS-S-54</t>
  </si>
  <si>
    <t>NOVASOFT-SEGURIDAD Y SALUD EN EL TRABAJO Estandar Saas</t>
  </si>
  <si>
    <t>SA-NS-S-55</t>
  </si>
  <si>
    <t>SA-NS-S-56</t>
  </si>
  <si>
    <t>SA-NS-S-57</t>
  </si>
  <si>
    <t>SA-NS-S-58</t>
  </si>
  <si>
    <t>SA-NS-S-59</t>
  </si>
  <si>
    <t>NOVASOFT -SUITE DE TALENTO HUMANO Saas</t>
  </si>
  <si>
    <t xml:space="preserve">Configuración Pctos / Capacitación para usuario técnico o administrador hasta 5 Personas. </t>
  </si>
  <si>
    <t>IT-SW-05-07</t>
  </si>
  <si>
    <t>IT-SW-05-08</t>
  </si>
  <si>
    <t>IT-SW-05-09</t>
  </si>
  <si>
    <t>Técnico ó Tecnólogo</t>
  </si>
  <si>
    <t>Integrasoft SAS</t>
  </si>
  <si>
    <t>BPM-ERP-SA-01-07</t>
  </si>
  <si>
    <t>BPM-ERP-SA-01-06</t>
  </si>
  <si>
    <t>BPM-ERP-SA-01-05</t>
  </si>
  <si>
    <t>BPM-ERP-SA-01-04</t>
  </si>
  <si>
    <t>BPM-ERP-SA-01-03</t>
  </si>
  <si>
    <t>BPM-ERP-SA-01-02</t>
  </si>
  <si>
    <t>BPM-ERP-SA-01-01</t>
  </si>
  <si>
    <t>BPM-ERP-SA-02-06</t>
  </si>
  <si>
    <t>BPM-ERP-SA-02-05</t>
  </si>
  <si>
    <t>BPM-ERP-SA-02-04</t>
  </si>
  <si>
    <t>BPM-ERP-SA-02-03</t>
  </si>
  <si>
    <t>BPM-ERP-SA-02-02</t>
  </si>
  <si>
    <t>BPM-ERP-SA-02-01</t>
  </si>
  <si>
    <t>BPM-ERP-SA-03-07</t>
  </si>
  <si>
    <t>BPM-ERP-SA-03-06</t>
  </si>
  <si>
    <t>BPM-ERP-SA-03-05</t>
  </si>
  <si>
    <t>BPM-ERP-SA-03-04</t>
  </si>
  <si>
    <t>BPM-ERP-SA-03-03</t>
  </si>
  <si>
    <t>BPM-ERP-SA-03-02</t>
  </si>
  <si>
    <t>BPM-ERP-SA-03-01</t>
  </si>
  <si>
    <t>BPM-ERP-SA-04-06</t>
  </si>
  <si>
    <t>BPM-ERP-SA-04-05</t>
  </si>
  <si>
    <t>BPM-ERP-SA-04-04</t>
  </si>
  <si>
    <t>BPM-ERP-SA-04-03</t>
  </si>
  <si>
    <t>BPM-ERP-SA-04-02</t>
  </si>
  <si>
    <t>BPM-ERP-SA-04-01</t>
  </si>
  <si>
    <t>BPM-IMP-SA-01-06</t>
  </si>
  <si>
    <t>BPM-IMP-SA-01-05</t>
  </si>
  <si>
    <t>BPM-IMP-SA-01-04</t>
  </si>
  <si>
    <t>BPM-IMP-SA-01-03</t>
  </si>
  <si>
    <t>BPM-IMP-SA-01-02</t>
  </si>
  <si>
    <t>BPM-IMP-SA-01-01</t>
  </si>
  <si>
    <t>BPM-IMP-SA-02-06</t>
  </si>
  <si>
    <t>BPM-IMP-SA-02-05</t>
  </si>
  <si>
    <t>BPM-IMP-SA-02-04</t>
  </si>
  <si>
    <t>BPM-IMP-SA-02-03</t>
  </si>
  <si>
    <t>BPM-IMP-SA-02-02</t>
  </si>
  <si>
    <t>BPM-IMP-SA-02-01</t>
  </si>
  <si>
    <t>BPM-IMP-SA-03-06</t>
  </si>
  <si>
    <t>BPM-IMP-SA-03-05</t>
  </si>
  <si>
    <t>BPM-IMP-SA-03-04</t>
  </si>
  <si>
    <t>BPM-IMP-SA-03-03</t>
  </si>
  <si>
    <t>BPM-IMP-SA-03-02</t>
  </si>
  <si>
    <t>BPM-IMP-SA-03-01</t>
  </si>
  <si>
    <t>BPM-IMP-SA-04</t>
  </si>
  <si>
    <t>BPM-IMP-SA-05</t>
  </si>
  <si>
    <t>BPM-IMP-SA-06</t>
  </si>
  <si>
    <t>BPM-IMP-SA-07</t>
  </si>
  <si>
    <t>BPM-IMP-SA-08</t>
  </si>
  <si>
    <t>BPM-GE-SA-10-11</t>
  </si>
  <si>
    <t>BPM-GE-SA-10-10</t>
  </si>
  <si>
    <t>BPM-GE-SA-10-09</t>
  </si>
  <si>
    <t>BPM-GE-SA-10-08</t>
  </si>
  <si>
    <t>BPM-GE-SA-10-07</t>
  </si>
  <si>
    <t>BPM-GE-SA-10-06</t>
  </si>
  <si>
    <t>BPM-GE-SA-10-05</t>
  </si>
  <si>
    <t>BPM-GE-SA-10-04</t>
  </si>
  <si>
    <t>BPM-GE-SA-10-03</t>
  </si>
  <si>
    <t>BPM-GE-SA-10-02</t>
  </si>
  <si>
    <t>BPM-GE-SA-10-01</t>
  </si>
  <si>
    <t>BPM-GE-SA-11-06</t>
  </si>
  <si>
    <t>BPM-GE-SA-11-05</t>
  </si>
  <si>
    <t>BPM-GE-SA-11-04</t>
  </si>
  <si>
    <t>BPM-GE-SA-11-03</t>
  </si>
  <si>
    <t>BPM-GE-SA-11-02</t>
  </si>
  <si>
    <t>BPM-GE-SA-11-01</t>
  </si>
  <si>
    <t>BPM-IMP-SA-13-01</t>
  </si>
  <si>
    <t>BPM-IMP-SA-13-02</t>
  </si>
  <si>
    <t>BPM-IMP-SA-13-03</t>
  </si>
  <si>
    <t>BPM-IMP-SA-13-04</t>
  </si>
  <si>
    <t>BPM-IMP-SA-13-05</t>
  </si>
  <si>
    <t>BPM-USU-SA-14-01</t>
  </si>
  <si>
    <t>BPM-USU-SA-14-02</t>
  </si>
  <si>
    <t>BPM-POR-SA-15-01</t>
  </si>
  <si>
    <t>BPM-POR-SA-15-02</t>
  </si>
  <si>
    <t>BPM-COB-SA-16-01</t>
  </si>
  <si>
    <t>Software Integrasoft</t>
  </si>
  <si>
    <t>BPM.Gov* ERP-Presupuesto/Contabilidad/Tesoreria adición paquete 3 usuarios</t>
  </si>
  <si>
    <t>BPM.Gov* ERP-Presupuesto/Contabilidad/Tesoreria Categoria 6 para 3 usuarios</t>
  </si>
  <si>
    <t>BPM.Gov* ERP-Presupuesto/Contabilidad/Tesoreria Categoria 5 para 3 usuarios</t>
  </si>
  <si>
    <t>BPM.Gov* ERP-Presupuesto/Contabilidad/Tesoreria Categoria 4  para 3 usuarios</t>
  </si>
  <si>
    <t>BPM.Gov* ERP-Presupuesto/Contabilidad/Tesoreria Categoria 3  para 3 usuarios</t>
  </si>
  <si>
    <t>BPM.Gov* ERP-Presupuesto/Contabilidad/Tesoreria Categoria 2  para 3 usuarios</t>
  </si>
  <si>
    <t>BPM.Gov* ERP-Presupuesto/Contabilidad/Tesoreria Categoria 1  para 3 usuarios</t>
  </si>
  <si>
    <t>BPM.Gov* ERP-Inventarios/Activos fijos/ Orden de compra Categoria 6</t>
  </si>
  <si>
    <t>BPM.Gov* ERP-Inventarios/Activos fijos/ Orden de compra Categoria 5</t>
  </si>
  <si>
    <t>BPM.Gov* ERP-Inventarios/Activos fijos/ Orden de compra Categoria 4</t>
  </si>
  <si>
    <t>BPM.Gov* ERP-Inventarios/Activos fijos/ Orden de compra Categoria 3</t>
  </si>
  <si>
    <t>BPM.Gov* ERP-Inventarios/Activos fijos/ Orden de compra Categoria 2</t>
  </si>
  <si>
    <t>BPM.Gov* ERP-Inventarios/Activos fijos/ Orden de compra Categoria 1</t>
  </si>
  <si>
    <t xml:space="preserve">BPM.Gov* ERP- Nomina/Recursos Humanos  Adición 50 empleados </t>
  </si>
  <si>
    <t xml:space="preserve">BPM.Gov* ERP- Nomina/Recursos Humanos  Categoria 6 para 50 empleados </t>
  </si>
  <si>
    <t xml:space="preserve">BPM.Gov* ERP- Nomina/Recursos Humanos  Categoria 5 para 50 empleados </t>
  </si>
  <si>
    <t xml:space="preserve">BPM.Gov* ERP- Nomina/Recursos Humanos  Categoria 4 para 50 empleados </t>
  </si>
  <si>
    <t xml:space="preserve">BPM.Gov* ERP- Nomina/Recursos Humanos  Categoria 3 para 50 empleados </t>
  </si>
  <si>
    <t xml:space="preserve">BPM.Gov* ERP- Nomina/Recursos Humanos  Categoria 2 para 100 empleados </t>
  </si>
  <si>
    <t xml:space="preserve">BPM.Gov* ERP- Nomina/Recursos Humanos  Categoria 1 para 100 empleados </t>
  </si>
  <si>
    <t>BPM.Gov* ERP-Contratos/ Planeación Categoria 6</t>
  </si>
  <si>
    <t>BPM.Gov* ERP-Contratos/ Planeación Categoria 5</t>
  </si>
  <si>
    <t>BPM.Gov* ERP-Contratos/ Planeación Categoria 4</t>
  </si>
  <si>
    <t>BPM.Gov* ERP-Contratos/ Planeación Categoria 3</t>
  </si>
  <si>
    <t>BPM.Gov* ERP-Contratos/ Planeación Categoria 2</t>
  </si>
  <si>
    <t>BPM.Gov* ERP-Contratos/ Planeación Categoria 1</t>
  </si>
  <si>
    <t>Modulo Impuestos-Predial.Net/Cobro coactivo. Persuasivo Categoria 6</t>
  </si>
  <si>
    <t>Modulo Impuestos-Predial.Net/Cobro coactivo. Persuasivo Categoria 5</t>
  </si>
  <si>
    <t>Modulo Impuestos-Predial.Net/Cobro coactivo. Persuasivo Categoria 4</t>
  </si>
  <si>
    <t>Modulo Impuestos-Predial.Net/Cobro coactivo. Persuasivo Categoria 3</t>
  </si>
  <si>
    <t>Modulo Impuestos-Predial.Net/Cobro coactivo. Persuasivo Categoria 2</t>
  </si>
  <si>
    <t>Modulo Impuestos-Predial.Net/Cobro coactivo. Persuasivo Categoria 1</t>
  </si>
  <si>
    <t>Modulo Impuestos-Ind Y Comercio.Net/Rete ICA/Cobro coactivo. Fiscalizacion Categoria 6</t>
  </si>
  <si>
    <t>Modulo Impuestos-Ind Y Comercio.Net/Rete ICA/Cobro coactivo. Fiscalizacion Categoria 5</t>
  </si>
  <si>
    <t>Modulo Impuestos-Ind Y Comercio.Net/Rete ICA/Cobro coactivo. Fiscalizacion Categoria 4</t>
  </si>
  <si>
    <t>Modulo Impuestos-Ind Y Comercio.Net/Rete ICA/Cobro coactivo. Fiscalizacion Categoria 3</t>
  </si>
  <si>
    <t>Modulo Impuestos-Ind Y Comercio.Net/Rete ICA/Cobro coactivo. Fiscalizacion Categoria 2</t>
  </si>
  <si>
    <t>Modulo Impuestos-Ind Y Comercio.Net/Rete ICA/Cobro coactivo. Fiscalizacion Categoria 1</t>
  </si>
  <si>
    <t>Modulo Impuestos-Portal contribuyente/Pasarela de pagos Categoria 6</t>
  </si>
  <si>
    <t>Modulo Impuestos-Portal contribuyente/Pasarela de pagos Categoria 5</t>
  </si>
  <si>
    <t>Modulo Impuestos-Portal contribuyente/Pasarela de pagos Categoria 4</t>
  </si>
  <si>
    <t>Modulo Impuestos-Portal contribuyente/Pasarela de pagos Categoria 3</t>
  </si>
  <si>
    <t>Modulo Impuestos-Portal contribuyente/Pasarela de pagos Categoria 2</t>
  </si>
  <si>
    <t>Modulo Impuestos-Portal contribuyente/Pasarela de pagos Categoria 1</t>
  </si>
  <si>
    <t>Modulo Impuestos-Impomotor.Net/Cobro coactivo. Persuasivo</t>
  </si>
  <si>
    <t>Modulo Impuestos-Imporegistro.Net/Cobro coactivo. Persuasivo</t>
  </si>
  <si>
    <t>Modulo Impuestos-Imporentas.Net/Cobro coactivo. Persuasivo/Estampilas</t>
  </si>
  <si>
    <t>Modulo Impuestos-Imporentas.Net/Cobro coactivo. Persuasivo/Sobretasa al combustible</t>
  </si>
  <si>
    <t>Modulo Impuestos-Imporentas.Net/Cobro coactivo. Persuasivo/Deguello ganado</t>
  </si>
  <si>
    <t>BPM.Gov Adición módulo de logística/productos</t>
  </si>
  <si>
    <t>BPM.Gov Adición módulo de planeación, proyectos, calendario.</t>
  </si>
  <si>
    <t>BPM.Gov Adición módulo alertas, messenger.</t>
  </si>
  <si>
    <t xml:space="preserve">BPM.Gov Paquete módulo 3 actividades </t>
  </si>
  <si>
    <t xml:space="preserve">BPM.Gov Adición paquete de 5 usuarios </t>
  </si>
  <si>
    <t>BPM.Gov Ventanilla unica/PQRs/Gestion documental/Radicacio web Categoria 6 para 5 usuarios</t>
  </si>
  <si>
    <t>BPM.Gov Ventanilla unica/PQRs/Gestion documental/Radicacio web Categoria 5 para 5 usuarios</t>
  </si>
  <si>
    <t>BPM.Gov Ventanilla unica/PQRs/Gestion documental/Radicacio web Categoria 4 para 5 usuarios</t>
  </si>
  <si>
    <t>BPM.Gov Ventanilla unica/PQRs/Gestion documental/Radicacio web Categoria 3 para 5 usuarios</t>
  </si>
  <si>
    <t>BPM.Gov Ventanilla unica/PQRs/Gestion documental/Radicacio web Categoria 2 para 5 usuarios</t>
  </si>
  <si>
    <t>BPM.Gov Ventanilla unica/PQRs/Gestion documental/Radicacio web Categoria 1 para 5 usuarios</t>
  </si>
  <si>
    <t xml:space="preserve">BPM.Gov Contratacion/Calidad/Control interno/ Categoria 6 </t>
  </si>
  <si>
    <t>BPM.Gov Contratacion/Calidad/Control interno/ Categoria 5</t>
  </si>
  <si>
    <t>BPM.Gov Contratacion/Calidad/Control interno/ Categoria 4</t>
  </si>
  <si>
    <t>BPM.Gov Contratacion/Calidad/Control interno/ Categoria 3</t>
  </si>
  <si>
    <t>BPM.Gov Contratacion/Calidad/Control interno/Categoria 2</t>
  </si>
  <si>
    <t>BPM.Gov Contratacion/Calidad/Control interno/ Categoria 1</t>
  </si>
  <si>
    <t>Modulo Gestion Predial.Net/Gestion Catastral multiproposito/gestion de tramites alfanumericos</t>
  </si>
  <si>
    <t>Modulo Gestion Predial.Net/Gestion Catastral multiproposito/Visor Geografico/Expediente Ciudadano</t>
  </si>
  <si>
    <t xml:space="preserve">Modulo Gestion Predial.Net/Gestion Catastral multiproposito/Sistema de Informacion Geografica </t>
  </si>
  <si>
    <t>Modulo Gestion Predial.Net/Gestion Catastral multiproposito/Modulo de interoperabilidad LADM-COL</t>
  </si>
  <si>
    <t>Modulo Gestion Predial.Net/Gestion Catastral multiproposito/Modulo movil captura de informacion de campo</t>
  </si>
  <si>
    <t xml:space="preserve">BPM.Gov Usuario adicional nombrado acceso full </t>
  </si>
  <si>
    <t>BPM.Gov Usuario adicional nombrado acceso medio</t>
  </si>
  <si>
    <t>BPM.Gov Portal proveedores usuarios ilimitados</t>
  </si>
  <si>
    <t>BPM.Gov Portal ciudadano usuarios ilimitados</t>
  </si>
  <si>
    <t>BPM.Gov ControlBlood ESP/Facturación/PQRs/Tarifas/Ordenes de Servicio/Recaudo/Financiación/por cada 1000 suscriptores</t>
  </si>
  <si>
    <t>Saas</t>
  </si>
  <si>
    <t>Contado</t>
  </si>
  <si>
    <t>Software Novasoft</t>
  </si>
  <si>
    <t>Analitica SAS</t>
  </si>
  <si>
    <t>AZD-SW-1</t>
  </si>
  <si>
    <t>AZD-SW-2</t>
  </si>
  <si>
    <t>AZD-SW-3</t>
  </si>
  <si>
    <t>AZD-SW-4</t>
  </si>
  <si>
    <t>AZD-SW-5</t>
  </si>
  <si>
    <t>AZD-SW-6</t>
  </si>
  <si>
    <t>AZD-SW-7</t>
  </si>
  <si>
    <t>AZD-SW-8</t>
  </si>
  <si>
    <t>AZD-SW-9</t>
  </si>
  <si>
    <t>AZD-SW-10</t>
  </si>
  <si>
    <t>AZD-SW-11</t>
  </si>
  <si>
    <t>AZD-SW-12</t>
  </si>
  <si>
    <t>AZD-SW-13</t>
  </si>
  <si>
    <t>AZD-SW-14</t>
  </si>
  <si>
    <t>AZD-SW-15</t>
  </si>
  <si>
    <t>AZD-SW-16</t>
  </si>
  <si>
    <t>AZD-SW-17</t>
  </si>
  <si>
    <t>AZD-SW-18</t>
  </si>
  <si>
    <t>AZD-SW-19</t>
  </si>
  <si>
    <t>AZD-SW-20</t>
  </si>
  <si>
    <t>AZD-SW-21</t>
  </si>
  <si>
    <t>AZD-SW-22</t>
  </si>
  <si>
    <t>AZD-SW-23</t>
  </si>
  <si>
    <t>AZD-SW-24</t>
  </si>
  <si>
    <t>SGP-SW-1</t>
  </si>
  <si>
    <t>SGP-SW-2</t>
  </si>
  <si>
    <t>SGP-SW-3</t>
  </si>
  <si>
    <t>SGP-SW-4</t>
  </si>
  <si>
    <t>SGP-SW-5</t>
  </si>
  <si>
    <t>SGP-SW-6</t>
  </si>
  <si>
    <t>AZD-SRV-1</t>
  </si>
  <si>
    <t>AZD-SRV-2</t>
  </si>
  <si>
    <t>AZD-SRV-3</t>
  </si>
  <si>
    <t>AZD-SRV-4</t>
  </si>
  <si>
    <t>AZD-SRV-5</t>
  </si>
  <si>
    <t>AZD-SRV-6</t>
  </si>
  <si>
    <t>AZD-SRV-7</t>
  </si>
  <si>
    <t>AZD-SRV-8</t>
  </si>
  <si>
    <t>AZD-SRV-9</t>
  </si>
  <si>
    <t>AZD-SRV-10</t>
  </si>
  <si>
    <t>AZD-SRV-11</t>
  </si>
  <si>
    <t>AZD-SRV-12</t>
  </si>
  <si>
    <t>AZD-SRV-13</t>
  </si>
  <si>
    <t>AZD-SRV-14</t>
  </si>
  <si>
    <t>AZD-SRV-15</t>
  </si>
  <si>
    <t>AZD-SRV-16</t>
  </si>
  <si>
    <t>AZD-SRV-17</t>
  </si>
  <si>
    <t>AZD-SRV-18</t>
  </si>
  <si>
    <t>AZD-SRV-19</t>
  </si>
  <si>
    <t>AZD-SRV-20</t>
  </si>
  <si>
    <t>AZD-SRV-21</t>
  </si>
  <si>
    <t>AZD-SRV-22</t>
  </si>
  <si>
    <t>AZD-SRV-23</t>
  </si>
  <si>
    <t>AZD-SRV-24</t>
  </si>
  <si>
    <t>AZD-SRV-25</t>
  </si>
  <si>
    <t>AZD-SRV-26</t>
  </si>
  <si>
    <t>AZD-SRV-27</t>
  </si>
  <si>
    <t>AZD-SRV-28</t>
  </si>
  <si>
    <t>AZD-SRV-29</t>
  </si>
  <si>
    <t>AZD-SRV-30</t>
  </si>
  <si>
    <t>AZD-SRV-31</t>
  </si>
  <si>
    <t>AZD-SRV-32</t>
  </si>
  <si>
    <t>AZD-SRV-33</t>
  </si>
  <si>
    <t>AZD-SRV-34</t>
  </si>
  <si>
    <t>AZD-SRV-35</t>
  </si>
  <si>
    <t>AZD-SRV-36</t>
  </si>
  <si>
    <t>AZD-SRV-37</t>
  </si>
  <si>
    <t>AZD-SRV-38</t>
  </si>
  <si>
    <t>AZD-SRV-39</t>
  </si>
  <si>
    <t>AZD-SRV-40</t>
  </si>
  <si>
    <t>AZD-SRV-41</t>
  </si>
  <si>
    <t>AZD-SRV-42</t>
  </si>
  <si>
    <t>AZD-SRV-43</t>
  </si>
  <si>
    <t>AZD-SRV-44</t>
  </si>
  <si>
    <t>AZD-SRV-45</t>
  </si>
  <si>
    <t>AZD-SRV-46</t>
  </si>
  <si>
    <t>AZD-SRV-47</t>
  </si>
  <si>
    <t>AZD-SRV-48</t>
  </si>
  <si>
    <t>AZD-SRV-49</t>
  </si>
  <si>
    <t>AZD-SRV-50</t>
  </si>
  <si>
    <t>AZD-SRV-51</t>
  </si>
  <si>
    <t>AZD-SRV-52</t>
  </si>
  <si>
    <t>AZD-SRV-53</t>
  </si>
  <si>
    <t>AZD-SRV-54</t>
  </si>
  <si>
    <t>AZD-SRV-55</t>
  </si>
  <si>
    <t>AZD-SRV-56</t>
  </si>
  <si>
    <t>AZD-SRV-57</t>
  </si>
  <si>
    <t>SGP-SRV-1</t>
  </si>
  <si>
    <t>SGP-SRV-2</t>
  </si>
  <si>
    <t>SGP-SRV-3</t>
  </si>
  <si>
    <t>SGP-SRV-4</t>
  </si>
  <si>
    <t>SGP-SRV-5</t>
  </si>
  <si>
    <t>SGP-SRV-6</t>
  </si>
  <si>
    <t>SGP-SRV-7</t>
  </si>
  <si>
    <t>SGP-SRV-8</t>
  </si>
  <si>
    <t>SGP-SRV-9</t>
  </si>
  <si>
    <t>SGP-SRV-10</t>
  </si>
  <si>
    <t>SGP-SRV-11</t>
  </si>
  <si>
    <t>SGP-SRV-12</t>
  </si>
  <si>
    <t>SGP-SRV-13</t>
  </si>
  <si>
    <t>SGP-SRV-14</t>
  </si>
  <si>
    <t>SGP-SRV-15</t>
  </si>
  <si>
    <t>SGP-SRV-16</t>
  </si>
  <si>
    <t>SGP-SRV-17</t>
  </si>
  <si>
    <t>SGP-SRV-18</t>
  </si>
  <si>
    <t>SGP-SRV-19</t>
  </si>
  <si>
    <t>SGP-SRV-20</t>
  </si>
  <si>
    <t>SGP-SRV-21</t>
  </si>
  <si>
    <t>SGP-SRV-22</t>
  </si>
  <si>
    <t>SGP-SRV-23</t>
  </si>
  <si>
    <t>SGP-SRV-24</t>
  </si>
  <si>
    <t>SGP-SRV-25</t>
  </si>
  <si>
    <t>SGP-SRV-26</t>
  </si>
  <si>
    <t>SGP-SRV-27</t>
  </si>
  <si>
    <t>SGP-SRV-28</t>
  </si>
  <si>
    <t>SGP-SRV-29</t>
  </si>
  <si>
    <t>SGP-SRV-30</t>
  </si>
  <si>
    <t>SGP-SRV-31</t>
  </si>
  <si>
    <t>SGP-SRV-32</t>
  </si>
  <si>
    <t>SGP-SRV-33</t>
  </si>
  <si>
    <t>SGP-SRV-34</t>
  </si>
  <si>
    <t>SGP-SRV-35</t>
  </si>
  <si>
    <t>SGP-SRV-36</t>
  </si>
  <si>
    <t>SGP-SRV-37</t>
  </si>
  <si>
    <t>SGP-SRV-38</t>
  </si>
  <si>
    <t>SGP-SRV-39</t>
  </si>
  <si>
    <t>SGP-SRV-40</t>
  </si>
  <si>
    <t>SGP-SRV-41</t>
  </si>
  <si>
    <t>SGP-SRV-42</t>
  </si>
  <si>
    <t>SGP-SRV-43</t>
  </si>
  <si>
    <t>SGP-SRV-44</t>
  </si>
  <si>
    <t>SGP-SRV-45</t>
  </si>
  <si>
    <t>SGP-SRV-46</t>
  </si>
  <si>
    <t>SGP-SRV-47</t>
  </si>
  <si>
    <t>SGP-SRV-48</t>
  </si>
  <si>
    <t>SGP-SRV-49</t>
  </si>
  <si>
    <t>SGP-SRV-50</t>
  </si>
  <si>
    <t>SGP-SRV-51</t>
  </si>
  <si>
    <t>SGP-SRV-52</t>
  </si>
  <si>
    <t>SGP-SRV-53</t>
  </si>
  <si>
    <t>SGP-SRV-54</t>
  </si>
  <si>
    <t>SGP-SRV-55</t>
  </si>
  <si>
    <t>SGP-SRV-56</t>
  </si>
  <si>
    <t>SGP-SRV-57</t>
  </si>
  <si>
    <t>Software Analitica S.A.S</t>
  </si>
  <si>
    <t>AZDigital Soporte anual por usuario: SGDEA (Año adicional)</t>
  </si>
  <si>
    <t>AZDigital Soporte anual por usuario: SGDEA + PQRSD  (Año adicional)</t>
  </si>
  <si>
    <t>AZDigital Soporte anual por usuario: SGDEA + BPMS Ilimitados Procedimientos (Año adicional)</t>
  </si>
  <si>
    <t>AZDigita Soporte anual por usuariol: SGDEA + PQRSD + BPMS (Año adicional)</t>
  </si>
  <si>
    <t>AZDigital Licencia: SGDEA (Incluye soporte por el primer año)</t>
  </si>
  <si>
    <t>AZDigital Soporte Licencia: SGDEA (Año adicional)</t>
  </si>
  <si>
    <t>AZDigital Licencia: SGDEA + PQRSD (Incluye soporte por el primer año)</t>
  </si>
  <si>
    <t>AZDigital Soporte Licencia: SGDEA + PQRSD (Año adicional)</t>
  </si>
  <si>
    <t>AZDigital Licencia: SGDEA + BPMS Ilimitados Procedimientos (Incluye soporte por el primer año)</t>
  </si>
  <si>
    <t>AZDigital Soporte Licencia: SGDEA + BPMS Ilimitados Procedimientos (Año adicioanal)</t>
  </si>
  <si>
    <t>AZDigital Licencia: SGDEA + PQRSD + BPMS Ilimitados Procedimientos (Incluye soporte por el primer año)</t>
  </si>
  <si>
    <t>AZDigital Soporte Licencia: SGDEA + PQRSD + BPMS Ilimitados Procedimientos (Año adicioanal)</t>
  </si>
  <si>
    <t>SGP Soporte anual por usuario: BPMS (Año Adicional)</t>
  </si>
  <si>
    <t>SGP Licencia: BPMS Ilimitados Procedimientos (Incluye soporte por el primer año)</t>
  </si>
  <si>
    <t>SGP Soporte Licencia: BPMS Ilimitados Procedimientos (Año adicioanal)</t>
  </si>
  <si>
    <t>Capacitación para usuario final - hasta 10 Personas - AZDIGITAL (SGDEA)</t>
  </si>
  <si>
    <t>Capacitación para usuario final hasta 20 Personas - AZDIGITAL (SGDEA)</t>
  </si>
  <si>
    <t>Instalación de Licencia o Suscripción Anual, o afínes - AZDIGITAL (SGDEA)</t>
  </si>
  <si>
    <t>Migración de información por volumen de datos almacenados  - AZDIGITAL (SGDEA)</t>
  </si>
  <si>
    <t>Soporte técnico en sitio - AZDIGITAL (SGDEA)</t>
  </si>
  <si>
    <t>Soporte técnico proactivo - AZDIGITAL (SGDEA)</t>
  </si>
  <si>
    <t>Soporte técnico reactivo - AZDIGITAL (SGDEA)</t>
  </si>
  <si>
    <t>Capacitación para usuario final - hasta 10 Personas - SGP (BPMS)</t>
  </si>
  <si>
    <t>Capacitación para usuario final hasta 20 Personas - SGP (BPMS)</t>
  </si>
  <si>
    <t>Instalación de Licencia o Suscripción Anual, o afínes - SGP (BPMS)</t>
  </si>
  <si>
    <t>Migración de información por volumen de datos almacenados  - SGP (BPMS)</t>
  </si>
  <si>
    <t>Soporte técnico en sitio - SGP (BPMS)</t>
  </si>
  <si>
    <t>Soporte técnico proactivo - SGP (BPMS)</t>
  </si>
  <si>
    <t>Soporte técnico reactivo - SGP (BPMS)</t>
  </si>
  <si>
    <t xml:space="preserve">Usuario </t>
  </si>
  <si>
    <t>Software</t>
  </si>
  <si>
    <t>Soporte</t>
  </si>
  <si>
    <t>SaaS</t>
  </si>
  <si>
    <t>Único Pago</t>
  </si>
  <si>
    <t>SA-NS-S-16</t>
  </si>
  <si>
    <t>SA-NS-S-17</t>
  </si>
  <si>
    <t>SA-NS-S-18</t>
  </si>
  <si>
    <t>SA-NS-S-19</t>
  </si>
  <si>
    <t>SA-NS-S-20</t>
  </si>
  <si>
    <t>SA-NS-S-21</t>
  </si>
  <si>
    <t>IT-SI-01-01</t>
  </si>
  <si>
    <t>IT-SI-01-02</t>
  </si>
  <si>
    <t>IT-SI-01-03</t>
  </si>
  <si>
    <t>IT-SI-01-04</t>
  </si>
  <si>
    <t>IT-SI-01-05</t>
  </si>
  <si>
    <t>ON-NS-P-10</t>
  </si>
  <si>
    <t>ON-NS-P-11</t>
  </si>
  <si>
    <t>ON-NS-P-12</t>
  </si>
  <si>
    <t>ON-NS-P-13</t>
  </si>
  <si>
    <t>ON-NS-P-14</t>
  </si>
  <si>
    <t>ON-NS-P-15</t>
  </si>
  <si>
    <t>ON-NS-S-11</t>
  </si>
  <si>
    <t>ON-NS-S-12</t>
  </si>
  <si>
    <t>ON-NS-S-13</t>
  </si>
  <si>
    <t>ON-NS-S-14</t>
  </si>
  <si>
    <t>ON-NS-S-15</t>
  </si>
  <si>
    <t>ON-NS-S-16</t>
  </si>
  <si>
    <t>LICENCIA NOVASOFT-ERP MODULO BANCO DE PROYECTOS</t>
  </si>
  <si>
    <t>LICENCIA NOVASOFT- ERP INTEGRADO CON IMPUESTOS MPIO CAT - ESPECIAL</t>
  </si>
  <si>
    <t>Paq x 90 usuarios</t>
  </si>
  <si>
    <t>LICENCIA NOVASOFT- ERP INTEGRADO CON IMPUESTOS MPIO CAT  - 1</t>
  </si>
  <si>
    <t>Paq x 70 usuarios</t>
  </si>
  <si>
    <t>LICENCIA NOVASOFT- ERP INTEGRADO CON IMPUESTOS MPIO CAT   - 2</t>
  </si>
  <si>
    <t>LICENCIA NOVASOFT- ERP INTEGRADO CON IMPUESTOS MPIO CAT  - 3</t>
  </si>
  <si>
    <t>Paq x 30 usuarios</t>
  </si>
  <si>
    <t>LICENCIA NOVASOFT- ERP INTEGRADO CON IMPUESTOS MPIO CAT   - 4</t>
  </si>
  <si>
    <t>ACTUALIZACIÓN Y SOPORTE ESTÁNDAR - ERP MODULO BANCO DE PROYECTOS</t>
  </si>
  <si>
    <t>ACTUALIZACIÓN Y SOPORTE ESTÁNDAR -  ERP INTEGRADO CON IMPUESTOS MPIO CAT - ESPECIAL</t>
  </si>
  <si>
    <t>ACTUALIZACIÓN Y SOPORTE ESTÁNDAR -  ERP INTEGRADO CON IMPUESTOS MPIO CAT  - 1</t>
  </si>
  <si>
    <t>ACTUALIZACIÓN Y SOPORTE ESTÁNDAR -  ERP INTEGRADO CON IMPUESTOS MPIO CAT   - 2</t>
  </si>
  <si>
    <t>ACTUALIZACIÓN Y SOPORTE ESTÁNDAR -  ERP INTEGRADO CON IMPUESTOS MPIO CAT  - 3</t>
  </si>
  <si>
    <t>ACTUALIZACIÓN Y SOPORTE ESTÁNDAR -  ERP INTEGRADO CON IMPUESTOS MPIO CAT   - 4</t>
  </si>
  <si>
    <t>NOVASOFT-ERP - SAAS - ERP MODULO BANCO DE PROYECTOS</t>
  </si>
  <si>
    <t>Suscripción Mensual hasta Paq x 15 usuarios</t>
  </si>
  <si>
    <t>NOVASOFT-ERP - SAAS  - ERP INTEGRADO CON IMPUESTOS MPIO CAT - ESPECIAL</t>
  </si>
  <si>
    <t>Suscripción Mensual hasta 90 usuarios</t>
  </si>
  <si>
    <t>NOVASOFT-ERP - SAAS  - ERP INTEGRADO CON IMPUESTOS MPIO CAT  - 1</t>
  </si>
  <si>
    <t>Suscripción Mensual hasta 70 usuarios</t>
  </si>
  <si>
    <t>NOVASOFT-ERP - SAAS  - ERP INTEGRADO CON IMPUESTOS MPIO CAT   - 2</t>
  </si>
  <si>
    <t>Suscripción Mensual hasta 50 usuarios</t>
  </si>
  <si>
    <t>NOVASOFT-ERP - SAAS  - ERP INTEGRADO CON IMPUESTOS MPIO CAT  - 3</t>
  </si>
  <si>
    <t>Suscripción Mensual hasta 30 usuarios</t>
  </si>
  <si>
    <t>NOVASOFT-ERP - SAAS  - ERP INTEGRADO CON IMPUESTOS MPIO CAT   - 4</t>
  </si>
  <si>
    <t>IMPLEMENTACION - ERP INTEGRADO CON IMPUESTOS MPIO CAT - ESPECIAL</t>
  </si>
  <si>
    <t>IMPLEMENTACION - ERP INTEGRADO CON IMPUESTOS MPIO CAT  - 1</t>
  </si>
  <si>
    <t>IMPLEMENTACION - ERP INTEGRADO CON IMPUESTOS MPIO CAT   - 2</t>
  </si>
  <si>
    <t>IMPLEMENTACION - ERP INTEGRADO CON IMPUESTOS MPIO CAT  - 3</t>
  </si>
  <si>
    <t>IMPLEMENTACION - ERP INTEGRADO CON IMPUESTOS MPIO CAT   - 4</t>
  </si>
  <si>
    <t>AZD-SRV-58</t>
  </si>
  <si>
    <t>AZD-SRV-59</t>
  </si>
  <si>
    <t>AZD-SRV-60</t>
  </si>
  <si>
    <t>SGP-SRV-58</t>
  </si>
  <si>
    <t>SGP-SRV-59</t>
  </si>
  <si>
    <t>SGP-SRV-60</t>
  </si>
  <si>
    <t>Soporte técnico en sitio premium - AZDIGITAL (SGDEA)</t>
  </si>
  <si>
    <t>Soporte técnico es sitio premium - SGP (BPMS)</t>
  </si>
  <si>
    <t xml:space="preserve">HEINSOHN HUMAN GLOBAL SOLUTIONS SAS </t>
  </si>
  <si>
    <t>ON-HN-NM-P-01</t>
  </si>
  <si>
    <t xml:space="preserve">Software Heinsohn </t>
  </si>
  <si>
    <t>Paq x 100 empleados</t>
  </si>
  <si>
    <t>con pago mensual vencido</t>
  </si>
  <si>
    <t>ON-HN-NM-P-02</t>
  </si>
  <si>
    <t>LICENCIA ADICIONAL HEINSOHN NOMINA WEB ONPREMISE</t>
  </si>
  <si>
    <t>ON-HN-NM-S-01</t>
  </si>
  <si>
    <t>INSTALACION HEINSOHN NÓMINA WEB ONPREMISE</t>
  </si>
  <si>
    <t>3 días</t>
  </si>
  <si>
    <t>ON-HN-NM-S-02</t>
  </si>
  <si>
    <t>ACTUALIZACION Y SOPORTE ESTANDAR HEINSOHN NOMINA WEB ONPREMISE (25% sobre licencias)</t>
  </si>
  <si>
    <t>SA-HN-NM-S-01</t>
  </si>
  <si>
    <t>SA-HN-NM-S-02</t>
  </si>
  <si>
    <t>SA-HN-NM-S-03</t>
  </si>
  <si>
    <t>SA-HN-NM-S-04</t>
  </si>
  <si>
    <t xml:space="preserve">SOFTWARE HEINSOHN NOMINA WEB SaaS (Paquete Inicial de 301 a 500 empleados) Incluye infraestructura en la nube, actualización y mantenimiento del software y de la infraestructura </t>
  </si>
  <si>
    <t>SA-HN-NM-S-05</t>
  </si>
  <si>
    <t xml:space="preserve">SOFTWARE HEINSOHN NOMINA WEB  SaaS (Paquete Inicial de 501 a 800 empleados) Incluye infraestructura en la nube, actualización y mantenimiento del software y de la infraestructura </t>
  </si>
  <si>
    <t>SA-HN-NM-S-06</t>
  </si>
  <si>
    <t xml:space="preserve">SOFTWARE HEINSOHN NOMINA WEB  SaaS (Paquete Inicial 801 a 1200 empleados) Incluye infraestructura en la nube, actualización y mantenimiento del software y de la infraestructura </t>
  </si>
  <si>
    <t>SA-HN-NM-S-07</t>
  </si>
  <si>
    <t xml:space="preserve">SOFTWARE HEINSOHN NOMINA WEB  SaaS (Paquete Inicial de 1201 a 1500 empleados) Incluye infraestructura en la nube, actualización y mantenimiento del software y de la infraestructura </t>
  </si>
  <si>
    <t>SA-HN-NM-S-08</t>
  </si>
  <si>
    <t xml:space="preserve">SOFTWARE HEINSOHN NOMINA WEB  SaaS (Paquete Inicial de 1501 a 3000 empleados) Incluye infraestructura en la nube, actualización y mantenimiento del software y de la infraestructura </t>
  </si>
  <si>
    <t>SA-HN-NM-S-09</t>
  </si>
  <si>
    <t xml:space="preserve">SOFTWARE HEINSOHN NOMINA WEB SaaS (Paquete Inicial de 3001 a 5000 empleados) Incluye infraestructura en la nube, actualización y mantenimiento del software y de la infraestructura </t>
  </si>
  <si>
    <t>SA-HN-NM-S-10</t>
  </si>
  <si>
    <t xml:space="preserve">SOFTWARE HEINSOHN NOMINA WEB  SaaS (Paquete Inicial de 5001 empleados en adelante ) Incluye infraestructura en la nube, actualización y mantenimiento del software y de la infraestructura </t>
  </si>
  <si>
    <t>SA-HN-NM-S-11</t>
  </si>
  <si>
    <t>HABILITACION SERVICIO HEINSOHN NÓMINA WEB SaaS</t>
  </si>
  <si>
    <t>24 Horas</t>
  </si>
  <si>
    <t>SA-HN-NM-S-12</t>
  </si>
  <si>
    <t xml:space="preserve">SOPORTE TÉCNICO HEINSOHN NOMINA WEB </t>
  </si>
  <si>
    <t>SA-HN-NM-S-13</t>
  </si>
  <si>
    <t xml:space="preserve">SOPORTE FUNCIONAL HEINSOHN NOMINA WEB </t>
  </si>
  <si>
    <t>SA-HN-NM-S-14</t>
  </si>
  <si>
    <t xml:space="preserve">CAPACITACIÓN HEINSOHN NOMINA WEB USUARIO TÉCNICO - HASTA 5 PERSONAS. </t>
  </si>
  <si>
    <t>16 Horas</t>
  </si>
  <si>
    <t>SA-HN-NM-S-15</t>
  </si>
  <si>
    <t xml:space="preserve">CAPACITACIÓN HEINSOHN NOMINA WEB PARA USUARIO FUNCIONAL ADMINISTRADOR  - HASTA 10 PERSONAS. </t>
  </si>
  <si>
    <t>32 Horas</t>
  </si>
  <si>
    <t>SA-HN-NM-S-16</t>
  </si>
  <si>
    <t xml:space="preserve">CAPACITACIÓN PORTALES HEINSOHN NÓMINA PARA USUARIO FINAL - HASTA 20 PERSONAS </t>
  </si>
  <si>
    <t>3 Horas</t>
  </si>
  <si>
    <t>SA-HN-NM-S-17</t>
  </si>
  <si>
    <t>CAPACITACIÓN EN ACTUALIZACIÓN O CAMBIOS DE LEY APLICABLE AL PROCESO PARA USUARIO FINAL - HASTA 20 PERSONAS</t>
  </si>
  <si>
    <t xml:space="preserve">Hora </t>
  </si>
  <si>
    <t>SA-HN-NM-S-18</t>
  </si>
  <si>
    <t xml:space="preserve">CAPACITACIÓN EN ACTUALIZACIONES HEINSOHN NOMINA PARA USUARIO FUNCIONAL - HASTA 5 PERSONAS </t>
  </si>
  <si>
    <t>SA-HN-NM-S-19</t>
  </si>
  <si>
    <t>LEVANTAMIENTO DE INFORMACIÓN PARA IMPLEMENTAR HEINSOHN NOMINA WEB</t>
  </si>
  <si>
    <t xml:space="preserve">Profesional </t>
  </si>
  <si>
    <t>SA-HN-NM-S-20</t>
  </si>
  <si>
    <t>CONFIGURACIÓN Y PARAMETRIZACIÓN  HEINSOHN NOMINA WEB</t>
  </si>
  <si>
    <t>SA-HN-NM-S-21</t>
  </si>
  <si>
    <t xml:space="preserve">MIGRACIÓN DE INFORMACIÓN A HEINSOHN NOMINA WEB POR VOLUMEN DE DATOS </t>
  </si>
  <si>
    <t>ON-HN-GH-P-01</t>
  </si>
  <si>
    <t>ON-HN-GH-P-02</t>
  </si>
  <si>
    <t xml:space="preserve">LICENCIA ADICIONAL HEINSOHN GESTION HUMANA ONPREMISE </t>
  </si>
  <si>
    <t>ON-HN-GH-S-01</t>
  </si>
  <si>
    <t>INSTALACION HEINSOHN GESTION HUMANA ON PREMISE</t>
  </si>
  <si>
    <t>ON-HN-GH-S-02</t>
  </si>
  <si>
    <t>ACTUALIZACION Y SOPORTE ESTANDAR HEINSOHN GESTION HUMANA ONPREMISE (25% sobre licencias)</t>
  </si>
  <si>
    <t>SA-HN-GH-S-01</t>
  </si>
  <si>
    <t>SA-HN-GH-S-02</t>
  </si>
  <si>
    <t>SA-HN-GH-S-03</t>
  </si>
  <si>
    <t>SA-HN-GH-S-04</t>
  </si>
  <si>
    <t xml:space="preserve">SOFTWARE HEINSOHN GESTION HUMANA WEB SaaS (Paquete Inicial de 301 a 500 empleados) Incluye infraestructura en la nube, actualización y mantenimiento del software y de la infraestructura </t>
  </si>
  <si>
    <t>SA-HN-GH-S-05</t>
  </si>
  <si>
    <t xml:space="preserve">SOFTWARE HEINSOHN GESTION HUMANA WEB  SaaS (Paquete Inicial de 501 a 800 empleados) Incluye infraestructura en la nube, actualización y mantenimiento del software y de la infraestructura </t>
  </si>
  <si>
    <t>SA-HN-GH-S-06</t>
  </si>
  <si>
    <t xml:space="preserve">SOFTWARE HEINSOHN GESTION HUMANA WEB  SaaS (Paquete Inicial 801 a 1200 empleados) Incluye infraestructura en la nube, actualización y mantenimiento del software y de la infraestructura </t>
  </si>
  <si>
    <t>SA-HN-GH-S-07</t>
  </si>
  <si>
    <t xml:space="preserve">SOFTWARE HEINSOHN GESTION HUMANA WEB  SaaS (Paquete Inicial de 1201 a 1500 empleados) Incluye infraestructura en la nube, actualización y mantenimiento del software y de la infraestructura </t>
  </si>
  <si>
    <t>SA-HN-GH-S-08</t>
  </si>
  <si>
    <t xml:space="preserve">SOFTWARE HEINSOHN GESTION HUMANA WEB  SaaS (Paquete Inicial de 1501 a 3000 empleados) Incluye infraestructura en la nube, actualización y mantenimiento del software y de la infraestructura </t>
  </si>
  <si>
    <t>SA-HN-GH-S-09</t>
  </si>
  <si>
    <t xml:space="preserve">SOFTWARE HEINSOHN GESTION HUMANA WEB SaaS (Paquete Inicial de 3001 a 5000 empleados) Incluye infraestructura en la nube, actualización y mantenimiento del software y de la infraestructura </t>
  </si>
  <si>
    <t>SA-HN-GH-S-10</t>
  </si>
  <si>
    <t>SA-HN-GH-S-11</t>
  </si>
  <si>
    <t xml:space="preserve">HABILITACION HEINSOHN GESTION HUMANA SAAS </t>
  </si>
  <si>
    <t>1 semana</t>
  </si>
  <si>
    <t>SA-HN-GH-S-12</t>
  </si>
  <si>
    <t xml:space="preserve">SOPORTE TÉCNICO HEINSOHN GESTION HUMANA WEB </t>
  </si>
  <si>
    <t>SA-HN-GH-S-13</t>
  </si>
  <si>
    <t xml:space="preserve">SOPORTE FUNCIONAL HEINSOHN GESTION HUMANA WEB </t>
  </si>
  <si>
    <t>SA-HN-GH-S-14</t>
  </si>
  <si>
    <t xml:space="preserve">CAPACITACIÓN HEINSOHN GESTION HUMANA WEB USUARIO TÉCNICO - HASTA 5 PERSONAS. </t>
  </si>
  <si>
    <t>SA-HN-GH-S-15</t>
  </si>
  <si>
    <t xml:space="preserve">CAPACITACIÓN HEINSOHN GESTION HUMANA WEB PARA USUARIO FUNCIONAL DE GESTION HUMANA ADMINISTRADOR  - HASTA 10 PERSONAS. </t>
  </si>
  <si>
    <t xml:space="preserve">40 Horas </t>
  </si>
  <si>
    <t>SA-HN-GH-S-16</t>
  </si>
  <si>
    <t xml:space="preserve">CAPACITACIÓN PORTALES HEINSOHN GESTION HUMANA PARA USUARIO FINAL - HASTA 20 PERSONAS </t>
  </si>
  <si>
    <t>SA-HN-GH-S-17</t>
  </si>
  <si>
    <t xml:space="preserve">CAPACITACIÓN EN ACTUALIZACIONES HEINSOHN GESTION HUMANA PARA USUARIO FUNCIONAL - HASTA 5 PERSONAS </t>
  </si>
  <si>
    <t>SA-HN-GH-S-18</t>
  </si>
  <si>
    <t>LEVANTAMIENTO DE INFORMACIÓN PARA IMPLEMENTAR HEINSOHN GESTION HUMANA WEB</t>
  </si>
  <si>
    <t>SA-HN-GH-S-19</t>
  </si>
  <si>
    <t>CONFIGURACIÓN Y PARAMETRIZACIÓN  HEINSOHN GESTION HUMANA WEB</t>
  </si>
  <si>
    <t>SA-HN-GH-S-20</t>
  </si>
  <si>
    <t xml:space="preserve">CARGA DE INFORMACIÓN A HEINSOHN GESTION HUMANA WEB POR VOLUMEN DE DATOS </t>
  </si>
  <si>
    <t>SA-HN-SST-S-01</t>
  </si>
  <si>
    <t>SA-HN-SST-S-02</t>
  </si>
  <si>
    <t xml:space="preserve">USUARIO ADMINISTRADOR ADICIONAL SOFTWARE HEINSOHN SEGURIDAD Y SALUD EN EL TRABAJO (SST) SaaS </t>
  </si>
  <si>
    <t>SA-HN-SST-S-03</t>
  </si>
  <si>
    <t xml:space="preserve">USUARIO GESTOR ADICIONAL SOFTWARE HEINSOHN SEGURIDAD Y SALUD EN EL TRABAJO (SST) SaaS </t>
  </si>
  <si>
    <t>SA-HN-SST-S-04</t>
  </si>
  <si>
    <t xml:space="preserve">HABILITACION HEINSOHN SST SAAS </t>
  </si>
  <si>
    <t>SA-HN-SST-S-05</t>
  </si>
  <si>
    <t xml:space="preserve">SOPORTE TÉCNICO HEINSOHN SST WEB </t>
  </si>
  <si>
    <t>SA-HN-SST-S-06</t>
  </si>
  <si>
    <t xml:space="preserve">SOPORTE FUNCIONAL HEINSOHN SST WEB </t>
  </si>
  <si>
    <t>SA-HN-SST-S-07</t>
  </si>
  <si>
    <t xml:space="preserve">CAPACITACIÓN HEINSOHN SST WEB PARA USUARIO FUNCIONAL DE GESTION HUMANA ADMINISTRADOR  - HASTA 10 PERSONAS. </t>
  </si>
  <si>
    <t>20 Horas</t>
  </si>
  <si>
    <t>SA-HN-SST-S-08</t>
  </si>
  <si>
    <t xml:space="preserve">CAPACITACIÓN EN ACTUALIZACIONES HEINSOHN SST PARA USUARIO FUNCIONAL - HASTA 5 PERSONAS </t>
  </si>
  <si>
    <t>SA-HN-SST-S-09</t>
  </si>
  <si>
    <t>LEVANTAMIENTO DE INFORMACIÓN PARA IMPLEMENTAR HEINSOHN SST</t>
  </si>
  <si>
    <t>SA-HN-SST-S-10</t>
  </si>
  <si>
    <t>CONFIGURACIÓN Y PARAMETRIZACIÓN  HEINSOHN SST</t>
  </si>
  <si>
    <t>SA-HN-SST-S-11</t>
  </si>
  <si>
    <t xml:space="preserve">CARGA DE INFORMACIÓN A HEINSOHN SST POR VOLUMEN DE DATOS </t>
  </si>
  <si>
    <t>IT-ECM-06</t>
  </si>
  <si>
    <t>Licencia Forest ECM ONPREMISE</t>
  </si>
  <si>
    <t>IT-ECM-07</t>
  </si>
  <si>
    <t>Licencia Forest ECM SaaS (50 usuarios - 1 repositorio)</t>
  </si>
  <si>
    <t>SENIORX-BPM-TIER 1</t>
  </si>
  <si>
    <t>NOVASOFT - BUSINESS PROCESS MANAGEMENT T1</t>
  </si>
  <si>
    <t>3K Tar, 5K Int, 2GB, 10K Vis.</t>
  </si>
  <si>
    <t>SENIORX-BPM-TIER 2</t>
  </si>
  <si>
    <t>NOVASOFT - BUSINESS PROCESS MANAGEMENT T2</t>
  </si>
  <si>
    <t>15K Tar, 25K Int, 8GB, 35K Vis.</t>
  </si>
  <si>
    <t>SENIORX-BPM-TIER 3</t>
  </si>
  <si>
    <t>NOVASOFT - BUSINESS PROCESS MANAGEMENT T3</t>
  </si>
  <si>
    <t>30K Tar, 60K Int, 24GB, 75K Vis.</t>
  </si>
  <si>
    <t>SENIORX-BPM-TIER 4</t>
  </si>
  <si>
    <t>NOVASOFT - BUSINESS PROCESS MANAGEMENT T4</t>
  </si>
  <si>
    <t>60K Tar, 150K Int, 60GB, 150K Vis.</t>
  </si>
  <si>
    <t>SENIORX-CRM-T1</t>
  </si>
  <si>
    <t>NOVASOFT - CRM T1</t>
  </si>
  <si>
    <t>Suscripción Mensual hasta Paq x 25 usuarios</t>
  </si>
  <si>
    <t>SENIORX-CRM-T2</t>
  </si>
  <si>
    <t>NOVASOFT - CRM T2</t>
  </si>
  <si>
    <t>Suscripción Mensual hasta Paq x 50 usuarios</t>
  </si>
  <si>
    <t>SENIORX-CRM-T3</t>
  </si>
  <si>
    <t>NOVASOFT - CRM T3</t>
  </si>
  <si>
    <t>Suscripción Mensual mas de 50 usuarios</t>
  </si>
  <si>
    <t>IT-SW-06-04</t>
  </si>
  <si>
    <t>Administrador de la solución (Soporte)</t>
  </si>
  <si>
    <t>IT-SW-06-05</t>
  </si>
  <si>
    <t>IT-SW-09-04</t>
  </si>
  <si>
    <t>Soporte técnico 7x24</t>
  </si>
  <si>
    <t>IT-SW-11-07</t>
  </si>
  <si>
    <t xml:space="preserve">Configuración y parametrización SitiData - Automatización de procesos (RAAS) y  lectura y optimización de documentos (OCR) XS (hasta 96 horas) </t>
  </si>
  <si>
    <t>IT-SW-11-08</t>
  </si>
  <si>
    <t xml:space="preserve"> Configuración y parametrización SitiData - Automatización de procesos (RAAS) y  lectura y optimización de documentos (OCR) s (hasta 144 horas) </t>
  </si>
  <si>
    <t>IT-SW-11-09</t>
  </si>
  <si>
    <t xml:space="preserve"> Configuración y parametrización SitiData - Automatización de procesos (RAAS) y  lectura y optimización de documentos (OCR) M (hasta 240 horas) </t>
  </si>
  <si>
    <t>IT-SW-11-10</t>
  </si>
  <si>
    <t xml:space="preserve"> Configuración y parametrización SitiData - Automatización de procesos (RAAS) y  lectura y optimización de documentos (OCR) ML (hasta 288 horas) </t>
  </si>
  <si>
    <t>IT-SW-11-11</t>
  </si>
  <si>
    <t xml:space="preserve"> Configuración y parametrización SitiData - Automatización de procesos (RAAS) y  lectura y optimización de documentos (OCR) L (hasta 384 horas) </t>
  </si>
  <si>
    <t>IT-SW-11-12</t>
  </si>
  <si>
    <t xml:space="preserve"> Configuración y parametrización SitiData - Automatización de procesos (RAAS) y  lectura y optimización de documentos (OCR) XL (hasta 480 horas) </t>
  </si>
  <si>
    <t>IT-SW-11-13</t>
  </si>
  <si>
    <t xml:space="preserve"> Configuración y parametrización SitiData - Automatización de procesos (RAAS) y  lectura y optimización de documentos (OCR) XXL (hasta 576 horas) </t>
  </si>
  <si>
    <t>P-9014-b</t>
  </si>
  <si>
    <t xml:space="preserve">Geovisor Catastro Multipropósito SaaS - Observatorio Territorial </t>
  </si>
  <si>
    <t>AG-7011</t>
  </si>
  <si>
    <t>P-3003-A</t>
  </si>
  <si>
    <t xml:space="preserve">SitiData - Automatización de procesos (RAAS) XS (hasta 96 horas) 
</t>
  </si>
  <si>
    <t>P-3003-B</t>
  </si>
  <si>
    <t xml:space="preserve">SitiData - Automatización de procesos (RAAS) S (hasta 192 horas) 
</t>
  </si>
  <si>
    <t>P-3003-C</t>
  </si>
  <si>
    <t xml:space="preserve">SitiData - Automatización de procesos (RAAS) M (hasta 288 horas) 
</t>
  </si>
  <si>
    <t>P-3003-D</t>
  </si>
  <si>
    <t xml:space="preserve">SitiData - Automatización de procesos (RAAS) ML (hasta 384 horas) 
</t>
  </si>
  <si>
    <t>P-3003-E</t>
  </si>
  <si>
    <t xml:space="preserve">SitiData - Automatización de procesos (RAAS) L (hasta 480 horas) 
</t>
  </si>
  <si>
    <t>P-3003-F</t>
  </si>
  <si>
    <t xml:space="preserve">SitiData - Automatización de procesos (RAAS) XL (hasta 576 horas) 
</t>
  </si>
  <si>
    <t>P-3003-G</t>
  </si>
  <si>
    <t xml:space="preserve">SitiData - Automatización de procesos (RAAS) XXL (hasta 672 horas) 
</t>
  </si>
  <si>
    <t>P-3003-H</t>
  </si>
  <si>
    <t xml:space="preserve">SitiData -  Lectura y optimización de documentos (OCR) XS (hasta 96 horas) </t>
  </si>
  <si>
    <t>P-3003-I</t>
  </si>
  <si>
    <t xml:space="preserve">SitiData - Lectura y optimización de documentos (OCR) S (hasta 192 horas) 
</t>
  </si>
  <si>
    <t>P-3003-J</t>
  </si>
  <si>
    <t xml:space="preserve">SitiData - Lectura y optimización de documentos (OCR) M (hasta 288 horas) 
</t>
  </si>
  <si>
    <t>P-3003-K</t>
  </si>
  <si>
    <t xml:space="preserve">SitiData - Lectura y optimización de documentos (OCR) ML (hasta 384 horas) 
</t>
  </si>
  <si>
    <t>P-3003-L</t>
  </si>
  <si>
    <t xml:space="preserve">SitiData - Lectura y optimización de documentos (OCR) L (hasta 480 horas) 
</t>
  </si>
  <si>
    <t>P-3003-M</t>
  </si>
  <si>
    <t xml:space="preserve">SitiData - Lectura y optimización de documentos (OCR) XL (hasta 576 horas) 
</t>
  </si>
  <si>
    <t>P-3003-N</t>
  </si>
  <si>
    <t xml:space="preserve">SitiData - Lectura y optimización de documentos (OCR) XXL (hasta 672 horas) 
</t>
  </si>
  <si>
    <t>P-3003-O</t>
  </si>
  <si>
    <t>SitiData - Conversaciones Cognitivas S</t>
  </si>
  <si>
    <t>P-3003-P</t>
  </si>
  <si>
    <t>SitiData - Conversaciones Cognitivas M</t>
  </si>
  <si>
    <t>P-3003-Q</t>
  </si>
  <si>
    <t>SitiData - Conversaciones Cognitivas L</t>
  </si>
  <si>
    <t>P-3003-R</t>
  </si>
  <si>
    <t>SitiData - LakeHouse S</t>
  </si>
  <si>
    <t>P-3003-S</t>
  </si>
  <si>
    <t>SitiData - LakeHouse M</t>
  </si>
  <si>
    <t>P-3003-T</t>
  </si>
  <si>
    <t>SitiData - LakeHouse L</t>
  </si>
  <si>
    <t>P-9014-a</t>
  </si>
  <si>
    <t>P-9018-A</t>
  </si>
  <si>
    <t>Geovisor - Servicio de monitoreo satelital en linea</t>
  </si>
  <si>
    <t>AG-7009</t>
  </si>
  <si>
    <t>AGRODATAI - Gremios: Perfil productor para apoyo a la Asistencia Técnica y extensión rural.</t>
  </si>
  <si>
    <t>Registro mensual</t>
  </si>
  <si>
    <t>AG-7010</t>
  </si>
  <si>
    <t>AGRODATAI - Asociaciones: Perfil productor para apoyo a la Asistencia Técnica y extensión rural.</t>
  </si>
  <si>
    <t>AGRODATAI - Entidas publicas orden nacional: Perfil productor para apoyo a la Asistencia Técnica y extensión rural.</t>
  </si>
  <si>
    <t>AG-7012</t>
  </si>
  <si>
    <t>AGRODATAI - Entidades territoriales: Perfil productor para apoyo a la Asistencia Técnica y extensión rural.</t>
  </si>
  <si>
    <t>AG-7013</t>
  </si>
  <si>
    <t>Registro anual</t>
  </si>
  <si>
    <t>AG-7014</t>
  </si>
  <si>
    <t>AG-7015</t>
  </si>
  <si>
    <t>AG-7016</t>
  </si>
  <si>
    <t>AG-7017</t>
  </si>
  <si>
    <t>AGRODATAI - Gremios: Envío de mensajes caracterizados a productores.</t>
  </si>
  <si>
    <t>AG-7018</t>
  </si>
  <si>
    <t>AGRODATAI - Asociaciones: Envío de mensajes caracterizados a productores.</t>
  </si>
  <si>
    <t>AG-7019</t>
  </si>
  <si>
    <t>AGRODATAI - Entidas publicas orden nacional: Envío de mensajes caracterizados a productores.</t>
  </si>
  <si>
    <t>AG-7020</t>
  </si>
  <si>
    <t>AGRODATAI - Entidades territoriales:  Envío de mensajes caracterizados a productores.</t>
  </si>
  <si>
    <t>AG-7021</t>
  </si>
  <si>
    <t>AGRODATAI - Gremios: Construcción  de formulario de 10 preguntas y despliegue en perfil productor.</t>
  </si>
  <si>
    <t>AG-7022</t>
  </si>
  <si>
    <t>AGRODATAI - Asociaciones: Construcción  de formulario de 10 preguntas y despliegue en perfil productor.</t>
  </si>
  <si>
    <t>AG-7023</t>
  </si>
  <si>
    <t>AGRODATAI - Entidas publicas orden nacional: Construcción  de formulario de 10 preguntas y despliegue en perfil productor.</t>
  </si>
  <si>
    <t>AG-7024</t>
  </si>
  <si>
    <t>AGRODATAI - Entidades territoriales: Construcción  de formulario de 10 preguntas y despliegue en perfil productor.</t>
  </si>
  <si>
    <t>AG-7025</t>
  </si>
  <si>
    <t>AGRODATAI - Gremios:  Encuesta efectiva.</t>
  </si>
  <si>
    <t>AG-7026</t>
  </si>
  <si>
    <t>AGRODATAI - Asociaciones: Encuesta efectiva.</t>
  </si>
  <si>
    <t>AG-7027</t>
  </si>
  <si>
    <t>AGRODATAI - Entidas publicas orden nacional: Encuesta efectiva.</t>
  </si>
  <si>
    <t>AG-7028</t>
  </si>
  <si>
    <t>AGRODATAI - Entidades territoriales: Encuesta efectiva.</t>
  </si>
  <si>
    <t>AG-7029</t>
  </si>
  <si>
    <t>AGRODATAI - Gremios: Diseño y despliegue de anuncios en el perfil productor.</t>
  </si>
  <si>
    <t>AG-7030</t>
  </si>
  <si>
    <t>AGRODATAI - Asociaciones: Diseño y despliegue de anuncios en el perfil productor.</t>
  </si>
  <si>
    <t>AG-7031</t>
  </si>
  <si>
    <t>AGRODATAI - Entidas publicas orden nacional: Diseño y despliegue de anuncios en el perfil productor.</t>
  </si>
  <si>
    <t>AG-7032</t>
  </si>
  <si>
    <t>AGRODATAI - Entidades territoriales: Diseño y despliegue de anuncios en el perfil productor.</t>
  </si>
  <si>
    <t>AG-7001-A</t>
  </si>
  <si>
    <t>AG-7002-A</t>
  </si>
  <si>
    <t>AG-7003-A</t>
  </si>
  <si>
    <t>AG-7004-A</t>
  </si>
  <si>
    <t>AG-7005-A</t>
  </si>
  <si>
    <t>AG-7006-A</t>
  </si>
  <si>
    <t>AG-7007-A</t>
  </si>
  <si>
    <t>AGRODATAI - Entidad publica orden nacional</t>
  </si>
  <si>
    <t>AG-7008-A</t>
  </si>
  <si>
    <t>Código de parte</t>
  </si>
  <si>
    <t>Nombre de parte</t>
  </si>
  <si>
    <t>Valor</t>
  </si>
  <si>
    <t>Aplica IVA</t>
  </si>
  <si>
    <t>Forma de pago</t>
  </si>
  <si>
    <t>Mensual por servicios prestados</t>
  </si>
  <si>
    <t>Licencia de uso vitalicio</t>
  </si>
  <si>
    <t>Zona (1, 2, 3)</t>
  </si>
  <si>
    <t>CO-MCTO_LV100</t>
  </si>
  <si>
    <t>CO-MCTO_LV001</t>
  </si>
  <si>
    <t>CO-MCTO_SA100</t>
  </si>
  <si>
    <t>CO-MCTO_SA001</t>
  </si>
  <si>
    <t>MENSUAL POR SERVICIOS EFECTIVAMENTE PRESTADOS</t>
  </si>
  <si>
    <t>MES VENCIDO</t>
  </si>
  <si>
    <t>SUSCRIPCION ANUAL</t>
  </si>
  <si>
    <t>Proveedor</t>
  </si>
  <si>
    <t>Categoría</t>
  </si>
  <si>
    <t>SAP Colombia</t>
  </si>
  <si>
    <t>SAP Signavio Process Manager</t>
  </si>
  <si>
    <t>Suscripcion</t>
  </si>
  <si>
    <t>Forma de pago estandar a 30 dias</t>
  </si>
  <si>
    <t>SAP Signavio Journey Modeler</t>
  </si>
  <si>
    <t>SAP Signavio Process Governance</t>
  </si>
  <si>
    <t>SAP Signavio Process Collaboration Hub</t>
  </si>
  <si>
    <t>SAP Signavio Process Governance Collaborator</t>
  </si>
  <si>
    <t>SAP Signavio Process Intelligence</t>
  </si>
  <si>
    <t>SAP Signavio Process Transformation Suite, private cloud edition</t>
  </si>
  <si>
    <t>SAP Additional File Storage, private cloud edition</t>
  </si>
  <si>
    <t>SAP App Server Linux Cloud, private edition</t>
  </si>
  <si>
    <t>SAP Fiori Hub on ASE Cloud, private edition (XXS)</t>
  </si>
  <si>
    <t>SAP Fiori Hub on ASE Cloud, private edition (XS)</t>
  </si>
  <si>
    <t>SAP Fiori Hub on ASE Cloud, private edition (S)</t>
  </si>
  <si>
    <t>SAP Fiori Hub on ASE Cloud, private edition (M)</t>
  </si>
  <si>
    <t>SAP Fiori Hub on ASE Cloud, private edition (L)</t>
  </si>
  <si>
    <t>SAP Fiori Hub on ASE Cloud, private edition (XL)</t>
  </si>
  <si>
    <t>SAP IaaS server Windows Cloud, private edition (32GB)</t>
  </si>
  <si>
    <t>SAP IaaS server Linux Cloud, private edition (64GB)</t>
  </si>
  <si>
    <t>SAP IaaS server Linux Cloud, private edition (128GB)</t>
  </si>
  <si>
    <t>SAP IaaS server Windows Cloud, private edition (64GB)</t>
  </si>
  <si>
    <t>SAP IaaS server Windows Cloud, private edition (128GB)</t>
  </si>
  <si>
    <t>SAP IaaS server Linux Cloud, private edition (32GB)</t>
  </si>
  <si>
    <t>SAP content server Cloud, private edition (S)</t>
  </si>
  <si>
    <t>SAP content server Cloud, private edition (M)</t>
  </si>
  <si>
    <t>SAP content server Cloud, private edition (L)</t>
  </si>
  <si>
    <t>SAP ERP, disaster recovery, private cloud edition</t>
  </si>
  <si>
    <t>SAP ERP, Digital Access, private cloud edition</t>
  </si>
  <si>
    <t>SAP ERP, additional non-productive tier, private cloud edition (XS)</t>
  </si>
  <si>
    <t>SAP ERP, GxP, private cloud edition</t>
  </si>
  <si>
    <t>SAP ERP, additional non-productive tier, private cloud edition (M)</t>
  </si>
  <si>
    <t>SAP ERP, additional non-productive tier, private cloud edition (S)</t>
  </si>
  <si>
    <t>SAP ERP, additional non-productive tier, private cloud edition (L)</t>
  </si>
  <si>
    <t>SAP ERP, customer evaluation system, private cloud edition</t>
  </si>
  <si>
    <t>SAP ERP, additional non-productive tier, private cloud edition (XXL)</t>
  </si>
  <si>
    <t>SAP ERP, additional productive tier (XS), private cloud edition</t>
  </si>
  <si>
    <t>SAP ERP, additional productive tier (S), private cloud edition</t>
  </si>
  <si>
    <t>SAP ERP, additional productive tier (M), private cloud edition</t>
  </si>
  <si>
    <t>SAP ERP, additional productive tier (L), private cloud edition</t>
  </si>
  <si>
    <t>SAP ERP, additional productive tier (XXL), private cloud edition</t>
  </si>
  <si>
    <t>SAP NetWeaver ABAP Server on ASE Cloud, private edition (M)</t>
  </si>
  <si>
    <t>SAP NetWeaver ABAP Server on ASE Cloud, private edition (XL)</t>
  </si>
  <si>
    <t>SAP NetWeaver ABAP Server on ASE Cloud, private edition (XS)</t>
  </si>
  <si>
    <t>SAP NetWeaver ABAP Server on ASE Cloud, private edition (S)</t>
  </si>
  <si>
    <t>SAP NetWeaver ABAP Server on ASE Cloud, private edition (L)</t>
  </si>
  <si>
    <t>SAP NetWeaver ABAP Server Cloud on HANA, private edition (S)</t>
  </si>
  <si>
    <t>SAP NetWeaver ABAP Server Cloud on HANA, private edition (M)</t>
  </si>
  <si>
    <t>SAP NetWeaver ABAP Server Cloud on HANA, private edition (L)</t>
  </si>
  <si>
    <t>SAP NetWeaver ABAP Server Cloud on HANA, private edition (XL)</t>
  </si>
  <si>
    <t>SAP NetWeaver ABAP Server Cloud on HANA, private edition (XXL)</t>
  </si>
  <si>
    <t>SAP NetWeaver ABAP Server Cloud on HANA, private edition (4XL)</t>
  </si>
  <si>
    <t>SAP Cloud, memory extension for productive tiers, private edition</t>
  </si>
  <si>
    <t>SAP Cloud, memory extension for non-productive tiers, private edition</t>
  </si>
  <si>
    <t>SAP content server Cloud, private edition (XL)</t>
  </si>
  <si>
    <t>SAP content server Cloud, private edition (XXL)</t>
  </si>
  <si>
    <t>SAP ERP, private cloud edition</t>
  </si>
  <si>
    <t>SAP Fiori Hub for HANA, private cloud edition (XXS)</t>
  </si>
  <si>
    <t>SAP Fiori Hub for HANA, private cloud edition (XS)</t>
  </si>
  <si>
    <t>SAP Fiori Hub for HANA, private cloud edition (S)</t>
  </si>
  <si>
    <t>SAP Fiori Hub for HANA, private cloud edition (M)</t>
  </si>
  <si>
    <t>SAP Fiori Hub for HANA, private cloud edition (L)</t>
  </si>
  <si>
    <t>SAP Fiori Hub for HANA, private cloud edition (XL)</t>
  </si>
  <si>
    <t>SAP ERP 99.9% SLA, private edition</t>
  </si>
  <si>
    <t>SAP Sales and Service Core, private edition</t>
  </si>
  <si>
    <t>SAP Sales and Service Core, limited access edition</t>
  </si>
  <si>
    <t>SAP CPQ, standard edition</t>
  </si>
  <si>
    <t>SAP CPQ, extra storage</t>
  </si>
  <si>
    <t>SAP CPQ, professional edition</t>
  </si>
  <si>
    <t>SAP Omnichannel Promotion Pricing</t>
  </si>
  <si>
    <t>SAP Commerce Cloud, financial services accelerator, access</t>
  </si>
  <si>
    <t>SAP Commerce Cloud, financial services accelerator</t>
  </si>
  <si>
    <t>SAP Commerce Cloud, citizen engagement accelerator, access</t>
  </si>
  <si>
    <t>SAP Commerce Cloud, citizen engagement accelerator</t>
  </si>
  <si>
    <t>SAP Commerce Cloud, telco and utilities accelerator, orders, access</t>
  </si>
  <si>
    <t>SAP Commerce Cloud, telco and utilities accelerator, orders</t>
  </si>
  <si>
    <t>SAP Commerce Cloud, telco and utilities accelerator, GMV, access</t>
  </si>
  <si>
    <t>SAP Commerce Cloud, telco and utilities accelerator, GMV</t>
  </si>
  <si>
    <t>SAP Sales and Service Core, test tenant</t>
  </si>
  <si>
    <t>SAP Commerce Cloud, additional storage</t>
  </si>
  <si>
    <t>SAP Commerce Cloud, data hub</t>
  </si>
  <si>
    <t>SAP CPQ, professional edition, test tenant</t>
  </si>
  <si>
    <t>SAP Commerce Cloud, evaluation system</t>
  </si>
  <si>
    <t>On Request</t>
  </si>
  <si>
    <t>SAP CPQ, standard edition, test tenant</t>
  </si>
  <si>
    <t>SAP CPQ, professional edition for SAP Commerce, orders, access</t>
  </si>
  <si>
    <t>SAP CPQ, professional edition for SAP Commerce, orders</t>
  </si>
  <si>
    <t>SAP Commerce Cloud, solution sales configuration, orders, access</t>
  </si>
  <si>
    <t>SAP Commerce Cloud, solution sales configuration, orders</t>
  </si>
  <si>
    <t>SAP CPQ, standard edition for SAP Commerce, orders, access</t>
  </si>
  <si>
    <t>SAP CPQ, standard edition for SAP Commerce, orders</t>
  </si>
  <si>
    <t>SAP Customer Data Platform, additional storage</t>
  </si>
  <si>
    <t>SAP Customer Data Platform, additional activations</t>
  </si>
  <si>
    <t>SAP Sales and Service Core, intelligent sales add-on</t>
  </si>
  <si>
    <t>SAP Emarsys Customer Engagement</t>
  </si>
  <si>
    <t>SAP Emarsys Customer Engagement, advanced integration capabilities</t>
  </si>
  <si>
    <t>SAP Emarsys Customer Engagement, e-commerce accelerator, loyalty module</t>
  </si>
  <si>
    <t>SAP Emarsys Customer Engagement, e-commerce accelerator</t>
  </si>
  <si>
    <t>SAP Emarsys Customer Engagement, e-commerce accelerator, offline stores option</t>
  </si>
  <si>
    <t>SAP Emarsys Customer Engagement, additional Web channel impressions</t>
  </si>
  <si>
    <t>SAP Emarsys Customer Engagement, test tenant</t>
  </si>
  <si>
    <t>SAP Sales and Service Core</t>
  </si>
  <si>
    <t>SAP Sales and Service Core, service agent console</t>
  </si>
  <si>
    <t>SAP Sales and Service Core, dynamic visit planning add-on</t>
  </si>
  <si>
    <t>SAP Commerce Cloud, standard edition, GMV, access</t>
  </si>
  <si>
    <t>SAP Commerce Cloud, standard edition, GMV</t>
  </si>
  <si>
    <t>SAP Commerce Cloud, standard edition, orders, access</t>
  </si>
  <si>
    <t>SAP Commerce Cloud, standard edition, orders</t>
  </si>
  <si>
    <t>SAP Commerce Cloud, professional edition, GMV, access</t>
  </si>
  <si>
    <t>SAP Commerce Cloud, professional edition, GMV</t>
  </si>
  <si>
    <t>SAP Commerce Cloud, professional edition, orders, access</t>
  </si>
  <si>
    <t>SAP Commerce Cloud, professional edition, orders</t>
  </si>
  <si>
    <t>SAP Commerce Cloud, scalability add-on</t>
  </si>
  <si>
    <t>SAP Commerce Cloud, enterprise edition, orders, access</t>
  </si>
  <si>
    <t>SAP Commerce Cloud, enterprise edition, orders</t>
  </si>
  <si>
    <t>SAP Commerce Cloud, enterprise edition, GMV, access</t>
  </si>
  <si>
    <t>SAP Commerce Cloud, enterprise edition, GMV</t>
  </si>
  <si>
    <t>SAP Commerce Cloud, sandbox environment, small</t>
  </si>
  <si>
    <t>SAP Commerce Cloud, sandbox environment, medium</t>
  </si>
  <si>
    <t>SAP Commerce Cloud, sandbox environment, large</t>
  </si>
  <si>
    <t>SAP Commerce Cloud, sandbox environment, x-large</t>
  </si>
  <si>
    <t>SAP Emarsys Customer Engagement, omnichannel marketing option</t>
  </si>
  <si>
    <t>SAP Emarsys Customer Engagement, mobile app marketing option</t>
  </si>
  <si>
    <t>SAP Service Cloud Version 2</t>
  </si>
  <si>
    <t>SAP Emarsys Customer Engagement, account engagement option</t>
  </si>
  <si>
    <t>SAP Work Manager, cloud edition</t>
  </si>
  <si>
    <t>SAP Information Collaboration Hub for Life Sciences</t>
  </si>
  <si>
    <t>SAP Information Collaboration Hub for Life Sciences, option for supply chain partner collaboration</t>
  </si>
  <si>
    <t>SAP Information Collaboration Hub for Life Sciences, option for regulatory reporting</t>
  </si>
  <si>
    <t>SAP Crowd Service</t>
  </si>
  <si>
    <t>SAP Information Collaboration Hub, option for US</t>
  </si>
  <si>
    <t>SAP Integrated Business Planning for sales &amp; operations</t>
  </si>
  <si>
    <t>SAP Integrated Business Planning for response and supply</t>
  </si>
  <si>
    <t>SAP Integrated Business Planning for inventory</t>
  </si>
  <si>
    <t>SAP Integrated Business Planning for demand</t>
  </si>
  <si>
    <t>SAP Supply Chain Control Tower</t>
  </si>
  <si>
    <t>SAP Integrated Business Planning for demand-driven replenishment</t>
  </si>
  <si>
    <t>SAP Integrated Business Planning, additional test tenant</t>
  </si>
  <si>
    <t>SAP Integrated Business Planning, additional test tenant HANA upgrade</t>
  </si>
  <si>
    <t>SAP Excise Tax Management</t>
  </si>
  <si>
    <t>SAP Warehouse Insights</t>
  </si>
  <si>
    <t>SAP Field Service Management, test tenant</t>
  </si>
  <si>
    <t>SAP Enterprise Product Development</t>
  </si>
  <si>
    <t>SAP Digital Manufacturing Cloud for execution</t>
  </si>
  <si>
    <t>SAP Digital Manufacturing Cloud for resource orchestration</t>
  </si>
  <si>
    <t>SAP ERP for R&amp;D for enterprise product formulation, private cloud edition</t>
  </si>
  <si>
    <t>SAP ERP for health and safety management, private cloud edition</t>
  </si>
  <si>
    <t>SAP ERP for R&amp;D for enterprise product engineering, private cloud edition</t>
  </si>
  <si>
    <t>SAP ERP Enterprise Portfolio and Project Management, private cloud edition, standard</t>
  </si>
  <si>
    <t>SAP ERP for Transportation Management for T&amp;L, extra stack, private cloud edition</t>
  </si>
  <si>
    <t>SAP Engineering Control Center for ERP, private cloud edition, professional edition</t>
  </si>
  <si>
    <t>SAP ERP for geographical enablement framework and geo framework for asset management, private cloud edition</t>
  </si>
  <si>
    <t>SAP ERP Transportation Management for T&amp;L, private cloud edition</t>
  </si>
  <si>
    <t>SAP ERP for management of change, private cloud edition</t>
  </si>
  <si>
    <t>SAP Work Clearance Management for SAP ERP, private cloud edition</t>
  </si>
  <si>
    <t>SAP Manufacturing Execution Cloud, private edition</t>
  </si>
  <si>
    <t>SAP Information Collaboration Hub for Life Science, option for regulatory collaboration</t>
  </si>
  <si>
    <t>SAP Digital Manufacturing Cloud for edge</t>
  </si>
  <si>
    <t>SAP Digital Manufacturing Cloud, test tenant</t>
  </si>
  <si>
    <t>SAP Digital Manufacturing Cloud, test tenant add-on HANA Service storage</t>
  </si>
  <si>
    <t>SAP Multiresource Scheduling for SAP ERP, private cloud edition</t>
  </si>
  <si>
    <t>SAP Product Footprint Management</t>
  </si>
  <si>
    <t>SAP E-Mobility</t>
  </si>
  <si>
    <t>SAP Variant Configuration and Pricing, advanced edition</t>
  </si>
  <si>
    <t>SAP Variant Configuration and Pricing, advanced edition, test tenant</t>
  </si>
  <si>
    <t>SAP Industry Process Framework</t>
  </si>
  <si>
    <t>SAP Field Service Management, supplemental services</t>
  </si>
  <si>
    <t>SAP Service and Asset Manager</t>
  </si>
  <si>
    <t>SAP Asset Performance Management</t>
  </si>
  <si>
    <t>SAP Asset Performance Management, data stream add-on</t>
  </si>
  <si>
    <t>SAP Asset Performance Management, test tenant</t>
  </si>
  <si>
    <t>SAP Integrated Business Planning, additional environment</t>
  </si>
  <si>
    <t>SAP Field Service Management</t>
  </si>
  <si>
    <t>SAP Field Service Management, connector for SAP ERP</t>
  </si>
  <si>
    <t>SAP SuccessFactors Employee Central Service Center</t>
  </si>
  <si>
    <t>SAP SuccessFactors HXM Suite, additional test tenant in preview environment</t>
  </si>
  <si>
    <t>SAP SuccessFactors HXM Suite, additional test tenant in production environment</t>
  </si>
  <si>
    <t>SAP SuccessFactors Learning, content storage add-on (25GB)</t>
  </si>
  <si>
    <t>SAP Agent Performance Management, extra storage</t>
  </si>
  <si>
    <t>SAP Commissions, extra storage</t>
  </si>
  <si>
    <t>SAP SuccessFactors Work Zone</t>
  </si>
  <si>
    <t>SAP Integration Suite for SAP SuccessFactors solutions</t>
  </si>
  <si>
    <t>SAP SuccessFactors Time Tracking</t>
  </si>
  <si>
    <t>SAP SuccessFactors HXM Suite, attachment storage add-on 500GB</t>
  </si>
  <si>
    <t>SAP Agent Connection</t>
  </si>
  <si>
    <t>SAP Commissions</t>
  </si>
  <si>
    <t>SAP Territory and Quota</t>
  </si>
  <si>
    <t>SAP Agent Performance Management Enterprise</t>
  </si>
  <si>
    <t>SAP SuccessFactors Opportunity Marketplace</t>
  </si>
  <si>
    <t>SAP SuccessFactors Performance &amp; Goals</t>
  </si>
  <si>
    <t>SAP SuccessFactors Compensation</t>
  </si>
  <si>
    <t>SAP SuccessFactors Succession &amp; Development</t>
  </si>
  <si>
    <t>SAP SuccessFactors Employee Central, core HR</t>
  </si>
  <si>
    <t>SAP SuccessFactors Employee Central, core HR, functional use</t>
  </si>
  <si>
    <t>SAP SuccessFactors Workforce Analytics</t>
  </si>
  <si>
    <t>SAP SuccessFactors Onboarding</t>
  </si>
  <si>
    <t>SAP SuccessFactors Recruiting</t>
  </si>
  <si>
    <t>SAP SuccessFactors Learning</t>
  </si>
  <si>
    <t>SAP SuccessFactors Learning, functional use</t>
  </si>
  <si>
    <t>SAP SuccessFactors Validated Learning</t>
  </si>
  <si>
    <t>experience management bundle for succession and development</t>
  </si>
  <si>
    <t>experience management bundle for core HR</t>
  </si>
  <si>
    <t>SAP Cloud for credit integration</t>
  </si>
  <si>
    <t>SAP Cloud for customer payments</t>
  </si>
  <si>
    <t>SAP Cash Application</t>
  </si>
  <si>
    <t>SAP Digital Payments, transaction package</t>
  </si>
  <si>
    <t>SAP Convergent Mediation by DigitalRoute, cloud edition</t>
  </si>
  <si>
    <t>SAP Document and Reporting Compliance service</t>
  </si>
  <si>
    <t>SAP Cloud Identity Access Governance, standard edition</t>
  </si>
  <si>
    <t>SAP Digital Payments, base package</t>
  </si>
  <si>
    <t>SAP Entitlement Management</t>
  </si>
  <si>
    <t>SAP Cloud Identity Access Governance, integration edition</t>
  </si>
  <si>
    <t>SAP Document and Reporting Compliance, cloud edition</t>
  </si>
  <si>
    <t>SAP Data Custodian</t>
  </si>
  <si>
    <t>SAP Data Custodian, KMS</t>
  </si>
  <si>
    <t>SAP S/4HANA Cloud for intelligent accounting automation​</t>
  </si>
  <si>
    <t>SAP Cloud for Real Estate</t>
  </si>
  <si>
    <t>SAP ERP for Real Estate Management, residential property mgmt, private cloud edition</t>
  </si>
  <si>
    <t>SAP ERP for financial closing cockpit, private cloud edition</t>
  </si>
  <si>
    <t>SAP ERP for contract accounting and invoicing, private cloud edition</t>
  </si>
  <si>
    <t>SAP Entitlement Management, additional test tenant</t>
  </si>
  <si>
    <t>SAP Enterprise Threat Detection, cloud edition</t>
  </si>
  <si>
    <t>SAP Financial Compliance Management</t>
  </si>
  <si>
    <t>SAP Access Control Cloud, extra stack, private edition</t>
  </si>
  <si>
    <t>SAP Process Control, private cloud edition</t>
  </si>
  <si>
    <t>SAP Risk Management, private cloud edition</t>
  </si>
  <si>
    <t>SAP Audit Management, private cloud edition</t>
  </si>
  <si>
    <t>SAP Subscription Billing</t>
  </si>
  <si>
    <t>SAP Identity Management, private cloud edition</t>
  </si>
  <si>
    <t>SAP Billing and Revenue Innovation Management Cloud, additional productive tier, private edition, (S)</t>
  </si>
  <si>
    <t>SAP Billing and Revenue Innovation Management Cloud, additional productive tier, private edition, (M)</t>
  </si>
  <si>
    <t>SAP Billing and Revenue Innovation Management Cloud, additional productive tier, private edition, (L)</t>
  </si>
  <si>
    <t>SAP Billing and Revenue Innovation Management Cloud, additional productive tier, private edition, (XL)</t>
  </si>
  <si>
    <t>SAP Billing and Revenue Innovation Management Cloud, additional non productive tier, private edition, (S)</t>
  </si>
  <si>
    <t>SAP Billing and Revenue Innovation Management Cloud, additional non productive tier, private edition, (M)</t>
  </si>
  <si>
    <t>SAP Billing and Revenue Innovation Management Cloud, additional non productive tier, private edition, (L)</t>
  </si>
  <si>
    <t>SAP Billing and Revenue Innovation Management Cloud, additional non productive tier, private edition, (XL)</t>
  </si>
  <si>
    <t>SAP Broker Reconciliation for Commodity Derivatives</t>
  </si>
  <si>
    <t>SAP Tax Declaration Framework Brazil Cloud, private edition</t>
  </si>
  <si>
    <t>SAP add-on for Polish SAF-T regulatory requirements, private cloud edition</t>
  </si>
  <si>
    <t>SAP S/4HANA Cloud for advanced financial closing, test tenant</t>
  </si>
  <si>
    <t>SAP S/4HANA Cloud, Finance localization extension for the Republic of Belarus by EPAM, private edition</t>
  </si>
  <si>
    <t>SAP Enterprise Threat Detection, private cloud edition</t>
  </si>
  <si>
    <t>SAP Rural Sourcing Management</t>
  </si>
  <si>
    <t>SAP Ariba Procurement, supplemental site add-on</t>
  </si>
  <si>
    <t>SAP Ariba Strategic Sourcing, supplemental site add-on</t>
  </si>
  <si>
    <t>SAP Ariba Spend Analysis, monthly refresh add-on</t>
  </si>
  <si>
    <t>SAP Fieldglass Cont. Wrkf. Mgmt.</t>
  </si>
  <si>
    <t>SAP Fieldglass Services Procurement</t>
  </si>
  <si>
    <t>SAP Fieldglass Worker Prof.Mgmt.</t>
  </si>
  <si>
    <t>SAP Ariba Sourcing</t>
  </si>
  <si>
    <t>SAP Ariba Contracts</t>
  </si>
  <si>
    <t>SAP Ariba Strategic Sourcing Suite</t>
  </si>
  <si>
    <t>SAP Ariba Contract Invoicing</t>
  </si>
  <si>
    <t>SAP Ariba Supplier Lifecycle and Performance</t>
  </si>
  <si>
    <t>SAP Ariba Supplier Risk</t>
  </si>
  <si>
    <t>SAP Ariba Buying</t>
  </si>
  <si>
    <t>SAP Ariba Buying and Invoicing</t>
  </si>
  <si>
    <t>SAP Ariba Sourcing and Procurement bundle</t>
  </si>
  <si>
    <t>SAP Ariba Catalog</t>
  </si>
  <si>
    <t>SAP Ariba Invoice Management</t>
  </si>
  <si>
    <t>SAP Ariba Spend Analysis</t>
  </si>
  <si>
    <t>SAP Ariba Procurement, additional site add-on</t>
  </si>
  <si>
    <t>SAP Fieldglass Contingent Workforce Management, edition for SAP ERP</t>
  </si>
  <si>
    <t>SAP Fieldglass Services Procurement, edition for SAP ERP</t>
  </si>
  <si>
    <t>SAP Fieldglass, additional site add-on</t>
  </si>
  <si>
    <t>SAP Fieldglass Assignment Management</t>
  </si>
  <si>
    <t>SAP Fieldglass Assignment Management, edition for SAP ERP</t>
  </si>
  <si>
    <t>experience management bundle for strategic sourcing</t>
  </si>
  <si>
    <t>experience management bundle for supplier commerce automation</t>
  </si>
  <si>
    <t>experience management bundle for supply chain collaboration</t>
  </si>
  <si>
    <t>SAP Fieldglass Cont. Wrkf. Mgmt. (PAYG)</t>
  </si>
  <si>
    <t>SAP Fieldglass Services Procurement (PAYG)</t>
  </si>
  <si>
    <t>SAP Source-to-Contract Suite</t>
  </si>
  <si>
    <t>SAP Guided Buying for SAP S/4HANA</t>
  </si>
  <si>
    <t>SAP Fieldglass Contingent Workforce Management, partner edition (PAYG)</t>
  </si>
  <si>
    <t>SAP Fieldglass Services Procurement, partner edition (PAYG)</t>
  </si>
  <si>
    <t>SAP Fieldglass Contingent Workforce Management, partner edition</t>
  </si>
  <si>
    <t>SAP Fieldglass Services Procurement, partner edition</t>
  </si>
  <si>
    <t>SAP S/4HANA Cloud for supplier quotation and price renegotiation</t>
  </si>
  <si>
    <t>SAP S/4HANA Cloud for product sourcing, private edition</t>
  </si>
  <si>
    <t>SAP ERP for vehicle sales management, private cloud edition</t>
  </si>
  <si>
    <t>SAP Intelligent Trade Claims Management</t>
  </si>
  <si>
    <t>SAP Agricultural Origination Portal</t>
  </si>
  <si>
    <t>SAP Intelligent Agriculture</t>
  </si>
  <si>
    <t>SAP ERP for Student Lifecycle Management, private cloud edition</t>
  </si>
  <si>
    <t>SAP Advanced Track and Trace for Pharmaceuticals Cloud, private edition​</t>
  </si>
  <si>
    <t>SAP Intelligent Clinical Supply Management</t>
  </si>
  <si>
    <t>SAP Customer Activity Repository Cloud, additional non-productive tier, private edition (XXS)</t>
  </si>
  <si>
    <t>SAP Customer Activity Repository Cloud, additional non-productive tier, private edition (XS)</t>
  </si>
  <si>
    <t>SAP Customer Activity Repository Cloud, additional non-productive tier, private edition (S)</t>
  </si>
  <si>
    <t>SAP Customer Activity Repository Cloud, additional non-productive tier, private edition (M)</t>
  </si>
  <si>
    <t>SAP Customer Activity Repository Cloud, additional non-productive tier, private edition (L)</t>
  </si>
  <si>
    <t>SAP Customer Activity Repository Cloud, additional non-productive tier, private edition (XL)</t>
  </si>
  <si>
    <t>SAP Customer Activity Repository Cloud, private edition</t>
  </si>
  <si>
    <t>SAP Replenishment Planning for SAP Customer Activity Repository Cloud, private edition</t>
  </si>
  <si>
    <t>SAP Forecasting and Replenishment Cloud, private edition</t>
  </si>
  <si>
    <t>SAP Forecasting and Replenishment Cloud, add-on for fresh products, private edition</t>
  </si>
  <si>
    <t>SAP Forecasting and Replenishment Cloud, additional non-productive tier, private edition (XS)</t>
  </si>
  <si>
    <t>SAP Forecasting and Replenishment Cloud, additional non-productive tier, private edition (S)</t>
  </si>
  <si>
    <t>SAP Forecasting and Replenishment Cloud, additional non-productive tier, private edition (M)</t>
  </si>
  <si>
    <t>SAP Forecasting and Replenishment Cloud, additional non-productive tier, private edition (L)</t>
  </si>
  <si>
    <t>SAP Forecasting and Replenishment Cloud, additional non-productive tier, private edition (XL)</t>
  </si>
  <si>
    <t>SAP Forecasting and Replenishment Cloud, additional non-productive tier, private edition (XXL)</t>
  </si>
  <si>
    <t>SAP Promotion Management for SAP Customer Activity Repository Cloud, private edition</t>
  </si>
  <si>
    <t>SAP Assortment Planning for SAP Customer Activity Repository Cloud, private edition</t>
  </si>
  <si>
    <t>SAP Merchandise Planning for SAP Customer Activity Repository Cloud, private edition</t>
  </si>
  <si>
    <t>SAP Allocation Management for SAP Customer Activity Repository Cloud, private edition</t>
  </si>
  <si>
    <t>SAP Intelligent Returns Management</t>
  </si>
  <si>
    <t>SAP Order Management foundation</t>
  </si>
  <si>
    <t>SAP Forecasting and Replenishment Cloud, additional productive tier, private edition (XS)</t>
  </si>
  <si>
    <t>SAP Forecasting and Replenishment Cloud, additional productive tier, private edition (S)</t>
  </si>
  <si>
    <t>SAP Forecasting and Replenishment Cloud, additional productive tier, private edition (M)</t>
  </si>
  <si>
    <t>SAP Forecasting and Replenishment Cloud, additional productive tier, private edition (L)</t>
  </si>
  <si>
    <t>SAP Forecasting and Replenishment Cloud, additional productive tier, private edition (XL)</t>
  </si>
  <si>
    <t>SAP Forecasting and Replenishment Cloud, additional productive tier, private edition (XXL)</t>
  </si>
  <si>
    <t>SAP Customer Activity Repository Cloud, additional productive tier, private edition (XXS)</t>
  </si>
  <si>
    <t>SAP Customer Activity Repository Cloud, additional productive tier, private edition (XS)</t>
  </si>
  <si>
    <t>SAP Customer Activity Repository Cloud, additional productive tier, private edition (S)</t>
  </si>
  <si>
    <t>SAP Customer Activity Repository Cloud, additional productive tier, private edition (M)</t>
  </si>
  <si>
    <t>SAP Customer Activity Repository Cloud, additional productive tier, private edition (L)</t>
  </si>
  <si>
    <t>SAP Customer Activity Repository Cloud, additional productive tier, private edition (XL)</t>
  </si>
  <si>
    <t>SAP Customer Activity Repository Cloud, omnichannel price and promotion service, private edition</t>
  </si>
  <si>
    <t>SAP Omnichannel Sales Transfer and Audit</t>
  </si>
  <si>
    <t>SAP ERP for Merchandising for Retail, private cloud edition</t>
  </si>
  <si>
    <t>SAP ERP for Fashion Management Solution, private cloud edition</t>
  </si>
  <si>
    <t>SAP ERP foundation for retail and fashion, private cloud edition</t>
  </si>
  <si>
    <t>SAP Order Management for sourcing and availability</t>
  </si>
  <si>
    <t>SAP Cloud for Energy (Foundation Edition)</t>
  </si>
  <si>
    <t>SAP Market Communication for Utilities</t>
  </si>
  <si>
    <t>SAP ERP for water utilities, private cloud edition</t>
  </si>
  <si>
    <t>SAP ERP for energy utilities, private cloud edition</t>
  </si>
  <si>
    <t>SAP Cloud for Utilities foundation</t>
  </si>
  <si>
    <t>SAP Learning Hub, professional edition (public)</t>
  </si>
  <si>
    <t>SAP Learning Hub, professional edition (private)</t>
  </si>
  <si>
    <t>SAP Learning Hub, business edition (public)</t>
  </si>
  <si>
    <t>SAP Learning Hub, business edition (private)</t>
  </si>
  <si>
    <t>SAP Learning System Access (320)</t>
  </si>
  <si>
    <t>SAP Learning Hub, edition for digital platforms (public)</t>
  </si>
  <si>
    <t>SAP Learning Hub, edition for procurement and networks (public)</t>
  </si>
  <si>
    <t>SAP Learning Hub, edition for analytics (public)</t>
  </si>
  <si>
    <t>SAP Learning Hub, edition for customer experience (public)</t>
  </si>
  <si>
    <t>SAP Learning Hub, edition for IoT and digital supply chain (public)</t>
  </si>
  <si>
    <t>SAP Learning Hub, edition for people engagement (public)</t>
  </si>
  <si>
    <t>SAP Learning Hub, edition for finance (public)</t>
  </si>
  <si>
    <t>SAP Enable Now, cloud edition</t>
  </si>
  <si>
    <t>SAP Learning System Access (360)</t>
  </si>
  <si>
    <t>Cloud Platform Enterprise Agreement</t>
  </si>
  <si>
    <t>Pay-As-You-Go for SAP Business Technology Platform</t>
  </si>
  <si>
    <t>SAP Business Application Studio</t>
  </si>
  <si>
    <t>SAP Integration Suite, standard edition</t>
  </si>
  <si>
    <t>SAP Integration Suite, premium edition</t>
  </si>
  <si>
    <t>SAP Integration Suite, premium edition, additional instance</t>
  </si>
  <si>
    <t>SAP Integration Suite, additional messages</t>
  </si>
  <si>
    <t>SAP Business Technology Platform, Cloud Foundry runtime</t>
  </si>
  <si>
    <t>SAP HANA, EE Cloud, upgrade, private edition</t>
  </si>
  <si>
    <t>SAP Data Warehouse Cloud</t>
  </si>
  <si>
    <t>SAP HANA, EE Cloud, base package, private edition</t>
  </si>
  <si>
    <t>SAP HANA, EE Cloud, non-prod tier, base package, private edition</t>
  </si>
  <si>
    <t>SAP IQ cold store Cloud, private edition (XS, 512 GB)</t>
  </si>
  <si>
    <t>SAP IQ cold store Cloud, private edition (S, 1TB)</t>
  </si>
  <si>
    <t>SAP IQ cold store Cloud, private edition (M, 3 TB)</t>
  </si>
  <si>
    <t>SAP IQ cold store Cloud, private edition (L, 5 TB)</t>
  </si>
  <si>
    <t>SAP IQ cold store Cloud, private edition (XL, 10 TB)</t>
  </si>
  <si>
    <t>SAP IQ cold store Cloud, private edition (XXL, 20 TB)</t>
  </si>
  <si>
    <t>SAP Data Warehouse Cloud, test tenant</t>
  </si>
  <si>
    <t>SAP Additional Database Storage, private cloud edition</t>
  </si>
  <si>
    <t>SAP Mobile Services</t>
  </si>
  <si>
    <t>SAP HANA Cloud</t>
  </si>
  <si>
    <t>SAP Analytics Cloud for planning, predictive standard edition, public option</t>
  </si>
  <si>
    <t>SAP Analytics Cloud for planning, predictive professional edition, public option</t>
  </si>
  <si>
    <t>SAP Analytics Cloud for planning, predictive standard edition, private option</t>
  </si>
  <si>
    <t>SAP Analytics Cloud for planning, predictive professional edition, private option</t>
  </si>
  <si>
    <t>SAP Analytics Cloud, SAP HANA upgrade, predictive edition, private option (up to 256 GB)</t>
  </si>
  <si>
    <t>SAP Analytics Cloud, SAP HANA upgrade, predictive edition, private option (up to 512 GB)</t>
  </si>
  <si>
    <t>SAP Analytics Cloud, SAP HANA upgrade, predictive edition, private option (up to 1024 GB)</t>
  </si>
  <si>
    <t>SAP Digital Boardroom, predictive edition, public option</t>
  </si>
  <si>
    <t>SAP Digital Boardroom, predictive edition, private option</t>
  </si>
  <si>
    <t>SAP Analytics Cloud, test tenant, predictive edition, public option</t>
  </si>
  <si>
    <t>SAP Analytics Cloud, test tenant, predictive edition, private option</t>
  </si>
  <si>
    <t>SAP BW/4HANA Cloud, base package, private edition</t>
  </si>
  <si>
    <t>SAP Analytics Cloud, SAP HANA upgrade, predictive edition, private option (up to 2048 GB)</t>
  </si>
  <si>
    <t>SAP Analytics Cloud for bi, predictive edition, public option (user)</t>
  </si>
  <si>
    <t>SAP Analytics Cloud for bi, predictive edition, private option (user)</t>
  </si>
  <si>
    <t>SAP BW/4HANA Cloud, additional non-productive, base package, private edition</t>
  </si>
  <si>
    <t>SAP Business Planning and Consolidation professional edition for SAP NetWeaver Cloud, private edition</t>
  </si>
  <si>
    <t>SAP Business Planning and Consolidation standard edition for SAP NetWeaver Cloud, private edition</t>
  </si>
  <si>
    <t>SAP Business Planning and Consolidation professional edition for SAP NetWeaver Cloud (planning only), private edition</t>
  </si>
  <si>
    <t>SAP Business Planning and Consolidation standard edition for SAP NetWeaver Cloud (planning only), private edition</t>
  </si>
  <si>
    <t>SAP BW NetWeaver Cloud, base package, private edition</t>
  </si>
  <si>
    <t>SAP BW NetWeaver Cloud, additional non-productive, base package, private edition</t>
  </si>
  <si>
    <t>SAP BusinessObjects Enterprise Cloud, private edition (user)</t>
  </si>
  <si>
    <t>SAP BusinessObjects Enterprise Cloud, private edition (CS)</t>
  </si>
  <si>
    <t>SAP BusinessObjects Enterprise Cloud, additional non-productive, private edition (S)</t>
  </si>
  <si>
    <t>SAP BusinessObjects Enterprise Cloud, additional non-productive, private edition (M)</t>
  </si>
  <si>
    <t>SAP BusinessObjects Enterprise Cloud, additional non-productive, private edition (L)</t>
  </si>
  <si>
    <t>SAP BusinessObjects Enterprise Cloud, additional non-productive, private edition (XL)</t>
  </si>
  <si>
    <t>SAP Profitability and Performance Management Cloud</t>
  </si>
  <si>
    <t>SAP App Server Windows Cloud, private edition</t>
  </si>
  <si>
    <t>SAP Archiving and Document Access Core by OpenText, additional storage</t>
  </si>
  <si>
    <t>SAP Extended Enterprise Content Management by OpenText, cloud add-on for capital projects and operations</t>
  </si>
  <si>
    <t>SAP Document Presentment by OpenText, cloud edition</t>
  </si>
  <si>
    <t>SAP Information Capture Core by OpenText</t>
  </si>
  <si>
    <t>SAP Archiving and Document Access Core by OpenText</t>
  </si>
  <si>
    <t>SAP Data Intelligence Cloud</t>
  </si>
  <si>
    <t>SAP Master Data Governance, cloud edition</t>
  </si>
  <si>
    <t>SAP PowerDesigner EnterpriseArchitect, private cloud edition</t>
  </si>
  <si>
    <t>SAP Landscape Management Cloud</t>
  </si>
  <si>
    <t>SAP Preferred Success for HXM solutions from SAP</t>
  </si>
  <si>
    <t>SAP Preferred Success for SAP Business Technology Platform</t>
  </si>
  <si>
    <t>SAP Preferred Success for SAP Marketing Cloud</t>
  </si>
  <si>
    <t>SAP Preferred Success for SAP Commerce Cloud</t>
  </si>
  <si>
    <t>SAP Preferred Success for SAP Customer Data Cloud</t>
  </si>
  <si>
    <t>SAP Preferred Success for Cloud Platform Enterprise Agreement</t>
  </si>
  <si>
    <t>SAP Preferred Success for SAP Fieldglass solutions</t>
  </si>
  <si>
    <t>SAP Preferred Success for SAP Digital Supply Chain</t>
  </si>
  <si>
    <t>SAP Preferred Success for SAP Sales Cloud and SAP Service Cloud</t>
  </si>
  <si>
    <t>SAP Business ByDesign, advanced user</t>
  </si>
  <si>
    <t>SAP Business ByDesign, core user</t>
  </si>
  <si>
    <t>SAP Business ByDesign, self-service user</t>
  </si>
  <si>
    <t>SAP Business ByDesign, public edition</t>
  </si>
  <si>
    <t>SAP Cloud Application Services for application security updates</t>
  </si>
  <si>
    <t>SAP Cloud Application Services for regression testing</t>
  </si>
  <si>
    <t>SAP Cloud Application Services for data volume optimization</t>
  </si>
  <si>
    <t>SAP Cloud Application Services for data quality optimization</t>
  </si>
  <si>
    <t>SAP Cloud Application Services for release version upgrade</t>
  </si>
  <si>
    <t>SAP Cloud Application Services for cloud integration testing</t>
  </si>
  <si>
    <t>SAP Responsible Design and Production</t>
  </si>
  <si>
    <t>SAP extended services for SAP S/4HANA Cloud, private edition</t>
  </si>
  <si>
    <t>SAP S/4HANA Cloud, test tenant</t>
  </si>
  <si>
    <t>SAP S/4HANA Cloud, Digital Access</t>
  </si>
  <si>
    <t>SAP Commodity Management for physical contracts for SAP S/4HANA Cloud, private edition</t>
  </si>
  <si>
    <t>SAP S/4HANA Cloud, disaster recovery, private edition</t>
  </si>
  <si>
    <t>SAP S/4HANA Cloud, Digital Access, private edition</t>
  </si>
  <si>
    <t>SAP S/4HANA Cloud, additional non-productive tier, private edition (XS)</t>
  </si>
  <si>
    <t>SAP S/4HANA Cloud, customer evaluation system, private edition</t>
  </si>
  <si>
    <t>SAP S/4HANA Cloud, GxP, private edition</t>
  </si>
  <si>
    <t>SAP S/4HANA Cloud, additional non-productive tier, private edition (M)</t>
  </si>
  <si>
    <t>SAP S/4HANA Cloud, additional non-productive tier, private edition (S)</t>
  </si>
  <si>
    <t>SAP S/4HANA Cloud, additional non-productive tier, private edition (XL)</t>
  </si>
  <si>
    <t>SAP S/4HANA Cloud, additional non-productive tier, private edition (L)</t>
  </si>
  <si>
    <t>SAP BW/4HANA Cloud, GxP, private edition</t>
  </si>
  <si>
    <t>SAP S/4HANA Cloud, additional non-productive tier, private edition (XXL)</t>
  </si>
  <si>
    <t>SAP Commodity Risk Management for SAP S/4HANA Cloud, private edition</t>
  </si>
  <si>
    <t>SAP Archiving and Document Access Core by OpenText, Cloud connector, private edition</t>
  </si>
  <si>
    <t>SAP Agricultural Contract Management for SAP S/4HANA Cloud, private edition</t>
  </si>
  <si>
    <t>SAP Data Services Enterprise, private cloud edition (8 cores)</t>
  </si>
  <si>
    <t>SAP Data Services Enterprise, private cloud edition (16 cores)</t>
  </si>
  <si>
    <t>SAP Data Services Enterprise, private cloud edition (32 cores)</t>
  </si>
  <si>
    <t>SAP ERP, additional non-productive tier, private cloud edition (XL)</t>
  </si>
  <si>
    <t>RISE with SAP S/4HANA Cloud</t>
  </si>
  <si>
    <t>SAP S/4HANA Cloud, additional non-productive tier, private edition (4XL)</t>
  </si>
  <si>
    <t>SAP S/4HANA Cloud, 4 hour recovery time objective, private edition</t>
  </si>
  <si>
    <t>SAP S/4HANA Cloud additional productive tier (XS), private edition</t>
  </si>
  <si>
    <t>SAP S/4HANA Cloud additional productive tier (S), private edition</t>
  </si>
  <si>
    <t>SAP S/4HANA Cloud additional productive tier (M), private edition</t>
  </si>
  <si>
    <t>SAP S/4HANA Cloud additional productive tier (L), private edition</t>
  </si>
  <si>
    <t>SAP S/4HANA Cloud additional productive tier (XL), private edition</t>
  </si>
  <si>
    <t>SAP S/4HANA Cloud additional productive tier (XXL), private edition</t>
  </si>
  <si>
    <t>SAP S/4HANA Cloud additional productive tier (4XL), private edition</t>
  </si>
  <si>
    <t>SAP ERP, additional productive tier (XL), private cloud edition</t>
  </si>
  <si>
    <t>SAP S/4HANA Cloud, disaster recovery</t>
  </si>
  <si>
    <t>RISE with SAP S/4HANA Cloud, private edition</t>
  </si>
  <si>
    <t>SAP S/4HANA Cloud for product compliance</t>
  </si>
  <si>
    <t>SAP S/4HANA Cloud for EHS environment management</t>
  </si>
  <si>
    <t>SAP S/4HANA Cloud for advanced ATP</t>
  </si>
  <si>
    <t>SAP S/4HANA Cloud for Advanced Available-to-Promise, private edition</t>
  </si>
  <si>
    <t>SAP S/4HANA Cloud, Enterprise Portfolio and Project Management, private edition, professional</t>
  </si>
  <si>
    <t>SAP S/4HANA Cloud for R&amp;D for enterprise product formulation, private edition</t>
  </si>
  <si>
    <t>SAP Work Clearance Management for SAP S/4HANA Cloud, private edition</t>
  </si>
  <si>
    <t>SAP S/4HANA Cloud for Manufacturing for planning and scheduling, private edition</t>
  </si>
  <si>
    <t>SAP Yard Logistics for SAP S/4HANA Cloud, private edition</t>
  </si>
  <si>
    <t>SAP S/4HANA Cloud for Manufacturing for production engineering and operations, private edition</t>
  </si>
  <si>
    <t>SAP S/4HANA Cloud for R&amp;D for enterprise product engineering, private edition</t>
  </si>
  <si>
    <t>SAP S/4HANA Cloud Enterprise Portfolio and Project Management, private edition, standard</t>
  </si>
  <si>
    <t>SAP S/4HANA Cloud for advanced variant configuration, professional version</t>
  </si>
  <si>
    <t>SAP S/4HANA Cloud for advanced variant configuration, standard version</t>
  </si>
  <si>
    <t>SAP S/4HANA Cloud for product compliance, private edition</t>
  </si>
  <si>
    <t>SAP S/4HANA Cloud for environment management, private edition</t>
  </si>
  <si>
    <t>SAP S/4HANA Cloud, Supply Chain for extended warehouse management, private edition</t>
  </si>
  <si>
    <t>SAP S/4HANA Cloud, Transportation Management for T&amp;L, private edition</t>
  </si>
  <si>
    <t>SAP S/4HANA Cloud for projects</t>
  </si>
  <si>
    <t>SAP S/4HANA Cloud bulk transportation extension for SAP Agricultural Contract Management, private edition</t>
  </si>
  <si>
    <t>SAP Engineering Control Center for SAP S/4HANA Cloud, private edition, professional edition</t>
  </si>
  <si>
    <t>SAP Engineering Control Center for SAP S/4HANA Cloud, private edition, standard edition</t>
  </si>
  <si>
    <t>SAP product data management integration to SAP S/4HANA Cloud, private edition</t>
  </si>
  <si>
    <t>SAP ERP for incident management, private cloud edition</t>
  </si>
  <si>
    <t>SAP ERP for Global Available-to-Promise, private cloud edition</t>
  </si>
  <si>
    <t>SAP ERP Enterprise Portfolio and Project Management, private cloud edition, professional</t>
  </si>
  <si>
    <t>SAP Linear Asset Management for SAP ERP, private cloud edition</t>
  </si>
  <si>
    <t>SAP ERP for product compliance, private cloud edition</t>
  </si>
  <si>
    <t>SAP ERP Transportation Management, extra stack, private cloud edition</t>
  </si>
  <si>
    <t>SAP ERP for Transportation Charge Management, private cloud edition</t>
  </si>
  <si>
    <t>SAP ERP for Extended Manufacturing, private cloud edition</t>
  </si>
  <si>
    <t>SAP ERP for Transportation Planning &amp; Execution, private cloud edition</t>
  </si>
  <si>
    <t>SAP Engineering Control Center for SAP ERP, private cloud edition, standard edition</t>
  </si>
  <si>
    <t>SAP ERP Supply Chain for extended warehouse management, private cloud edition</t>
  </si>
  <si>
    <t>SAP ERP for environment management, private cloud edition</t>
  </si>
  <si>
    <t>SAP S/4HANA Cloud Supply Chain for extended service parts planning, private edition</t>
  </si>
  <si>
    <t>SAP S/4HANA Cloud for extended warehouse management, extra stack, private edition</t>
  </si>
  <si>
    <t>SAP S/4HANA Cloud, Transportation Management, extra stack, private edition</t>
  </si>
  <si>
    <t>SAP S/4HANA Cloud for Transportation Management for T&amp;L, extra stack, private edition</t>
  </si>
  <si>
    <t>SAP S/4HANA for Asset Management for resource scheduling, private cloud edition</t>
  </si>
  <si>
    <t>SAP Spatial Asset Management for S/4HANA private cloud edition</t>
  </si>
  <si>
    <t>SAP S/4HANA Cloud for Manufacturing for planning and scheduling extra stack, private edition</t>
  </si>
  <si>
    <t>S/4HANA Cloud for manufacturing logistics, private edition</t>
  </si>
  <si>
    <t>SAP S4HANA Cloud for last mile distribution, private edition</t>
  </si>
  <si>
    <t>SAP S/4HANA Cloud for product change management</t>
  </si>
  <si>
    <t>SAP Cloud for Corporate Serialization, private edition</t>
  </si>
  <si>
    <t>SAP Event Management on SAP S/4HANA Cloud, private edition</t>
  </si>
  <si>
    <t>SAP S/4HANA Cloud Supply Chain for supply &amp; demand segmentation, private edition</t>
  </si>
  <si>
    <t>SAP Product Lifecycle Costing, private cloud edition (XS)</t>
  </si>
  <si>
    <t>SAP Product Lifecycle Costing, private cloud edition (S)</t>
  </si>
  <si>
    <t>SAP Product Lifecycle Costing, private cloud edition (M)</t>
  </si>
  <si>
    <t>SAP Product Lifecycle Costing, private cloud edition (L)</t>
  </si>
  <si>
    <t>SAP Product Lifecycle Costing, private cloud edition (XL)</t>
  </si>
  <si>
    <t>SAP Product Lifecyle Costing, private cloud edition, additional non-productive tier (S)</t>
  </si>
  <si>
    <t>SAP Product Lifecyle Costing, private cloud edition, additional non-productive tier (M)</t>
  </si>
  <si>
    <t>SAP Product Lifecyle Costing, private cloud edition, additional non-productive tier (L)</t>
  </si>
  <si>
    <t>SAP Transportation Management, network and operations for container shipping liners for SAP S/4HANA Cloud, private edition</t>
  </si>
  <si>
    <t>SAP Transportation Management, order to cash for container shipping liners for SAP S/4HANA Cloud, private edition</t>
  </si>
  <si>
    <t>SAP Transportation Management, lead to agreement for container shipping liners for SAP S/4HANA Cloud, private edition</t>
  </si>
  <si>
    <t>SAP S/4HANA Cloud for contract accounting and invoicing</t>
  </si>
  <si>
    <t>SAP Group Reporting for Data Collection</t>
  </si>
  <si>
    <t>SAP S/4HANA Cloud for advanced financial closing</t>
  </si>
  <si>
    <t>SAP S/4HANA Cloud for advanced payment management</t>
  </si>
  <si>
    <t>SAP S/4HANA Cloud for financial three lines of defense, private edition</t>
  </si>
  <si>
    <t>SAP S/4HANA Cloud for tax compliance, private edition</t>
  </si>
  <si>
    <t>SAP S/4HANA Cloud for central finance foundation, private edition</t>
  </si>
  <si>
    <t>SAP S/4HANA Cloud for access control, private edition</t>
  </si>
  <si>
    <t>SAP S/4HANA Cloud for cash management, private edition</t>
  </si>
  <si>
    <t>SAP S/4HANA Cloud for Group Reporting, private edition</t>
  </si>
  <si>
    <t>SAP S/4HANA Cloud for accounting integration, private edition</t>
  </si>
  <si>
    <t>SAP S/4HANA Cloud for advanced payment management, private edition</t>
  </si>
  <si>
    <t>SAP S/4HANA Cloud for contract accounting and invoicing, private edition</t>
  </si>
  <si>
    <t>SAP S/4HANA Cloud for treasury and risk management, private edition</t>
  </si>
  <si>
    <t>SAP S/4HANA Cloud for receivables management, private edition</t>
  </si>
  <si>
    <t>SAP S/4HANA Cloud for Real Estate Management Cloud, residential property mgmt, private edition</t>
  </si>
  <si>
    <t>SAP S/4HANA Cloud for billing and revenue innovation management, private edition</t>
  </si>
  <si>
    <t>SAP Cash Application, add-on for contract accounting</t>
  </si>
  <si>
    <t>SAP S/4HANA Cloud for Treasury and Risk Management Cloud, impairment accounting extension for expected losses, private edition</t>
  </si>
  <si>
    <t>SAP S/4HANA Cloud for financial closing cockpit, private edition</t>
  </si>
  <si>
    <t>SAP S/4HANA Cloud for UI data protection logging, private edition</t>
  </si>
  <si>
    <t>SAP S/4HANA Cloud for UI data protection masking, private edition</t>
  </si>
  <si>
    <t>SAP S/4HANA Cloud for contract and lease management</t>
  </si>
  <si>
    <t>SAP S/4HANA Cloud for cash management</t>
  </si>
  <si>
    <t>SAP S/4HANA Cloud for treasury and risk management</t>
  </si>
  <si>
    <t>SAP Extended Single Sign-on, private cloud edition</t>
  </si>
  <si>
    <t>SAP S/4HANA Cloud for cash management, version for China, private edition</t>
  </si>
  <si>
    <t>SAP Document and Reporting Compliance for S/4HANA Cloud, private edition</t>
  </si>
  <si>
    <t>SAP S/4HANA for asset retirement obligation, private edition</t>
  </si>
  <si>
    <t>SAP S/4 HANA Cloud for real estate development lifecycle management, private edition</t>
  </si>
  <si>
    <t>SAP Global Trade Services, additional non-productive tier, private cloud edition (S)</t>
  </si>
  <si>
    <t>SAP Global Trade Services, additional non-productive tier, private cloud edition (M)</t>
  </si>
  <si>
    <t>SAP Global Trade Services, additional non-productive tier, private cloud edition (L)</t>
  </si>
  <si>
    <t>SAP Global Trade Services, additional non-productive tier, private cloud edition (XL)</t>
  </si>
  <si>
    <t>SAP Global Trade Services, additional non-productive tier, private cloud edition (XXL)</t>
  </si>
  <si>
    <t>UI data protection logging for SAP ERP, private cloud edition</t>
  </si>
  <si>
    <t>UI data protection masking for SAP ERP, private cloud edition</t>
  </si>
  <si>
    <t>SAP S/4HANA Cloud for financial posting gateway, private edition</t>
  </si>
  <si>
    <t>SAP S/4HANA Cloud for business integrity screening, private edition</t>
  </si>
  <si>
    <t>SAP Payroll Processing, private cloud edition</t>
  </si>
  <si>
    <t>SAP Core Human Capital Management Cloud, private edition</t>
  </si>
  <si>
    <t>SAP Time Tracking Cloud, private edition</t>
  </si>
  <si>
    <t>SAP S/4HANA Cloud for central procurement</t>
  </si>
  <si>
    <t>SAP S/4HANA for procurement planning</t>
  </si>
  <si>
    <t>SAP S/4HANA Cloud for central procurement, private edition</t>
  </si>
  <si>
    <t>SAP S/4HANA Cloud for Enterprise Contract Management</t>
  </si>
  <si>
    <t>S/4HANA Cloud for vehicle sales management, private edition</t>
  </si>
  <si>
    <t>SAP S/4HANA Cloud for Student Lifecycle Management, private edition</t>
  </si>
  <si>
    <t>SAP S/4HANA Cloud for oil and gas upstream contracts management, private edition</t>
  </si>
  <si>
    <t>SAP S/4HANA Cloud for oil and gas hydrocarbon supply and primary distribution, private edition</t>
  </si>
  <si>
    <t>SAP S/4HANA Cloud for oil and gas hydrocarbon management, private edition</t>
  </si>
  <si>
    <t>SAP S/4HANA Cloud for oil and gas upstream hydrocarbon accounting and management, private edition</t>
  </si>
  <si>
    <t>SAP S/4HANA Cloud for upstream oil and gas revenue management</t>
  </si>
  <si>
    <t>SAP S/4HANA Cloud for behavioral insights, private edition</t>
  </si>
  <si>
    <t>SAP S/4HANA Cloud for fashion and vertical business, private edition</t>
  </si>
  <si>
    <t>SAP S/4HANA Cloud foundation for retail and fashion, private edition</t>
  </si>
  <si>
    <t>S/4HANA Cloud for water utilities, private edition</t>
  </si>
  <si>
    <t>S/4HANA Cloud for energy utilities, private edition</t>
  </si>
  <si>
    <t>SAP S/4HANA Cloud for utilities customer engagement, private edition</t>
  </si>
  <si>
    <t>SAP S/4HANA Cloud for EEG billing of German electricity, private edition</t>
  </si>
  <si>
    <t>SAP S/4HANA Cloud for intelligent metering of German energy, private edition</t>
  </si>
  <si>
    <t>SAP S/4HANA Cloud, utilities master data updates option for Germany, private edition</t>
  </si>
  <si>
    <t>SAP S/4HANA Cloud for German utilities billing enhancements, private edition</t>
  </si>
  <si>
    <t>SAP S/4HANA Cloud for market process management for utilities, private edition</t>
  </si>
  <si>
    <t>intercompany data exchange for Swiss electricity and gas utilities for SAP S/4HANA Cloud, private edition​</t>
  </si>
  <si>
    <t>SAP Profitability and Performance Management Cloud, private edition</t>
  </si>
  <si>
    <t>SAP Business Planning and Consolidation professional edition for SAP BW/4HANA Cloud (planning only), private edition</t>
  </si>
  <si>
    <t>SAP Business Planning and Consolidation standard edition for SAP BW/4HANA Cloud (planning only), private edition</t>
  </si>
  <si>
    <t>SAP Landscape Transformation Replication Server, private cloud edition (16 cores)</t>
  </si>
  <si>
    <t>SAP Landscape Transformation Replication Server, private cloud edition (32 cores)</t>
  </si>
  <si>
    <t>SAP S/4HANA Cloud for master data governance Cloud, private edition</t>
  </si>
  <si>
    <t>SAP Landscape Transformation Replication Server, private cloud edition (8 cores)</t>
  </si>
  <si>
    <t>SAP Landscape Transformation Replication Server, embedded edition for SAP S/4HANA Cloud, private edition (S, 64 GB)</t>
  </si>
  <si>
    <t>SAP Landscape Transformation Replication Server, embedded edition for SAP S/4HANA Cloud, private edition (L, 128 GB)</t>
  </si>
  <si>
    <t>SAP ERP for master data governance, private cloud edition</t>
  </si>
  <si>
    <t>SAP Information Lifecycle Management, private cloud edition</t>
  </si>
  <si>
    <t>SAP Data Services Enterprise, additional non-productive tier, private cloud edition (S)</t>
  </si>
  <si>
    <t>SAP Data Services Enterprise, additional non-productive tier, private cloud edition (M)</t>
  </si>
  <si>
    <t>SAP Data Services Enterprise, additional non-productive tier, private cloud edition (L)</t>
  </si>
  <si>
    <t>SAP Landscape Transformation Replication Server, additional non-productive tier, private cloud edition (S)</t>
  </si>
  <si>
    <t>SAP Landscape Transformation Replication Server, additional non-productive tier, private cloud edition (M)</t>
  </si>
  <si>
    <t>SAP Landscape Transformation Replication Server, additional non-productive tier, private cloud edition (L)</t>
  </si>
  <si>
    <t>SAP S/4HANA Cloud for Application Interface Framework, private edition</t>
  </si>
  <si>
    <t>SAP Document and Reporting Compliance, private cloud edition</t>
  </si>
  <si>
    <t>SAP ERP for Application Interface Framework, private cloud edition</t>
  </si>
  <si>
    <t>SAP Code Vulnerability Analyzer, private cloud edition</t>
  </si>
  <si>
    <t>SAP Preferred Success for SAP S/4HANA Cloud</t>
  </si>
  <si>
    <t>SAP Preferred Success for SAP S/4HANA Cloud, private edition</t>
  </si>
  <si>
    <t>Sí</t>
  </si>
  <si>
    <t>Digital Ware SAS</t>
  </si>
  <si>
    <t>ON-KC-NM-P-01</t>
  </si>
  <si>
    <t>Software Digital Ware SAS</t>
  </si>
  <si>
    <t>Paq x 300 empleados</t>
  </si>
  <si>
    <t>One Time</t>
  </si>
  <si>
    <t>ON-KC-NM-P-02</t>
  </si>
  <si>
    <t>ON-KC-NM-P-03</t>
  </si>
  <si>
    <t>ON-KC-NM-S-01</t>
  </si>
  <si>
    <t>Profesional Perfil Tecnico</t>
  </si>
  <si>
    <t>ON-KC-NM-S-02</t>
  </si>
  <si>
    <t>Profesional Funcional</t>
  </si>
  <si>
    <t>SA-KC-NM-P-01</t>
  </si>
  <si>
    <t>SA-KC-NM-P-02</t>
  </si>
  <si>
    <t>SA-KC-NM-P-03</t>
  </si>
  <si>
    <t>SA-KC-NM-P-04</t>
  </si>
  <si>
    <t>SA-KC-NM-P-05</t>
  </si>
  <si>
    <t>SA-KC-NM-P-06</t>
  </si>
  <si>
    <t>SA-KC-NM-P-07</t>
  </si>
  <si>
    <t>SA-KC-NM-P-08</t>
  </si>
  <si>
    <t>SA-KC-NM-S-02</t>
  </si>
  <si>
    <t>HABILITACION SERVICIO KACTUS - HCM SaaS</t>
  </si>
  <si>
    <t>SA-KC-NM-S-03</t>
  </si>
  <si>
    <t>SA-KC-NM-S-06</t>
  </si>
  <si>
    <t>(1) Dia</t>
  </si>
  <si>
    <t>SA-KC-NM-S-07</t>
  </si>
  <si>
    <t xml:space="preserve">(1) Dia </t>
  </si>
  <si>
    <t>Profesional Capacitador</t>
  </si>
  <si>
    <t>SA-KC-NM-S-08</t>
  </si>
  <si>
    <t>SA-KC-NM-S-09</t>
  </si>
  <si>
    <t>SA-KC-NM-S-10</t>
  </si>
  <si>
    <t>ON-KC-TH-P-01</t>
  </si>
  <si>
    <t>ON-KC-TH-P-02</t>
  </si>
  <si>
    <t>ON-KC-TH-P-03</t>
  </si>
  <si>
    <t>ON-KC-TH-S-01</t>
  </si>
  <si>
    <t>ON-KC-TH-S-02</t>
  </si>
  <si>
    <t>SA-KC-TH-P-01</t>
  </si>
  <si>
    <t>SA-KC-TH-P-02</t>
  </si>
  <si>
    <t>SA-KC-TH-P-03</t>
  </si>
  <si>
    <t>SA-KC-TH-P-04</t>
  </si>
  <si>
    <t>SA-KC-TH-P-05</t>
  </si>
  <si>
    <t>SA-KC-TH-P-06</t>
  </si>
  <si>
    <t>SA-KC-TH-P-07</t>
  </si>
  <si>
    <t>SA-KC-TH-P-08</t>
  </si>
  <si>
    <t>SA-KC-TH-S-02</t>
  </si>
  <si>
    <t>SA-KC-TH-S-03</t>
  </si>
  <si>
    <t>SA-KC-TH-S-06</t>
  </si>
  <si>
    <t>SA-KC-TH-S-07</t>
  </si>
  <si>
    <t>SA-KC-TH-S-08</t>
  </si>
  <si>
    <t>SA-KC-TH-S-09</t>
  </si>
  <si>
    <t>SA-KC-TH-S-10</t>
  </si>
  <si>
    <t>ON-SV-GA-P-01</t>
  </si>
  <si>
    <t>ON-SV-GA-P-02</t>
  </si>
  <si>
    <t>ON-SV-GA-P-03</t>
  </si>
  <si>
    <t>ON-SV-GA-P-04</t>
  </si>
  <si>
    <t>ON-SV-GA-P-05</t>
  </si>
  <si>
    <t>ON-SV-GA-P-06</t>
  </si>
  <si>
    <t>ON-SV-GA-P-07</t>
  </si>
  <si>
    <t>ON-SV-GA-S-01</t>
  </si>
  <si>
    <t>ON-SV-GA-S-02</t>
  </si>
  <si>
    <t>ON-SV-GA-P-08</t>
  </si>
  <si>
    <t>Paq x  30 usuarios</t>
  </si>
  <si>
    <t>SA-SV-GA-P-01</t>
  </si>
  <si>
    <t>SA-SV-GA-P-02</t>
  </si>
  <si>
    <t>SA-SV-GA-P-03</t>
  </si>
  <si>
    <t>SA-SV-GA-P-04</t>
  </si>
  <si>
    <t>SA-SV-GA-P-05</t>
  </si>
  <si>
    <t>SA-SV-GA-P-06</t>
  </si>
  <si>
    <t>SA-SV-GA-P-07</t>
  </si>
  <si>
    <t>SA-SV-GA-S-01</t>
  </si>
  <si>
    <t>SA-SV-GA-P-08</t>
  </si>
  <si>
    <t>SA-SV-GA-S-03</t>
  </si>
  <si>
    <t>SA-SV-GA-S-06</t>
  </si>
  <si>
    <t>1 dia</t>
  </si>
  <si>
    <t>SA-SV-GA-S-07</t>
  </si>
  <si>
    <t>SA-SV-GA-S-08</t>
  </si>
  <si>
    <t>SA-SV-GA-S-09</t>
  </si>
  <si>
    <t>SA-SV-GA-S-10</t>
  </si>
  <si>
    <t>ON-OP-SU-P-01</t>
  </si>
  <si>
    <t>ON-OP-SU-P-02</t>
  </si>
  <si>
    <t>ON-OP-SU-P-03</t>
  </si>
  <si>
    <t>ON-OP-SU-P-04</t>
  </si>
  <si>
    <t>ON-OP-SU-S-01</t>
  </si>
  <si>
    <t>SA-OP-SU-P-01</t>
  </si>
  <si>
    <t>SA-OP-SU-P-02</t>
  </si>
  <si>
    <t>SA-OP-SU-P-03</t>
  </si>
  <si>
    <t>SA-OP-SU-P-04</t>
  </si>
  <si>
    <t>SA-OP-SU-S-01</t>
  </si>
  <si>
    <t>SA-OP-SU-S-04</t>
  </si>
  <si>
    <t>SA-OP-SU-S-05</t>
  </si>
  <si>
    <t>SA-OP-SU-S-06</t>
  </si>
  <si>
    <t>SA-OP-SU-S-07</t>
  </si>
  <si>
    <t>SA-OP-SU-S-08</t>
  </si>
  <si>
    <t>ON-OP-SU-S-04</t>
  </si>
  <si>
    <t>SA-OP-SU-S-09</t>
  </si>
  <si>
    <t>ON-OP-SU-P-05</t>
  </si>
  <si>
    <t>ON-KC-NM-P-04</t>
  </si>
  <si>
    <t>LIC-SVE-33</t>
  </si>
  <si>
    <t>Zona 1,2,4</t>
  </si>
  <si>
    <t>LIC-SVE-34</t>
  </si>
  <si>
    <t>SUS-SVE-33</t>
  </si>
  <si>
    <t>SUS-SVE-34</t>
  </si>
  <si>
    <t>AYM-SVE-33</t>
  </si>
  <si>
    <t>AYM-SVE-34</t>
  </si>
  <si>
    <t>Licencia módulo ControlDoc_BPMS, SGDEA y Bus de Integración (Usuario Adicional)</t>
  </si>
  <si>
    <t>CO_MCA_LV001</t>
  </si>
  <si>
    <t xml:space="preserve">Instalación de Licencia OnPremise </t>
  </si>
  <si>
    <t>IT-SW-09-01-1</t>
  </si>
  <si>
    <t>IT-SW-09-01-2</t>
  </si>
  <si>
    <t>IT-SW-09-02-1</t>
  </si>
  <si>
    <t>IT-SW-09-02-2</t>
  </si>
  <si>
    <t>IT-SW-09-03-1</t>
  </si>
  <si>
    <t>IT-SW-09-03-2</t>
  </si>
  <si>
    <t>NX-11-01</t>
  </si>
  <si>
    <t xml:space="preserve">Licencia Gfiles Enterprise OnPremise - hasta 100 usuarios </t>
  </si>
  <si>
    <t xml:space="preserve">Producto </t>
  </si>
  <si>
    <t xml:space="preserve">N/A </t>
  </si>
  <si>
    <t xml:space="preserve">One time </t>
  </si>
  <si>
    <t>NX-11-02</t>
  </si>
  <si>
    <t xml:space="preserve">Licencia Gfiles Enterprise OnPremise - Usuario adicional </t>
  </si>
  <si>
    <t>NX-11-03</t>
  </si>
  <si>
    <t>Soporte Gfiles Enterprise OnPremise -  Anual (30% valor licenciado)</t>
  </si>
  <si>
    <t>NX-11-04</t>
  </si>
  <si>
    <t xml:space="preserve">Licencia Gfiles Cloud Enterprise - Mensual hasta 100 usuarios </t>
  </si>
  <si>
    <t xml:space="preserve">Mensual </t>
  </si>
  <si>
    <t>NX-11-05</t>
  </si>
  <si>
    <t xml:space="preserve">Licencia Gfiles Cloud Enterprise - Anual hasta 100 usuarios </t>
  </si>
  <si>
    <t>NX-11-06</t>
  </si>
  <si>
    <t>Licencia Gfiles Cloud - Mensual por usuario adicional</t>
  </si>
  <si>
    <t>NX-11-07</t>
  </si>
  <si>
    <t xml:space="preserve">Licencia Gfiles Cloud - Anual por usuario adicional </t>
  </si>
  <si>
    <t>NX-11-08</t>
  </si>
  <si>
    <t>Storage Gfiles Cloud - Mensual por 100 Gb (almacenamiento y procesamiento)</t>
  </si>
  <si>
    <t>NX-11-09</t>
  </si>
  <si>
    <t>Storage Gfiles Cloud - Anual por 100 Gb (almacenamiento y procesamiento)</t>
  </si>
  <si>
    <t>NX-22-01</t>
  </si>
  <si>
    <t xml:space="preserve">Licencia Recaudo Enterprise - Mensual </t>
  </si>
  <si>
    <t>NX-22-02</t>
  </si>
  <si>
    <t>Licencia Recaudo Enterprise - Anual</t>
  </si>
  <si>
    <t>NX-22-03</t>
  </si>
  <si>
    <t>Paquete transaccional adicional (1K)</t>
  </si>
  <si>
    <t>NX-22-04</t>
  </si>
  <si>
    <t>Paquete transaccional adicional (5K)</t>
  </si>
  <si>
    <t>NX-33-01</t>
  </si>
  <si>
    <t xml:space="preserve">Licencia Platform Enterprise - Mensual hasta 100 usuarios </t>
  </si>
  <si>
    <t>NX-33-02</t>
  </si>
  <si>
    <t xml:space="preserve">Licencia Platform Enterprise - Anual hasta 100 usuarios </t>
  </si>
  <si>
    <t>NX-33-03</t>
  </si>
  <si>
    <t>Licencia Platform - Mensual por usuario adicional</t>
  </si>
  <si>
    <t>NX-33-04</t>
  </si>
  <si>
    <t xml:space="preserve">Licencia Platform - Anual por usuario adicional </t>
  </si>
  <si>
    <t>NX-33-05</t>
  </si>
  <si>
    <t xml:space="preserve">Licencia Platform - Perpetua hasta 10 usuarios </t>
  </si>
  <si>
    <t>NX-33-06</t>
  </si>
  <si>
    <t xml:space="preserve">Licencia Platform - Perpetua por usuario adicional </t>
  </si>
  <si>
    <t>NX-33-07</t>
  </si>
  <si>
    <t>NX-33-08</t>
  </si>
  <si>
    <t>Paquete transaccional adicional (3K)</t>
  </si>
  <si>
    <t>NX-33-09</t>
  </si>
  <si>
    <t>NX-44-01</t>
  </si>
  <si>
    <t xml:space="preserve">Licencia Bpm Enterprise - Anual hasta 100 usuarios </t>
  </si>
  <si>
    <t>NX-44-02</t>
  </si>
  <si>
    <t xml:space="preserve">Licencia Bpm - Anual por usuario adicional </t>
  </si>
  <si>
    <t>NX-55-01</t>
  </si>
  <si>
    <t xml:space="preserve">Licencia Trámites Gov.co - Mensual </t>
  </si>
  <si>
    <t>NX-55-02</t>
  </si>
  <si>
    <t>Licencia Trámites Gov.co - Anual</t>
  </si>
  <si>
    <t>NX-55-03</t>
  </si>
  <si>
    <t xml:space="preserve">Licencia Trámites Gov.co - Hasta 100 usuarios - Perpetuidad </t>
  </si>
  <si>
    <t>NX-55-04</t>
  </si>
  <si>
    <t xml:space="preserve">Licencia Trámites Gov.co - Usuario adicional - Perpetuidad </t>
  </si>
  <si>
    <t>Soporte Trámites Gov.co - Hasta 100 usuarios - Anual (30% del valor licenciado)</t>
  </si>
  <si>
    <t>NX-55-05</t>
  </si>
  <si>
    <t>NX-55-06</t>
  </si>
  <si>
    <t>NX-66-01</t>
  </si>
  <si>
    <t xml:space="preserve">Licencia App Transaccional - Mensual </t>
  </si>
  <si>
    <t>NX-66-02</t>
  </si>
  <si>
    <t>Licencia App Transaccional - Anual</t>
  </si>
  <si>
    <t>NX-66-03</t>
  </si>
  <si>
    <t>NX-66-04</t>
  </si>
  <si>
    <t>NX-77-01</t>
  </si>
  <si>
    <t xml:space="preserve">Licencia Enterprise Security - Anual hasta 100 usuarios </t>
  </si>
  <si>
    <t>NX-77-02</t>
  </si>
  <si>
    <t xml:space="preserve">Licencia Enterprise Security - Anual por usuario adicional </t>
  </si>
  <si>
    <t>NX-77-04</t>
  </si>
  <si>
    <t xml:space="preserve">Licencia Enterprise Security - Perpetuidad hasta 10 usuarios </t>
  </si>
  <si>
    <t xml:space="preserve">One Time </t>
  </si>
  <si>
    <t xml:space="preserve">Licencia Enterprise Security - Perpetuidad usuario adicional  </t>
  </si>
  <si>
    <t>NX-88-01</t>
  </si>
  <si>
    <t xml:space="preserve">Licencia Registro Enterprise - Mensual hasta 100 usuarios </t>
  </si>
  <si>
    <t>NX-88-02</t>
  </si>
  <si>
    <t xml:space="preserve">Licencia Registro Enterprise - Anual hasta 100 usuarios </t>
  </si>
  <si>
    <t>NX-88-03</t>
  </si>
  <si>
    <t>Licencia Registro - Mensual por usuario adicional</t>
  </si>
  <si>
    <t>NX-88-04</t>
  </si>
  <si>
    <t xml:space="preserve">Licencia Registro - Anual por usuario adicional </t>
  </si>
  <si>
    <t>NX-99-01</t>
  </si>
  <si>
    <t xml:space="preserve">Licencia Estampillas Enterprise - Mensual hasta 100 usuarios </t>
  </si>
  <si>
    <t>NX-99-02</t>
  </si>
  <si>
    <t xml:space="preserve">Licencia Estampillas Enterprise - Anual hasta 100 usuarios </t>
  </si>
  <si>
    <t>NX-99-03</t>
  </si>
  <si>
    <t>Licencia Estampillas - Mensual por usuario adicional</t>
  </si>
  <si>
    <t>NX-99-04</t>
  </si>
  <si>
    <t xml:space="preserve">Licencia Estampillas - Anual por usuario adicional </t>
  </si>
  <si>
    <t>1. Efectividad en la Solución de Incidentes</t>
  </si>
  <si>
    <t>Indicador</t>
  </si>
  <si>
    <t>Tiempo de solución&lt;= 8 horas hábiles (Aplica para todas las Zonas)</t>
  </si>
  <si>
    <t>Cálculo del Indicador</t>
  </si>
  <si>
    <t>Descuento por no conformidad</t>
  </si>
  <si>
    <t>n = Número total de incidentes</t>
  </si>
  <si>
    <t>I%= Porcentaje de Incumplimiento</t>
  </si>
  <si>
    <t>0%   &lt;    I% &lt; 25%:    3% de descuento en el servicio</t>
  </si>
  <si>
    <t>25% &lt;= I% &lt; 50%:  8% de descuento en el servicio</t>
  </si>
  <si>
    <t>50% &lt;= I% &lt; 75%:   13% de descuento en el servicio</t>
  </si>
  <si>
    <t>I% &gt;= 75%:    17% de descuento en el servicio</t>
  </si>
  <si>
    <t>Para aquellos incidentes que no puedan ser solucionados por el Proveedor y que requieran ser escalados al fabricante para que actualice o modifique el código de algún Producto,  en los casos que se requiera realizar pruebas en un ambiente parecido al del cliente, el tiempo de solución se extenderá con base en el tiempo de respuesta del fabricante al proveedor o la ejecución de las respectivas pruebas. Esto no aplica en caso de inadecuada instalación y configuración de los Productos por parte del Proveedor.</t>
  </si>
  <si>
    <t>Servicios relacionados</t>
  </si>
  <si>
    <t>(i) Soporte técnico en sitio, (ii) gerente de cuenta (soporte)</t>
  </si>
  <si>
    <t>2. Tiempo de asignación de personal técnico, tecnólogo o Profesional</t>
  </si>
  <si>
    <t>Es el tiempo que tarda el Proveedor en asignar un experto para atender a la Entidad Compradora.</t>
  </si>
  <si>
    <t>El tiempo de atención incluye el tiempo que tarda el experto en desplazarse y estar disponible en el sitio en que la Entidad Compradora lo requiere o el tiempo que tarda el experto en estar disponible de forma virtual para atender los requerimientos de la Entidad Compradora.</t>
  </si>
  <si>
    <t>Tiempo asignación de un experto &lt;=6 días calendario</t>
  </si>
  <si>
    <t>Retraso 4 días calendario: 3% de descuento en el servicio</t>
  </si>
  <si>
    <t>Retraso 5 días calendario:  6% de descuento en el servicio</t>
  </si>
  <si>
    <t>Retraso 6 días calendario:  12% de descuento en el servicio</t>
  </si>
  <si>
    <t>Retraso de más de 6 días calendario:  20% de descuento en el servicio</t>
  </si>
  <si>
    <t xml:space="preserve">Servicios relacionados </t>
  </si>
  <si>
    <t>(i) Soporte técnico en sitio, (ii) soporte técnico proactivo, (iii) soporte técnico reactivo, (iv) gerente de cuenta (soporte), (v) capacitación para usuario técnico o administrador, (vi) capacitación para usuario final, (vii) configuración y parametrización de los Productos , (viii) Migración de información por volumen de datos almacenados.</t>
  </si>
  <si>
    <t>Código del servicio </t>
  </si>
  <si>
    <t>IT-SW-07</t>
  </si>
  <si>
    <t>Nombre del servicio </t>
  </si>
  <si>
    <t>Descripción del servicio </t>
  </si>
  <si>
    <t xml:space="preserve">El Proveedor debe realizar las tareas necesarias para garantizar la Instalación y el funcionamiento de los Productos Adquiridos en el Instrumento de agregación de demanda </t>
  </si>
  <si>
    <t>El Proveedor debe (si aplica):</t>
  </si>
  <si>
    <t>•  Instalar los Productos adquiridos.</t>
  </si>
  <si>
    <t xml:space="preserve">   •  Instalación de las licencias o preparación de las aplicaciones cliente</t>
  </si>
  <si>
    <t>•  Informar al área técnica de la Entidad Compradora la configuración realizada durante la instalación.</t>
  </si>
  <si>
    <t>Forma de prestación del servicio</t>
  </si>
  <si>
    <t>El Proveedor puede prestar este servicio de forma remota o en sitio.</t>
  </si>
  <si>
    <t>Tiempo de entrega</t>
  </si>
  <si>
    <t>El definido en los ANS</t>
  </si>
  <si>
    <t>Unidad de facturación del servicio </t>
  </si>
  <si>
    <t>IT-SW-09</t>
  </si>
  <si>
    <t>Soporte técnico</t>
  </si>
  <si>
    <t xml:space="preserve">El Proveedor debe atender incidentes y consultas relacionadas con los Productos adquiridos por la Entidad Compradora. Los requerimientos deben ser formulados por los administradores de la plataforma o la mesa de ayuda de la Entidad Compradora. </t>
  </si>
  <si>
    <t>• El Proveedor pondrá a disposición dentro de las instalaciones de la Entidad Compradora el personal requerido en el horario y los perfiles solicitados, para prestar el servicio de soporte técnico en sitio</t>
  </si>
  <si>
    <t>• Las actividades de soporte técnico deben orientarse a solución de problemas, reconfiguración de las aplicaciones y a mantener la disponibilidad de los Productos adquiridos.</t>
  </si>
  <si>
    <t>• Verificación de la configuración, activación y acceso a los Productos.
• Reinstalación, desinstalación y reconfiguración de Productos.
• Soporte a los usuarios de la Entidad Compradora de los Productos.</t>
  </si>
  <si>
    <t>• El consumo del servicio contratado en la Orden de Compra se hará efectivo una vez se registre el incidente en la mesa de ayuda o el mecanismo que la Entidad Compradora de común acuerdo con el Proveedor.</t>
  </si>
  <si>
    <t>• La Entidad Compradora debe realizar la solicitud del servicio al Proveedor, a través de la mesa de ayuda o el mecanismo que establezca la Entidad Compradora de común acuerdo con el Proveedor.</t>
  </si>
  <si>
    <t>• El Proveedor debe escalar el incidente con el fabricante oportunamente en caso de ser requerido.</t>
  </si>
  <si>
    <t>• Los incidentes deben ser cerrados de común acuerdo entre la Entidad Compradora y el Proveedor siempre y cuando el problema sea resuelto satisfactoriamente.</t>
  </si>
  <si>
    <t>• Este servicio aplica para cualquiera de los Productos adquiridos a través del Acuerdo Marco de Precios o con los que cuente la Entidad Compradora.</t>
  </si>
  <si>
    <t>• El personal que ejecute el soporte técnico debe contar con un equipo de cómputo y  todas las herramientas adicionales de hardware y software requeridas para la prestación optima del servicio.</t>
  </si>
  <si>
    <t>• El soporte puede ser prestado de manera remota o en sitio</t>
  </si>
  <si>
    <t>• La Entidad Compradora suministra el mobiliario donde se ubicara el personal solicitado, en caso de que esta solicite el soporte en Sitio
• La Entidad Compradora puede adquirir este servicio con perfil de personal: (i) técnico o tecnólogo; o (ii) profesional.</t>
  </si>
  <si>
    <t>El Proveedor debe prestar este servicio en sitio durante la jornada Ordinaria. 
Jornada Ordinaria: Horas dentro de días hábiles con una duración máxima legal de la jornada ordinaria de trabajo de ocho (8) horas al día y cuarenta y ocho (48) horas a la semana . El número de horas de trabajo diario podrá repartirse de manera variable durante la semana y podrá ser de mínimo cuatro (4) horas continuas y hasta diez (10 ) horas diarias sin lugar ningún recargo por trabajo suplementarios dentro de la jornada ordinaria de 6 a.m. a 9 pm. La Entidad Compradora definirá el horario de la jornada ordinaria del  (i) técnico o tecnólogo; o (ii) profesional.; en la solicitud de cotización.</t>
  </si>
  <si>
    <t>La Entidad Compradora debe establecer con el Proveedor la programación de los eventos de soporte programado. El Proveedor debe responder a las solicitudes de soporte de la Entidad de acuerdo con los tiempos definidos en el ANS.</t>
  </si>
  <si>
    <t>IT-SW-10</t>
  </si>
  <si>
    <t xml:space="preserve">El Proveedor debe llevar a cabo las actividades preventivas acordadas o solicitadas por la Entidad Compradora con el fin de evitar la interrupción del servicio y garantizar la operación correcta y permanente de los Productos. Los requerimientos deben ser formulados por los administradores de la plataforma o la mesa de ayuda de la Entidad Compradora . </t>
  </si>
  <si>
    <t>• Las actividades de soporte técnico deben orientarse a la prevención de problemas o riesgos con el fin de mantener la disponibilidad y la eficiencia de los Productos  adquiridos.</t>
  </si>
  <si>
    <t>• Verificación de la configuración, activación y acceso a los Productos .
• Mantenimiento especifico a los Productos  correspondientes a la Categoría
• Dar soporte  y actualización a los usuarios de la Entidad Compradora de los Productos  adquiridos.
• Actualización de los Productos , Sistemas Operativos y Licencias de Productos, con sus respectivos parches de seguridad, para evitar perdidas de información por posibles atáques informaticos.</t>
  </si>
  <si>
    <t>• El consumo de las horas contratadas en la Orden de Compra se hará efectivo una vez se registre la solicitud en la mesa de ayuda o el mecanismo que la Entidad Compradora de común acuerdo con el Proveedor.</t>
  </si>
  <si>
    <t xml:space="preserve">• Backup de las aplicaciones soportadas con los Productos </t>
  </si>
  <si>
    <t>• Control de cambios (versionamiento y puntos de restauración) de los Productos .
• Llevar a cabo tareas de respaldo que permitan recuperar la información cuando ocurra un daño crítico del sistema operativo y configuraciones del servicio. 
• Otras actividades preventivas solicitadas por la Entidad Compradora</t>
  </si>
  <si>
    <t>• Este servicio aplica para cualquiera de los productos  adquiridos a través del Acuerdo Marco de Precios o con los que cuente la Entidad Compradora, correspondiente a la Categoría,</t>
  </si>
  <si>
    <t>• La Entidad Compradora suministra el mobiliario donde se ubicara el personal solicitado, en caso de que el soporte sea en sitio
• La Entidad Compradora puede adquirir este servicio con perfil de personal: (i) técnico o tecnólogo; o (ii) profesional.</t>
  </si>
  <si>
    <t>IT-SW-11</t>
  </si>
  <si>
    <t xml:space="preserve">El Proveedor debe llevar a cabo las actividades de soporte reactivo orientadas a la solución de cualquier problema que se presente sobre los Productos, reparación de los productos instalados, reconfiguración de las aplicaciones, indisponibilidad de los Productos y Servicios  instalados, de acuerdo con los tiempos definidos. Los requerimientos deben ser formulados por los administradores de la plataforma o la mesa de ayuda de la Entidad Compradora . </t>
  </si>
  <si>
    <t>• Las actividades de soporte técnico deben orientarse a solución de problemas, reconfiguración de las aplicaciones y a mantener la disponibilidad de los Productos  adquiridos.</t>
  </si>
  <si>
    <t>• Verificación de la configuración, activación y acceso a los Productos .
• Reinstalación, desinstalación y reconfiguración de Productos .
• Soporte a los usuarios de la Entidad Compradora de los Productos .</t>
  </si>
  <si>
    <t>• El consumo de las horas contratadas en la Orden de Compra se hará efectivo una vez se registre el incidente en la mesa de ayuda o el mecanismo que la Entidad Compradora de común acuerdo con el Proveedor.</t>
  </si>
  <si>
    <t>• Este servicio aplica para cualquiera de los productos  adquiridos a través del Acuerdo Marco de Precios o con los que cuente la Entidad Compradora, correpondiente a la Categoría</t>
  </si>
  <si>
    <t>• La Entidad Compradora suministra el mobiliario donde se ubicara el personal solicitado.
• La Entidad Compradora puede adquirir este servicio con perfil de personal: (i) técnico o tecnólogo; o (ii) profesional.</t>
  </si>
  <si>
    <t>IT-SW-03</t>
  </si>
  <si>
    <t xml:space="preserve">Capacitación para usuario técnico o administrador - hasta 10 Personas. </t>
  </si>
  <si>
    <t xml:space="preserve">El Proveedor debe llevar a cabo una sesión de capacitación de cuatro (4) horas para un grupo de hasta 10 usuarios tecnicos o administradores  definidos por la Entidad Compradora para recibir formación técnica específica a los Productos adquiridos por la Entidad Compradora </t>
  </si>
  <si>
    <t>Solución de problemas que se presenten sobre los servicios contratados.</t>
  </si>
  <si>
    <t>Transferencia de conocimientos acerca del uso de los Productos  adquiridos.</t>
  </si>
  <si>
    <t xml:space="preserve">Otros contenidos que recomiende el Proveedor o que requiera la Entidad Compradora y se relacione con los Productos </t>
  </si>
  <si>
    <t>a. Brindar el apoyo pedagógico necesario para hacer la transferencia de conocimiento a su público objetivo</t>
  </si>
  <si>
    <t>b. Proponer actividades educativas, para aplicar las herramientas apropiadas a las necesidades identificadas utilizando diversas metodologías y canales (presencial, web, escrita entre otros)</t>
  </si>
  <si>
    <t>c. Realizar actividades de inducción y reinducción para contribuir a la adaptación y actualización del personal en su puesto de trabajo.</t>
  </si>
  <si>
    <t>d. Hacer seguimiento a las actividades educativas para evaluar su efectividad.</t>
  </si>
  <si>
    <t>e. Hacer seguimiento al personal mediante evaluaciones periódicas, para medir los conocimientos adquiridos y la efectividad en el proceso de transferencia de conocimiento.</t>
  </si>
  <si>
    <t>f. Identificar y programar los recursos, logísticos y tecnológicos necesarios para cada actividad educativa.</t>
  </si>
  <si>
    <t>g. Elaborar y presentar informes sobre los resultados de las actividades de capacitación, con el fin de brindar insumos para correctivos y toma de decisiones.</t>
  </si>
  <si>
    <t>h. Elaborar, revisar y mantener actualizadas las herramientas y aplicativos relacionados con el proceso de consulta, capacitación y formación del personal de ayuda como manuales de capacitación y evaluaciones de medición</t>
  </si>
  <si>
    <t>i. Identificar necesidades de formación.</t>
  </si>
  <si>
    <t>j. Solución de problemas que se presenten sobre los servicios contratados.Tareas para optimizar los servicios.</t>
  </si>
  <si>
    <t>K. Transferencia de conocimientos acerca de la administración de los Productos  instalados.</t>
  </si>
  <si>
    <t>L Transferencia de conocimientos relacionados con desarrollos basados en los Productos  instalados.</t>
  </si>
  <si>
    <t>El Proveedor debe proporcionar el material de capacitación por grupo de acuerdo al tema definido con la Entidad Compradora (estructura curricular, material de apoyo, recursos audiovisuales o multimedia).</t>
  </si>
  <si>
    <t>Realizar evaluaciones de la capacitación a los usuarios técnicos o administradores una vez finalizada, con el objetivo de verificar la adquisición del conocimiento y entregar los resultados de las mismas.</t>
  </si>
  <si>
    <t>La Entidad Compradora proporciona el espacio y recursos tecnológicos necesarios para la capacitación.</t>
  </si>
  <si>
    <t>La Entidad Compradora debe establecer con el Proveedor, la fecha, hora y lugar de las capacitaciones.</t>
  </si>
  <si>
    <t>IT-SW-04</t>
  </si>
  <si>
    <t xml:space="preserve">Capacitación para usuario técnico o administrador hasta 20 Personas. </t>
  </si>
  <si>
    <t xml:space="preserve">El Proveedor debe llevar a cabo una sesión de capacitación de cuatro (4) horas para un grupo de hasta 10 usuarios tecnicos o administradores  definidos por la Entidad Compradora para recibir formación técnica específica a los Productos  adquiridos por la Entidad Compradora </t>
  </si>
  <si>
    <t>l. Transferencia de conocimientos acerca de la administración de los Productos  instalados.</t>
  </si>
  <si>
    <t>m. Transferencia de conocimientos relacionados con desarrollos basados en los Productos  instalados.</t>
  </si>
  <si>
    <t>Realizar evaluaciones de la capacitación a los usuarios tecnicos o administradores una vez finalizada, con el objetivo de verificar la adquisición del conocimiento y entregar los resultados de las mismas.</t>
  </si>
  <si>
    <t>IT-SW-01</t>
  </si>
  <si>
    <t xml:space="preserve">Capacitación para usuario final - hasta 10 Personas. </t>
  </si>
  <si>
    <t>El Proveedor debe llevar a cabo una sesión de capacitación de cuatro (4) horas para un grupo de hasta 10 usuarios definido por la Entidad Compradora para darles a conocer funcionalidades específicas de los Productos  adquiridos por la Entidad Compradora.</t>
  </si>
  <si>
    <t>IT-SW-02</t>
  </si>
  <si>
    <t xml:space="preserve">Capacitación para usuario usuario final hasta 20 Personas. </t>
  </si>
  <si>
    <t>El Proveedor debe llevar a cabo una sesión de capacitación de cuatro (4) horas para un grupo de hasta 20 usuarios definido por la Entidad Compradora para darles a conocer funcionalidades específicas de los Productos  adquiridos por la Entidad Compradora.</t>
  </si>
  <si>
    <t>IT-SW-05</t>
  </si>
  <si>
    <t>Productos asociados</t>
  </si>
  <si>
    <t>Los adquiridos en el IAD</t>
  </si>
  <si>
    <t>El Proveedor debe realizar las tareas necesarias para adaptar el Producto  instalado de acuerdo a los parámetros definidos por la Entidad Compradora en la solicitud de cotización correspondiente.</t>
  </si>
  <si>
    <t>Recolectar la información sobre los usuarios y la infraestructura actual de la Entidad Compradora.</t>
  </si>
  <si>
    <t>Instalar y configurar las herramientas necesarias para sincronizar los directorios.</t>
  </si>
  <si>
    <t>Crear perfiles, usuarios y grupos sí aplica.</t>
  </si>
  <si>
    <t>Configurar los servicios requeridos por la Entidad Compradora.</t>
  </si>
  <si>
    <t>Asesorar e informar al área técnica de la Entidad Compradora en la configuración definida en la solcitud de cotización.
• La Entidad Compradora puede adquirir este servicio con perfil de personal:(i) profesional.</t>
  </si>
  <si>
    <t>La Entidad Compradora debe establecer con el Proveedor, la fecha, hora y lugar</t>
  </si>
  <si>
    <t>IT-SW-08</t>
  </si>
  <si>
    <t>El Proveedor debe llevar a cabo la migración de información desde el sistema original de la Entidad Compradora al Producto  definido en el evento de cotización, el Proveedor debe realizar las actividades, sí aplíca de:  levantamiento y análisis de la información a migrar, transferencia y borrado seguro de información. La Entidad Compradora define el protocolo y brinda el acompañamiento para la ejecución de este servicio. La información migrada debe incluir sí aplica: correo electrónico, eventos de calendario, contactos, documentos y archivos.</t>
  </si>
  <si>
    <t xml:space="preserve">
Para el caso de bases de datos, corresponde a las actividades de transferencia y borrado seguro de información. El servicio no incluye cualquier adaptación, normalización o ojuste en la estructura de los datos para que puedan ser migrados. Este servicio solo aplica a migraciones de manejadores de bases de datos. La versión de la base de datos que se quiere migrar debe estar dentro de las versiones soportadas por la herramienta de migración o cualquier otro manejador de bases de datos .</t>
  </si>
  <si>
    <t>La Entidad Compradora debe entregar al Proveedor una muestra o descripción del sistema que va a migrar.</t>
  </si>
  <si>
    <t>La Entidad Compradora define el protocolo y brinda el acompañamiento para la ejecución de este servicio</t>
  </si>
  <si>
    <t>La Entidad Compradora debe informar al Proveedor el origen de la información a migrar durante el Evento de Cotización</t>
  </si>
  <si>
    <t xml:space="preserve">Definir con la Entidad Compradora en los primeros cinco (5) días hábiles siguientes a la Orden de Compra, el cronograma de actividades a desarrollar.
• La Entidad Compradora puede adquirir este servicio con perfil de personal:(i) profesional.
</t>
  </si>
  <si>
    <t>Informe detallado acerca de las actividades llevadas a cabo durante la prestación del servicio, y la información migrada.</t>
  </si>
  <si>
    <t>Para migraciones de hasta 500 Gb: 10 días hábiles a partir de la fecha en que la Entidad Compradora le permita al Proveedor el acceso a la información que va a migrar.</t>
  </si>
  <si>
    <t>Para migraciones por encima de 500 Gb: sumar un (1) día hábil adicional a los 10 días, por cada 100 Gb de información.</t>
  </si>
  <si>
    <t>IT-SW-06</t>
  </si>
  <si>
    <t xml:space="preserve">Gerente de proyecto        </t>
  </si>
  <si>
    <t>Descrpiciòn del Servicio</t>
  </si>
  <si>
    <t>El proveedor deberá entregarle los elementos necesarios para cumplir con las tareas asignadas por la entidad compradora.</t>
  </si>
  <si>
    <t>En caso de que la entidad compradora requiera este servicio en sitio deberá proveer el puesto de trabajo.</t>
  </si>
  <si>
    <t>Profesional en carreras de ingeniería o afines, con especialización en áreas de gestión o gerencia de proyectos.</t>
  </si>
  <si>
    <t>El gerente de proyecto debe ser exclusivo de la Entidad Compradora.</t>
  </si>
  <si>
    <t>Coordinar todos los servicios asociados a la Orden de Compra.</t>
  </si>
  <si>
    <t>Asesorar a la entidad en el uso y apropiación del software y los servicios complementarios adquiridos.</t>
  </si>
  <si>
    <t>Liderar los procesos relacionados con los requerimientos generados por la entidad.</t>
  </si>
  <si>
    <t>Gestionar todos los requerimeintos de la entidad compradora durante la ejecución de la orden de compra.</t>
  </si>
  <si>
    <t>Las demás actividades afines que especifique la entidad compradora en la solictud de cotización, o demás procedimientos para la adquisición de software y servicios asociados.</t>
  </si>
  <si>
    <t>Educación formal</t>
  </si>
  <si>
    <t>Título profesional en: Ingeniería Eléctrica, Ingeniería Electrónica, Ingeniería de Telecomunicaciones, Ingeniería Telemática, Ingeniería de Sistemas, Ingeniería Informática, procesos o afines. Con tarjeta profesional para el ejercicio de la profesión cuando así se requiera.</t>
  </si>
  <si>
    <t>Competencias técnicas</t>
  </si>
  <si>
    <t>• El Capacitador debe ser profesional con experiencia en Capacitación y/o servicio al cliente.
• La Entidad Compradora podrá solicitar hasta una (1) certificación profesional o experta sobre la herramienta en la cual vaya a prestar el servicio.</t>
  </si>
  <si>
    <t>Competencias blandas</t>
  </si>
  <si>
    <t>• Excelentes relaciones personales y habilidad para el trabajo en equipo
• Manejo de herramientas ofimáticas
• Capacidad de análisis y organización de contenidos de formación 
• Habilidad para la redacción de textos
• Capacidad para transmitir información en ambientes pedagógicos</t>
  </si>
  <si>
    <t>Experiencia</t>
  </si>
  <si>
    <t>Con experiencia mínima de tres (3) años en las competencias tecnicas y pedagógicas.</t>
  </si>
  <si>
    <t>Título profesional en: Ingeniería Eléctrica, Ingeniería Electrónica, Ingeniería de Telecomunicaciones, Ingeniería Telemática, Ingeniería de Sistemas, Ingeniería Informática o afines; Con especialización en base de datos, administración de la información o afines. Con tarjeta profesional para el ejercicio de la profesión cuando así se requiera.</t>
  </si>
  <si>
    <t>• Manejo de herramientas ofimáticas, de gestión de procesos, de gestión de proyectos, de modelamiento, de análisis de cargas y flujos de trabajo, de estadísticas, de automatización, análisis y mejoramiento o rediseño de procesos, Internet, sistemas operativos, lenguajes de programación.
• La Entidad Compradora podrá solicitar hasta una (1) certificación profesional o experta sobre la herramienta en la cual vaya a prestar el servicio.</t>
  </si>
  <si>
    <t>Análisis, creatividad, innovación, adaptación al cambio,  trabajo en equipo, ética, responsabilidad, planificación, organización, liderazgo, comunicación oral, escrita, compromiso e iniciativa.</t>
  </si>
  <si>
    <t>Con experiencia mínima de tres (3) años específica en los temas descritos en las competencias tecnicas.</t>
  </si>
  <si>
    <t>Equivalencias entre Estudios y Experiencia</t>
  </si>
  <si>
    <t>Postgrado
(Especialización)</t>
  </si>
  <si>
    <t>Dos años de experiencia profesional, siempre y cuando se acredite el titulo profesional; o</t>
  </si>
  <si>
    <t>Título profesional adicional al exigido siempre y cuando sea afín con las funciones del cargo</t>
  </si>
  <si>
    <t>Terminación y aprobación de estudios profesionales adicionales al título profesional exigido en el requisito del respectivo empleo, siempre y cuando dicha formación adicional sea afín con las funciones del cargo, y un (1) año de experiencia profesional</t>
  </si>
  <si>
    <t>Técnico o Tecnologo</t>
  </si>
  <si>
    <t>Técnicos o tecnólogos de carreras profesionales en Ingeniería Eléctrica, Ingeniería Electrónica, Ingeniería de Telecomunicaciones, Ingeniería Telemática, Ingeniería de Sistemas, Ingeniería Informática o afines; Con conocimientos en bases de datos, administración de la información o afines. Con tarjeta profesional para el ejercicio de la profesión cuando así se requiera</t>
  </si>
  <si>
    <t>• Manejo de herramientas ofimáticas, internet, sistemas operativos, lenguajes de programación  gestión de procesos, o gestión de proyectos e instalación de software.
• La Entidad Compradora podrá solicitar hasta una (1) certificación profesional o experta sobre la herramienta en la cual vaya a prestar el servicio.</t>
  </si>
  <si>
    <t xml:space="preserve">Con experiencia mínima de tres (2) años específica en las competencias tecnicas. </t>
  </si>
  <si>
    <t>Un (1) año de experiencia relacionada</t>
  </si>
  <si>
    <t>Título de formación tecnológica o de formación técnica profesional adicional al inicialmente exigido; o</t>
  </si>
  <si>
    <t>El Certificado de Aptitud Profesional (CAP) Técnico del Sena y bachiller, con intensidad horaria superior a 1.500 horas.</t>
  </si>
  <si>
    <t>SA-KC-NM-S-04</t>
  </si>
  <si>
    <t>SA-KC-NM-S-05</t>
  </si>
  <si>
    <t>SA-KC-TH-P-09</t>
  </si>
  <si>
    <t>SA-KC-TH-S-04</t>
  </si>
  <si>
    <t>SA-KC-TH-S-05</t>
  </si>
  <si>
    <t>ON-SV-GA-P-09</t>
  </si>
  <si>
    <t>ON-SV-GA-P-10</t>
  </si>
  <si>
    <t>ON-SV-GA-P-11</t>
  </si>
  <si>
    <t>ON-SV-GA-P-12</t>
  </si>
  <si>
    <t>ON-SV-GA-S-03</t>
  </si>
  <si>
    <t>SA-SV-GA-P-09</t>
  </si>
  <si>
    <t>SA-SV-GA-P-10</t>
  </si>
  <si>
    <t>SA-SV-GA-P-11</t>
  </si>
  <si>
    <t>SA-SV-GA-P-12</t>
  </si>
  <si>
    <t>SA-SV-GA-S-02</t>
  </si>
  <si>
    <t>SA-SV-GA-S-04</t>
  </si>
  <si>
    <t>SA-SV-GA-S-05</t>
  </si>
  <si>
    <t>SA-OP-SU-S-02</t>
  </si>
  <si>
    <t>SA-OP-SU-S-03</t>
  </si>
  <si>
    <r>
      <rPr>
        <i/>
        <sz val="8"/>
        <color rgb="FF4E4D4D"/>
        <rFont val="Geomanist Light"/>
        <family val="3"/>
      </rPr>
      <t>tsi</t>
    </r>
    <r>
      <rPr>
        <sz val="8"/>
        <color rgb="FF4E4D4D"/>
        <rFont val="Geomanist Light"/>
        <family val="3"/>
      </rPr>
      <t xml:space="preserve"> = Tiempo de solución de cada incidente</t>
    </r>
  </si>
  <si>
    <r>
      <rPr>
        <i/>
        <sz val="8"/>
        <color rgb="FF4E4D4D"/>
        <rFont val="Geomanist Light"/>
        <family val="3"/>
      </rPr>
      <t>tmax</t>
    </r>
    <r>
      <rPr>
        <sz val="8"/>
        <color rgb="FF4E4D4D"/>
        <rFont val="Geomanist Light"/>
        <family val="3"/>
      </rPr>
      <t xml:space="preserve"> =Tiempo máximo de solución del incidente</t>
    </r>
  </si>
  <si>
    <r>
      <rPr>
        <b/>
        <sz val="10"/>
        <color indexed="9"/>
        <rFont val="Geomanist Light"/>
        <family val="3"/>
      </rPr>
      <t>Código de parte</t>
    </r>
  </si>
  <si>
    <r>
      <rPr>
        <b/>
        <sz val="10"/>
        <color indexed="9"/>
        <rFont val="Geomanist Light"/>
        <family val="3"/>
      </rPr>
      <t>Nombre de parte</t>
    </r>
  </si>
  <si>
    <r>
      <rPr>
        <b/>
        <sz val="10"/>
        <color indexed="9"/>
        <rFont val="Geomanist Light"/>
        <family val="3"/>
      </rPr>
      <t>Tipo</t>
    </r>
  </si>
  <si>
    <r>
      <rPr>
        <b/>
        <sz val="10"/>
        <color indexed="9"/>
        <rFont val="Geomanist Light"/>
        <family val="3"/>
      </rPr>
      <t>Unidad</t>
    </r>
  </si>
  <si>
    <r>
      <rPr>
        <sz val="10"/>
        <color indexed="9"/>
        <rFont val="Geomanist Light"/>
        <family val="3"/>
      </rPr>
      <t>Zona</t>
    </r>
  </si>
  <si>
    <r>
      <rPr>
        <sz val="10"/>
        <color indexed="9"/>
        <rFont val="Geomanist Light"/>
        <family val="3"/>
      </rPr>
      <t>Asistencia</t>
    </r>
  </si>
  <si>
    <r>
      <rPr>
        <b/>
        <sz val="10"/>
        <color indexed="9"/>
        <rFont val="Geomanist Light"/>
        <family val="3"/>
      </rPr>
      <t>Perfil</t>
    </r>
  </si>
  <si>
    <r>
      <rPr>
        <b/>
        <sz val="10"/>
        <color indexed="9"/>
        <rFont val="Geomanist Light"/>
        <family val="3"/>
      </rPr>
      <t>Moneda</t>
    </r>
  </si>
  <si>
    <r>
      <rPr>
        <b/>
        <sz val="10"/>
        <color indexed="9"/>
        <rFont val="Geomanist Light"/>
        <family val="3"/>
      </rPr>
      <t>Aplica IVA</t>
    </r>
  </si>
  <si>
    <r>
      <rPr>
        <b/>
        <sz val="10"/>
        <color indexed="9"/>
        <rFont val="Geomanist Light"/>
        <family val="3"/>
      </rPr>
      <t>Forma de pago</t>
    </r>
  </si>
  <si>
    <t>cop</t>
  </si>
  <si>
    <t>Terminada cada sesión será facturara para pago dentro de los 30 días siguientes</t>
  </si>
  <si>
    <t>Al término de la configuración y parametrización, serán facturadas todas las horas en este servicio para pago dentro de los 30 días siguientes</t>
  </si>
  <si>
    <t>El servicio será facturado mensualmente para pago dentro de los 30 días siguientes</t>
  </si>
  <si>
    <t>Se facturará cuando sea entregada cada licencia correctamente instalada, para su pago dentro de los 30 días siguientes</t>
  </si>
  <si>
    <t>Se facturará una vez terminado el proceso de migración y revisión, para pago dentro de los 30 días siguientes</t>
  </si>
  <si>
    <t>Se facturará mensualmente según el consumo de la Entidad para pago dentro de los 30 días siguientes</t>
  </si>
  <si>
    <t>Se facturará mensualmente según el consumo de la Entidad</t>
  </si>
  <si>
    <t>Se facturará mensualmente según el consumo de la Entidad, para pago dentro de los 30 días siguientes</t>
  </si>
  <si>
    <t xml:space="preserve"> Software (ERP TRIBUTARIO - Módulos de Impuesto Predial, Impuesto de Industria y Comercio y ReteICA)</t>
  </si>
  <si>
    <t xml:space="preserve"> Software (ERP ADMINISTRATIVO Y FINANCIERO - Módulos Contabilidad; Tesorería; Control Presupuestas; Almacén, Inventarios y Devolutivos; Nómina)</t>
  </si>
  <si>
    <t>AZD-SRV-61</t>
  </si>
  <si>
    <t>AZDigital Licencia por transaccion - Mínimo 500 transacciones Año</t>
  </si>
  <si>
    <t>SOAINT</t>
  </si>
  <si>
    <t>SOAINT-SOADOC-ONPREM-01-01</t>
  </si>
  <si>
    <t>Software Soaint</t>
  </si>
  <si>
    <t>SOADOC Paquete Básico</t>
  </si>
  <si>
    <t>Modulo Funcional</t>
  </si>
  <si>
    <t>SOAINT-SOADOC-ONPREM-01-02</t>
  </si>
  <si>
    <t>SOAINT-SOADOC-ONPREM-01-03</t>
  </si>
  <si>
    <t>SOAINT-SOADOC-ONPREM-01-04</t>
  </si>
  <si>
    <t>SOAINT-SOADOC-ONPREM-01-05</t>
  </si>
  <si>
    <t>SOAINT-SOADOC-ONPREM-01-06</t>
  </si>
  <si>
    <t>SOAINT-SOADOC-ONPREM-02-01</t>
  </si>
  <si>
    <t>SOADOC Paquete Avanzado</t>
  </si>
  <si>
    <t>SOAINT-SOADOC-ONPREM-02-02</t>
  </si>
  <si>
    <t>SOAINT-SOADOC-ONPREM-02-03</t>
  </si>
  <si>
    <t>SOAINT-SOADOC-ONPREM-02-04</t>
  </si>
  <si>
    <t>SOAINT-SOADOC-ONPREM-02-05</t>
  </si>
  <si>
    <t>SOAINT-SOADOC-ONPREM-02-06</t>
  </si>
  <si>
    <t>SOAINT-SOADOC-ONPREM-03-01</t>
  </si>
  <si>
    <t>SOADOC Paquete Corporativo</t>
  </si>
  <si>
    <t>SOAINT-SOADOC-ONPREM-03-02</t>
  </si>
  <si>
    <t>SOAINT-SOADOC-ONPREM-03-03</t>
  </si>
  <si>
    <t>SOAINT-SOADOC-ONPREM-03-04</t>
  </si>
  <si>
    <t>SOAINT-SOADOC-ONPREM-03-05</t>
  </si>
  <si>
    <t>SOAINT-SOADOC-ONPREM-03-06</t>
  </si>
  <si>
    <t>SOAINT-SOADOC-SAAS-01-01</t>
  </si>
  <si>
    <t>MENSUAL</t>
  </si>
  <si>
    <t>SOAINT-SOADOC-SAAS-01-02</t>
  </si>
  <si>
    <t>SOAINT-SOADOC-SAAS-01-03</t>
  </si>
  <si>
    <t>SOAINT-SOADOC-SAAS-01-04</t>
  </si>
  <si>
    <t>SOAINT-SOADOC-SAAS-01-05</t>
  </si>
  <si>
    <t>SOAINT-SOADOC-SAAS-01-06</t>
  </si>
  <si>
    <t>SOAINT-SOADOC-SAAS-02-01</t>
  </si>
  <si>
    <t>SOAINT-SOADOC-SAAS-02-02</t>
  </si>
  <si>
    <t>SOAINT-SOADOC-SAAS-02-03</t>
  </si>
  <si>
    <t>SOAINT-SOADOC-SAAS-02-04</t>
  </si>
  <si>
    <t>SOAINT-SOADOC-SAAS-02-05</t>
  </si>
  <si>
    <t>SOAINT-SOADOC-SAAS-02-06</t>
  </si>
  <si>
    <t>SOAINT-SOADOC-SAAS-03-01</t>
  </si>
  <si>
    <t>SOAINT-SOADOC-SAAS-03-02</t>
  </si>
  <si>
    <t>SOAINT-SOADOC-SAAS-03-03</t>
  </si>
  <si>
    <t>SOAINT-SOADOC-SAAS-03-04</t>
  </si>
  <si>
    <t>SOAINT-SOADOC-SAAS-03-05</t>
  </si>
  <si>
    <t>SOAINT-SOADOC-SAAS-03-06</t>
  </si>
  <si>
    <t>Softmanagement</t>
  </si>
  <si>
    <t>IT-SOFTSE-01-01</t>
  </si>
  <si>
    <t>Software Softmanagement</t>
  </si>
  <si>
    <t>Soft- Sede Electrónica</t>
  </si>
  <si>
    <t>N.A.</t>
  </si>
  <si>
    <t>Unico pago por Licencia</t>
  </si>
  <si>
    <t>IT-SOFTSE-01-03</t>
  </si>
  <si>
    <t>Soft- Sede Electrónica - Paquete de Configuración tramites 100 UTPS</t>
  </si>
  <si>
    <t>UTP</t>
  </si>
  <si>
    <t>IT-SOFTSE-01-04</t>
  </si>
  <si>
    <t>Soft- Sede Electrónica - Paquete de Configuración tramites 50 UTPS</t>
  </si>
  <si>
    <t>IT-SOFTSE-01-05</t>
  </si>
  <si>
    <t>Soft- Sede Electrónica - Paquete de  soporte y mantenimiento 500 horas</t>
  </si>
  <si>
    <t>IT-SOFTSE-01-02</t>
  </si>
  <si>
    <t>Soft- Sede Electrónica - Activacion, Aprovisionamiento y Uso del servicio  minimo 24 meses</t>
  </si>
  <si>
    <t>Suscipción Anual con pago Mensual</t>
  </si>
  <si>
    <t>IT-SOFTSE-01-06</t>
  </si>
  <si>
    <t>Soft- Sede Electrónica - Gestión Documental</t>
  </si>
  <si>
    <t>IT-SOFTSE-01-07</t>
  </si>
  <si>
    <t>Soft- Sede Electrónica - Gestión Documental -  Activacion, Aprovisionamiento y Uso del servicio  minimo 24 meses</t>
  </si>
  <si>
    <t>IT-SOFTSE-01-08</t>
  </si>
  <si>
    <t>Soft- Sede Electrónica - Gestión Documental - Paquete de Configuración  y Parametrizacion  600 horas</t>
  </si>
  <si>
    <t>IT-SOFTSE-01-09</t>
  </si>
  <si>
    <t>Soft- Sede Electrónica - Gestión Documental -Paquete de  soporte y mantenimiento 300 horas</t>
  </si>
  <si>
    <t>IT-SOFTSE-01-10</t>
  </si>
  <si>
    <t>Soft- Sede Electrónica -Modulo de PQRS</t>
  </si>
  <si>
    <t>IT-SOFTSE-01-11</t>
  </si>
  <si>
    <t>Soft- Sede Electrónica -Modulo de PQRS - Activacion, Aprovisionamiento y Uso del servicio  minimo 24 meses</t>
  </si>
  <si>
    <t>IT-SOFTSE-01-12</t>
  </si>
  <si>
    <t>Soft- Sede Electrónica -Modulo de PQRS - Paquete de  soporte y mantenimiento 60 horas</t>
  </si>
  <si>
    <t>IT-SOFTSE-01-15</t>
  </si>
  <si>
    <t>Soft- Sede Electrónica -Modulo de PQRS - Paquete de Configuración  y Parametrizacion  150 horas</t>
  </si>
  <si>
    <t>IT-SOFTSE-01-13</t>
  </si>
  <si>
    <t>Soft- Sede Electrónica - Modulo de Administrador de contenidos</t>
  </si>
  <si>
    <t>IT-SOFTSE-01-14</t>
  </si>
  <si>
    <t>Soft- Sede Electrónica - Paquete de Configuración y Administración de contenidos 500 horas</t>
  </si>
  <si>
    <t>IT-SOFTBP-01-01</t>
  </si>
  <si>
    <t>Soft-Banco de Proyectos estrategicos - Activacion, Aprovisionamiento y Uso del servicio  minimo 12 meses 200 usuarios</t>
  </si>
  <si>
    <t>IT-SOFTBP-01-01-B</t>
  </si>
  <si>
    <t>Suscripción Anual</t>
  </si>
  <si>
    <t>IT-SOFTBP-01-03</t>
  </si>
  <si>
    <t>Soft-Banco de Proyectos estrategicos - Activacion, Aprovisionamiento y Uso del servicio  minimo 12 meses 1000 usuarios</t>
  </si>
  <si>
    <t>IT-SOFTBP-01-02</t>
  </si>
  <si>
    <t>Soft-Banco de Proyectos estrategicos - 200 usuarios</t>
  </si>
  <si>
    <t>IT-SOFTBP-01-04</t>
  </si>
  <si>
    <t>Soft-Banco de Proyectos estrategicos - 1000 usuarios</t>
  </si>
  <si>
    <t>IT-SOFTBP-01-05</t>
  </si>
  <si>
    <t>Soft-Banco de Proyectos estrategicos -Paquete de Soporte y Mantenimiento on premises 600 horas para 200 usuarios</t>
  </si>
  <si>
    <t>IT-SOFTBP-01-06</t>
  </si>
  <si>
    <t>Soft-Banco de Proyectos estrategicos -Paquete de Soporte y Mantenimiento on premises 1200 horas para 1000 usuarios</t>
  </si>
  <si>
    <t>IT-SOFTBP-01-07</t>
  </si>
  <si>
    <t>Soft-Banco de Proyectos estrategicos - Paquete de Configuración y Parametrización on premises 300 horas</t>
  </si>
  <si>
    <t>IT-SOFTBP-01-08</t>
  </si>
  <si>
    <t>Soft-Banco de Proyectos Seguimiento y evaluación</t>
  </si>
  <si>
    <t>IT-SOFTBP-01-09</t>
  </si>
  <si>
    <t>Soft-Banco de Proyectos Seguimiento y evaluación - Activacion, Aprovisionamiento y Uso del servicio  minimo 12 meses</t>
  </si>
  <si>
    <t>IT-SOFTBP-01-10</t>
  </si>
  <si>
    <t>Soft-Banco de Proyectos Seguimiento y evaluación - Paquete de Soporte y Mantenimiento on premises 750 horas</t>
  </si>
  <si>
    <t>IT-SOFTBP-01-11</t>
  </si>
  <si>
    <t>Soft-Banco de Proyectos Seguimiento y evaluación - Paquete de Configuración y Parametrización on premises 500 horas</t>
  </si>
  <si>
    <t>IT-SOFTLEGAL-01-01</t>
  </si>
  <si>
    <t>Soft-Legal Tramites normativos</t>
  </si>
  <si>
    <t>IT-SOFTLEGAL-01-02</t>
  </si>
  <si>
    <t xml:space="preserve">Soft-Legal Tramites normativos </t>
  </si>
  <si>
    <t>IT-SOFTLEGAL-01-03</t>
  </si>
  <si>
    <t>Soft-Legal Tramites normativos - Paquete de Soporte y Mantenimiento on premises 500 horas</t>
  </si>
  <si>
    <t>IT-SOFTLEGAL-01-04</t>
  </si>
  <si>
    <t>Soft-Legal Tramites normativos - Paquete de Configuración y Parametrización on premises 300 horas</t>
  </si>
  <si>
    <t>IT-SOFTLEGAL-01-05</t>
  </si>
  <si>
    <t>Soft-Legal Procesamiento inteligente - Consulta Web Activacion, Aprovisionamiento y Uso del servicio  minimo 12 meses</t>
  </si>
  <si>
    <t>IT-SOFTLEGAL-01-06</t>
  </si>
  <si>
    <t>Soft-Legal Procesamiento inteligente - Paquete de Extracción, clasificación y procesamiento</t>
  </si>
  <si>
    <t>IT-SOFTLEGAL-01-07</t>
  </si>
  <si>
    <t>Soft-Legal Procesamiento inteligente</t>
  </si>
  <si>
    <t>IT-SOFTPT-01-01</t>
  </si>
  <si>
    <t>Soft-Portal  de Transparencia</t>
  </si>
  <si>
    <t>IT-SOFTPT-01-02</t>
  </si>
  <si>
    <t>IT-SOFTPT-01-02-APP</t>
  </si>
  <si>
    <t>Soft-Portal  de Transparencia - APP</t>
  </si>
  <si>
    <t>IT-SOFTPT-01-02-W</t>
  </si>
  <si>
    <t>Soft-Portal  de Transparencia - WEB</t>
  </si>
  <si>
    <t>IT-SOFTPT-01-03-W</t>
  </si>
  <si>
    <t>Soft-Portal  de Transparencia - WEB - Paquete de Configuración y Administración de contenidos 500 horas</t>
  </si>
  <si>
    <t>IT-SOFTBI-01-01</t>
  </si>
  <si>
    <t>Soft-BI</t>
  </si>
  <si>
    <t>IT-SOFTBI-01-01_CT</t>
  </si>
  <si>
    <t>Soft- BI - Check Transactions</t>
  </si>
  <si>
    <t>500 Transacciones</t>
  </si>
  <si>
    <t>IT-SOFTBI-01-01_DA</t>
  </si>
  <si>
    <t xml:space="preserve">Soft - BI - Dashboard de Anomalías </t>
  </si>
  <si>
    <t>800 Transacciones</t>
  </si>
  <si>
    <t>Mensual por servicioss efectivamente prestados</t>
  </si>
  <si>
    <t>Instalación de Licencia</t>
  </si>
  <si>
    <t>IT-SW-12-01</t>
  </si>
  <si>
    <t>Mantenimiento a Licencia adquirida</t>
  </si>
  <si>
    <t>IT-SW-12-02</t>
  </si>
  <si>
    <t>IT-SW-12-03</t>
  </si>
  <si>
    <t>IT-SW-12-04</t>
  </si>
  <si>
    <t>IT-SW-12-05</t>
  </si>
  <si>
    <t>IT-SW-12-06</t>
  </si>
  <si>
    <t>IT-STORM-01</t>
  </si>
  <si>
    <t>Licencia STORM ONPREMISE (Hasta 50 Formularios)</t>
  </si>
  <si>
    <t>IT-STORM-02</t>
  </si>
  <si>
    <t>Licencia STORM SaaS (Hasta 50 Usuarios y 50 Formularios)</t>
  </si>
  <si>
    <t>Actualización y Soporte Estandar STORM ONPREMISE (20% sobre licencia)</t>
  </si>
  <si>
    <t>Automatización, configuración, parametrización de Formularios en STORM</t>
  </si>
  <si>
    <t>IT-SW-06-06</t>
  </si>
  <si>
    <t>GRUPOINVESCO</t>
  </si>
  <si>
    <t>GMAP-LIC-001</t>
  </si>
  <si>
    <t>Software GLO-MAP</t>
  </si>
  <si>
    <t>Instalación de Licencia GLOMAP</t>
  </si>
  <si>
    <t>GMAP-CAP-001</t>
  </si>
  <si>
    <t>GMAP-CAP-002</t>
  </si>
  <si>
    <t>GMAP-CAP-003</t>
  </si>
  <si>
    <t>GMAP-CAP-004</t>
  </si>
  <si>
    <t>GMAP-AMD-001</t>
  </si>
  <si>
    <t>GMAP-AMD-002</t>
  </si>
  <si>
    <t>GMAP-AMD-003</t>
  </si>
  <si>
    <t>GMAP-SOP-001</t>
  </si>
  <si>
    <t>GMAP-SOP-002</t>
  </si>
  <si>
    <t>GMAP-SOP-003</t>
  </si>
  <si>
    <t>GMAP-INFRA-001</t>
  </si>
  <si>
    <t>Geovisor Inventario Vial Primario</t>
  </si>
  <si>
    <t>Km</t>
  </si>
  <si>
    <t>GMAP-INFRA-002</t>
  </si>
  <si>
    <t>Geovisor Inventario Vial Secundario</t>
  </si>
  <si>
    <t>GMAP-INFRA-003</t>
  </si>
  <si>
    <t>Geovisor Inventario Vial Terciario Secundario</t>
  </si>
  <si>
    <t>GMAP-INFRA-004</t>
  </si>
  <si>
    <t>Geovisor Inventario Vial Urbano</t>
  </si>
  <si>
    <t>GMAP-INFRA-005</t>
  </si>
  <si>
    <t>Geovisor Categorización Vial</t>
  </si>
  <si>
    <t>GMAP-INFRA-006</t>
  </si>
  <si>
    <t>Geovisor Diagnostico Vial</t>
  </si>
  <si>
    <t>GMAP-INFRA-007</t>
  </si>
  <si>
    <t>Geovisor Evaluación Pavimento</t>
  </si>
  <si>
    <t>GMAP-INFRA-008</t>
  </si>
  <si>
    <t>Migración información a la plataforma</t>
  </si>
  <si>
    <t>GMAP-INFRA-009</t>
  </si>
  <si>
    <t>Generación de Informes</t>
  </si>
  <si>
    <t>Informe</t>
  </si>
  <si>
    <t>GMAP-INFRA-010</t>
  </si>
  <si>
    <t>App Usuarios</t>
  </si>
  <si>
    <t>Modulo</t>
  </si>
  <si>
    <t>GMAP-INFRA-011</t>
  </si>
  <si>
    <t>Geovisor Integral</t>
  </si>
  <si>
    <t>GMAP-INFRA-012</t>
  </si>
  <si>
    <t>Geovisor Estudios de Suelos</t>
  </si>
  <si>
    <t>Muestra Tomada</t>
  </si>
  <si>
    <t>GMAP-INFRA-013</t>
  </si>
  <si>
    <t>Geovisor Estudios y Diseños de Obra Civil</t>
  </si>
  <si>
    <t>M2</t>
  </si>
  <si>
    <t>GMAP-INFRA-014</t>
  </si>
  <si>
    <t>Geovisor Estudios y Diseños de Riesgo</t>
  </si>
  <si>
    <t>GMAP-INFRA-015</t>
  </si>
  <si>
    <t>Descarga información infraestructura</t>
  </si>
  <si>
    <t>GMAP-PROY-001</t>
  </si>
  <si>
    <t>Geovisor Predial Masivo y/o Especifico</t>
  </si>
  <si>
    <t>GMAP-PROY-002</t>
  </si>
  <si>
    <t>Formularios Digitales</t>
  </si>
  <si>
    <t>GMAP-PROY-003</t>
  </si>
  <si>
    <t>Geovisor Caracteristicas Poblacionales y Empresariales.</t>
  </si>
  <si>
    <t>GMAP-PROY-004</t>
  </si>
  <si>
    <t>Geovisor Estudios y Proyectos Viales</t>
  </si>
  <si>
    <t>GMAP-PROY-005</t>
  </si>
  <si>
    <t>Geovisor Estudios y Proyectos Institucionales</t>
  </si>
  <si>
    <t>GMAP-PROY-006</t>
  </si>
  <si>
    <t>Geovisor Estudios y Proyectos de redes publicas.</t>
  </si>
  <si>
    <t>GMAP-PROY-007</t>
  </si>
  <si>
    <t>Geovisor Estudios y Proyectos POT</t>
  </si>
  <si>
    <t>GMAP-PROY-008</t>
  </si>
  <si>
    <t>Geovisor Monitoreo y Rastreo</t>
  </si>
  <si>
    <t>GMAP-PROY-009</t>
  </si>
  <si>
    <t>Geovisor de Marketing</t>
  </si>
  <si>
    <t>GMAP-PROY-010</t>
  </si>
  <si>
    <t>Geovisor de Transporte</t>
  </si>
  <si>
    <t>GMAP-INTE-001</t>
  </si>
  <si>
    <t>Geovisor Integracion de sistemas inteligentes</t>
  </si>
  <si>
    <t>GMAP-INTE-002</t>
  </si>
  <si>
    <t>Geovisor Integración de sistemas Telefonia</t>
  </si>
  <si>
    <t>GMAP-INTE-003</t>
  </si>
  <si>
    <t>Geovisor Integración con Video Analiticos</t>
  </si>
  <si>
    <t>GMAP-INTE-004</t>
  </si>
  <si>
    <t>Integración VMS</t>
  </si>
  <si>
    <t>GMAP-INTE-005</t>
  </si>
  <si>
    <t>Integración con sistema de alarmas</t>
  </si>
  <si>
    <t>GMAP-INTE-006</t>
  </si>
  <si>
    <t>Integración con sistema de control de acceso</t>
  </si>
  <si>
    <t>GMAP-INTE-007</t>
  </si>
  <si>
    <t>Integración con sistema GPS</t>
  </si>
  <si>
    <t>GMAP-INTE-008</t>
  </si>
  <si>
    <t>Integración con sistema Botón de pánico</t>
  </si>
  <si>
    <t>GMAP-INTE-009</t>
  </si>
  <si>
    <t>Integración con sistema de Grabación</t>
  </si>
  <si>
    <t>GMAP-INTE-010</t>
  </si>
  <si>
    <t>Integración con sistema de Semaforización</t>
  </si>
  <si>
    <t>GMAP-INTE-011</t>
  </si>
  <si>
    <t>Sistema integral Ciudades Inteligentes</t>
  </si>
  <si>
    <t>GMAP-INTE-012</t>
  </si>
  <si>
    <t>Sistema integral de Detección Automática</t>
  </si>
  <si>
    <t>GMAP-INTE-013</t>
  </si>
  <si>
    <t>Control Detenidos</t>
  </si>
  <si>
    <t>GMAP-INTE-014</t>
  </si>
  <si>
    <t>Administracion de Justicia</t>
  </si>
  <si>
    <t>GMAP-INTE-015</t>
  </si>
  <si>
    <t>Soporte técnico para On-line</t>
  </si>
  <si>
    <t>GMAP-CATA-001</t>
  </si>
  <si>
    <t>Geovisor Formación Catastral</t>
  </si>
  <si>
    <t>GMAP-CATA-002</t>
  </si>
  <si>
    <t>Geovisor Actualizacion Catastral</t>
  </si>
  <si>
    <t>GMAP-CATA-003</t>
  </si>
  <si>
    <t>Geovisor Conservación Catastral</t>
  </si>
  <si>
    <t>GMAP-SIG-001</t>
  </si>
  <si>
    <t>Geovisor Integración SIG</t>
  </si>
  <si>
    <t>GMAP-SIG-002</t>
  </si>
  <si>
    <t>Geovisor Estudios de Impacto Ambiental</t>
  </si>
  <si>
    <t>GMAP-SIG-003</t>
  </si>
  <si>
    <t>Geovisor Diagnostico Ambiental de Alternativas</t>
  </si>
  <si>
    <t>GMAP-SIG-004</t>
  </si>
  <si>
    <t>Geovisor Planes de Manejo Ambiental</t>
  </si>
  <si>
    <t>GMAP-SIG-005</t>
  </si>
  <si>
    <t>Geovisor Delimitacion Zonas de Protección Ambiental</t>
  </si>
  <si>
    <t>GMAP-SIG-006</t>
  </si>
  <si>
    <t>Geovisor Delimitacion Zonas de Riesgo</t>
  </si>
  <si>
    <t>GMAP-ACT-001</t>
  </si>
  <si>
    <t>Geovisor Red de Alcantarillado</t>
  </si>
  <si>
    <t>KM</t>
  </si>
  <si>
    <t>GMAP-ACT-002</t>
  </si>
  <si>
    <t>Geovisor Red de Gas</t>
  </si>
  <si>
    <t>GMAP-ACT-003</t>
  </si>
  <si>
    <t>Geovisor Red de Petroleo</t>
  </si>
  <si>
    <t>GMAP-ACT-004</t>
  </si>
  <si>
    <t>Geovisor Red de Combustibles</t>
  </si>
  <si>
    <t>GMAP-ACT-005</t>
  </si>
  <si>
    <t>Geovsior Red de Energía</t>
  </si>
  <si>
    <t>GMAP-ACT-006</t>
  </si>
  <si>
    <t>Geovisor Red de Energías Alternativas</t>
  </si>
  <si>
    <t>GMAP-ACT-007</t>
  </si>
  <si>
    <t>Geovisor Red de Acueducto</t>
  </si>
  <si>
    <t>GMAP-GEST-001</t>
  </si>
  <si>
    <t>Geovisor Seguimiento, Planes y Proyectos</t>
  </si>
  <si>
    <t>GMAP-GEST-002</t>
  </si>
  <si>
    <t>Geovisor Solución Tematicas Misionales</t>
  </si>
  <si>
    <t>GMAP-GEST-003</t>
  </si>
  <si>
    <t>Geovisor Solución direccionamiento estrategico</t>
  </si>
  <si>
    <t>GMAP-GEST-004</t>
  </si>
  <si>
    <t>Geovisor Solución información misional</t>
  </si>
  <si>
    <t>GMAP-GEST-005</t>
  </si>
  <si>
    <t>Geovisor Servicio de Soporte Misional</t>
  </si>
  <si>
    <t>hora</t>
  </si>
  <si>
    <t>GMAP-PARQ-001</t>
  </si>
  <si>
    <t>Modulo Parquimetros App</t>
  </si>
  <si>
    <t>GMAP-PARQ-002</t>
  </si>
  <si>
    <t>Geovisor Parquimetros</t>
  </si>
  <si>
    <t>Kactus HCM Onpremise Licencia Estandar NOMINA ( Personal Self Service, Analisis de Cargos / Estructura Organizacional, Biodata, Utilitarios Estandar). (Hasta 300 empleados)</t>
  </si>
  <si>
    <t xml:space="preserve">Kactus HCM Onpremise Licencia Empleado Adicional NOMINA </t>
  </si>
  <si>
    <t xml:space="preserve">Kactus HCM Onpremise Licencia Nit Adicional </t>
  </si>
  <si>
    <t>Kactus HCM Onpremise Valor por cada Modulo Especializado: Seguridad &amp; Salud en el Trabajo  Avanzado, Gestion de Tiempos y Turnos, Cuotas Partes por Pagar, Cuotas Partes por Cobrar, Presupuesto de Nomina, Control de Viaticos, (valor por cada modulo que se incluya)</t>
  </si>
  <si>
    <t>Valor por módulo</t>
  </si>
  <si>
    <t>ON-KC-NM-P-05</t>
  </si>
  <si>
    <t>Kactus HCM Onpremise  Valor por cada Modulo Avanzado: Contratista o Pensionado  (valor por cada modulo que se incluya)</t>
  </si>
  <si>
    <t>ON-KC-NM-P-06</t>
  </si>
  <si>
    <t>Imperium - Bi Tablero para Kactus HCM, valor por cada tablero de: (Nomina, Ausentismo, Edades, Rotación, Requisición, Colaboradores, Planta de personal, Retiro, SST, Desempeño)</t>
  </si>
  <si>
    <t>Valor por tablero</t>
  </si>
  <si>
    <t>ON-KC-NM-P-07</t>
  </si>
  <si>
    <t>Imperium - Bi Tablero para Kactus HCM, valor por cada tablero de: (SST, Desmpeño)</t>
  </si>
  <si>
    <t xml:space="preserve">Kactus HCM Onpremise Instalacion </t>
  </si>
  <si>
    <t>Kactus HCM Onpremise Derecho Actualizacion y Soporte para estandar NOMINA (Paq 300 Empleados)</t>
  </si>
  <si>
    <t>ON-KC-NM-S-03</t>
  </si>
  <si>
    <t>Kactus HCM Derecho Actualizacion, Soporte estandar Nomina Onpremise por Cada Modulo Especializado: Seguridad &amp; Salud en el Trabajo  Avanzado, Gestion de Tiempos y Turnos, Cuotas Partes por Pagar, Cuotas Partes por Cobrar, Presupuesto de Nomina, Control de Viaticos, (valor por cada modulo que se incluya)</t>
  </si>
  <si>
    <t>ON-KC-NM-S-04</t>
  </si>
  <si>
    <t>Kactus HCM Derecho Actualizacion, Soporte estandar Nomina Onpremise por Cada Modulo Avanzado: Contratista o Pensionado  (valor por cada modulo que se incluya)</t>
  </si>
  <si>
    <t>Kactus HCM Onpremise Licencia estandar de Gestion del Talento Humano (Planta de Personal, Gestion del Desempeño, Evaluacion Stedl, Formacion y Desarrollo, Bienestar de Personal). (Hasta 300 empleados)</t>
  </si>
  <si>
    <t>Kactus HCM Onpremise Licencia empleado Adicional Gestion Talento Humano.</t>
  </si>
  <si>
    <t xml:space="preserve">Kactus HCM Onpremise Licencia NIT adicional Gestion Talento Humano </t>
  </si>
  <si>
    <t xml:space="preserve">Kactus HCM Onpremise Instalacion Gestion Talento Humano  </t>
  </si>
  <si>
    <t>Kactus HCM Derecho Actualizacion, Soporte Estandar  para Gestion Talento Humano Onpremise de La Licencia Estandar (Paq 300 Empleados)</t>
  </si>
  <si>
    <t>ON-KC-TH-S-03</t>
  </si>
  <si>
    <t>Kactus HCM Derecho Actualizacion, Soporte estandar Gestion Talento Humano Onpremise por Cada Modulo Especializado</t>
  </si>
  <si>
    <t>ON-KC-TH-S-04</t>
  </si>
  <si>
    <t>Kactus HCM Derecho Actualizacion, Soporte  Estandar Gestion Talento Humano Onpremise  por cada Modulo Avanzado</t>
  </si>
  <si>
    <t>Kactus HCM Estandar Saas NOMINA ( Personal Self Service, Analisis De Cargos / Estructura Organizacional,Biodata, Utilitarios Estandar) Incluye Actualización, Mantenimiento e Infraestructura.</t>
  </si>
  <si>
    <t>Kactus HCM Saas NOMINA  (Rango de empleados adicional entre 301 - 400 Empleados)</t>
  </si>
  <si>
    <t>Kactus HCM Saas  NOMINA (Rango de empleados adicional entre 401-800)</t>
  </si>
  <si>
    <t>Kactus HCM SaaS NOMINA (Rango de empleados adicional entre 801-1300)</t>
  </si>
  <si>
    <t>Kactus HCM SaaS NOMINA (Rango de empleados adicional ebtre 1301-2300)</t>
  </si>
  <si>
    <t>Kactus HCM SaaS NOMINA (Rango de empleados adicional entre 2301-5300)</t>
  </si>
  <si>
    <t>Kactus HCM SaaS NOMINA (Rango de empleados adicional  (5301 ó Más)</t>
  </si>
  <si>
    <t xml:space="preserve">Kactus HCM  SaaS NIT Adicional </t>
  </si>
  <si>
    <t>Kactus HCM Soporte Técnico</t>
  </si>
  <si>
    <t xml:space="preserve">Kactus HCM Soporte  Técnico Proactivo </t>
  </si>
  <si>
    <t xml:space="preserve">Kactus HCM  Soporte Técnico Reactivo </t>
  </si>
  <si>
    <t>Kactus HCM Capacitación para Usuario Técnico O Administrador - Hasta 5 Personas por dia.  (minimo 3 dias)</t>
  </si>
  <si>
    <t>Kactus HCM  Capacitación Para Usuario Lider - Hasta 10 Personas. por dia (minimo 5 dias)</t>
  </si>
  <si>
    <t>Kactus HCM  Capacitación Para Usuario Usuario Final Hasta 20 Personas.por dia (minimo 6 dias)</t>
  </si>
  <si>
    <t>Kactus HCM Configuración  y parametrización</t>
  </si>
  <si>
    <t xml:space="preserve">Kactus HCM Migración de Información por Volumen de Datos Almacenados  </t>
  </si>
  <si>
    <t>Kactus HCM SaaS Gestion Talento Humano (Paquete Inicial Hasta 300 Empleados) Incluye Actualización y Mantemiento( Planta de Personal, Gestion del Desempeño Stedl, Formacion y Desarrollo, Bienestar de Personal)</t>
  </si>
  <si>
    <t>Kactus HCM SaaS GESTION DEL TALENTO HUMANO (Rango de empleados adicional entre 301 - 400 Empleados)</t>
  </si>
  <si>
    <t>Kactus HCM SaaS GESTION DEL TALENTO HUMANO (Rango de empleados adicional entre 401-800)</t>
  </si>
  <si>
    <t>Kactus HCM SaaS GESTION DEL TALENTO HUMANO (Rango de empleados adicional entre 801-1300)</t>
  </si>
  <si>
    <t>Kactus HCM SaaS GESTION DEL TALENTO HUMANO (Rango de empleados adicional entre 1301-2300)</t>
  </si>
  <si>
    <t>Kactus HCM SaaS GESTION DEL TALENTO HUMANO (Rango de empleados adicional entre 2301-5300)</t>
  </si>
  <si>
    <t>Kactus HCM SaaS GESTION DEL TALENTO HUMANO (Rango de empleados adicional 5301 Ó Más)</t>
  </si>
  <si>
    <t>Kactus HCM Saas Nit Adicional Gestion Talento Humano</t>
  </si>
  <si>
    <t>Kactus HCM Licencia  Usuario Adicional Base De Datos SaaS</t>
  </si>
  <si>
    <t>Kactus HCM Habilitacion Servicio Gestion Talento Humano SaaS</t>
  </si>
  <si>
    <t>40 Horas</t>
  </si>
  <si>
    <t xml:space="preserve">Kactus HCM Soporte Técnico Gestion Talento Humano </t>
  </si>
  <si>
    <t xml:space="preserve">Kactus HCM Soporte Técnico Proactivo Gestion Talento Humano </t>
  </si>
  <si>
    <t xml:space="preserve">Kactus HCM  Soporte Técnico Reactivo Gestion Talento Humano </t>
  </si>
  <si>
    <t>Kactus-Hcm Capacitación  Gestion Talento Humano Para Usuario Técnico O Administrador - Hasta 5 Personas. por dia.  (minimo 3 dias)</t>
  </si>
  <si>
    <t>Kactus-Hcm Capacitación Gestion Talento Humano Para Usuario Lider - Hasta 10 Personas. por dia.  (minimo 5 dias)</t>
  </si>
  <si>
    <t>Kactus-Hcm Capacitación Gestion Talento Humano Para Usuario Usuario Final Hasta 20 Personas. por dia.  (minimo 6 dias)</t>
  </si>
  <si>
    <t xml:space="preserve">Kactus HCM Configuración y Parametrización Gestion Talento Humano </t>
  </si>
  <si>
    <t xml:space="preserve">Kactus HCM  Migración de  Información por Volumen de Datos Almacenados Gestion Talento Humano </t>
  </si>
  <si>
    <t>Seven Erp Licencia Estandar Onpremise (Generales, Inventarios, Activos Fijos, Componente Financiero, Integración Siif Nacion)</t>
  </si>
  <si>
    <t>Seven Erp Licencia Modulo Wf- Workflow - Bpm  Onpremise</t>
  </si>
  <si>
    <t>Seven Erp Licencia Modulo Presupuesto Gobierno Onpremise</t>
  </si>
  <si>
    <t>Seven Erp Licencia Seven-Erp Modulo Compras Onpremise</t>
  </si>
  <si>
    <t>Seven Erp Licencia Modulo Contratos Onpremise</t>
  </si>
  <si>
    <t xml:space="preserve">Seven Erp Licencia Nit Adicional Onpremise </t>
  </si>
  <si>
    <t>Seven Erp Licencia Usuario Adicional Onpremise</t>
  </si>
  <si>
    <t xml:space="preserve">Seven Erp Licencia Estandar Onpremise (Contabilidad, Tesorería, Proveedores, Cartera, Compras, Inventarios, Activos Fijos) </t>
  </si>
  <si>
    <t>Seven-Erp  Licencia Modulo Wf- Workflow Onpremise</t>
  </si>
  <si>
    <t>Seven-Erp  Licencia Modulo Contratos Onpremise - 1</t>
  </si>
  <si>
    <t>Seven-Erp  Licencia Nit Adicional Base De Datos Onpremise -1</t>
  </si>
  <si>
    <t>Seven-Erp Licencia Usuario Adicional Base De Datos Onpremise -1</t>
  </si>
  <si>
    <t>ON-SV-GA-P-13</t>
  </si>
  <si>
    <t>Imperium - Bi Tablero para Seven ERP, valor por cada tablero de: ( Cartera, compras, facturación, balance estandar, tesorería, conciliación, tratamiento de datos )</t>
  </si>
  <si>
    <t>ON-SV-GA-P-14</t>
  </si>
  <si>
    <t>Imperium - Bi Tablero para Seven ERP, valor por cada tablero de: (PyG General, CRM, Servicios, Presupuesto financiero, control administrativo, mercadeo, control jurídico, medición de tiempos, cartera financiera, PQR)</t>
  </si>
  <si>
    <t>Seven Erp Instalacion Onpremise</t>
  </si>
  <si>
    <t>Seven Erp Derecho Actualizacion, Soporte y Mantenimiento Estandar  Onpremise</t>
  </si>
  <si>
    <t>Seven-Erp Instalacion Onpremise - 2</t>
  </si>
  <si>
    <t>80 Horas</t>
  </si>
  <si>
    <t>Seven-Erp Saas Estandar (Generales, Inventarios, Activos Fijos, Componente Financiero, Integración Siif Nacion)  Incluye Actualización Y Mantenimiento</t>
  </si>
  <si>
    <t xml:space="preserve">Seven-Erp Saas Usuario Modulo Wf- Workflow- Bpm </t>
  </si>
  <si>
    <t xml:space="preserve">Seven-Erp Saas Usuario Modulo Presupuesto Gobierno </t>
  </si>
  <si>
    <t xml:space="preserve">Seven-Erp Saas Usuario Modulo Compras </t>
  </si>
  <si>
    <t>Seven-Erp Saas Usuario Modulo Contratos</t>
  </si>
  <si>
    <t xml:space="preserve">Seven-Erp Saas Nit Adicional </t>
  </si>
  <si>
    <t xml:space="preserve">Seven-Erp Saas Usuario Adicional </t>
  </si>
  <si>
    <t>Seven-Erp Saas Licencia Estandar (Contabilidad, Tesorería, Proveedores, Cartera, Compras, Inventarios, Activos Fijos) Incluye Actualización Y Mantenimiento</t>
  </si>
  <si>
    <t>Seven-Erp Licencia Modulo Wf- Workflow Saas -2</t>
  </si>
  <si>
    <t>Seven-Erp Licencia Modulo Contratos Saas -2</t>
  </si>
  <si>
    <t>Seven-Erp Licencia Nit Adicional Base De Datos Saas -2</t>
  </si>
  <si>
    <t>Seven-Erp Licencia Usuario Adicional Base De Datos Saas - 2</t>
  </si>
  <si>
    <t xml:space="preserve">Seven-Erp Habilitacion Saas </t>
  </si>
  <si>
    <t>Seven-Erp Habilitacion Saas -2</t>
  </si>
  <si>
    <t xml:space="preserve">Seven-Erp Soporte Técnico </t>
  </si>
  <si>
    <t>Seven-Erp Soporte Técnico Proactivo</t>
  </si>
  <si>
    <t xml:space="preserve">Seven-Erp Soporte Técnico Reactivo </t>
  </si>
  <si>
    <t>Seven-Erp Capacitación Para Usuario Técnico O Administrador - Hasta 5 Personas</t>
  </si>
  <si>
    <t xml:space="preserve">Seven-Erp Capacitación Para Usuario Lider - Hasta 10 Personas. </t>
  </si>
  <si>
    <t xml:space="preserve">Seven-Erp Capacitación Para Usuario Usuario Final Hasta 20 Personas. </t>
  </si>
  <si>
    <t xml:space="preserve">Seven-Erp  Configuración Y Parametrización </t>
  </si>
  <si>
    <t xml:space="preserve">Seven-Erp Migración De Información Por Volumen De Datos Almacenados </t>
  </si>
  <si>
    <t>Ophelia Suite - Bpm Estandar Onpremise Licencia (1 Licencia Diseño, Hasta 50 Usuarios Ejecutores y Hasta 2 Usuarios Diseñador de la Plataforma Nombrado)</t>
  </si>
  <si>
    <t>Imperium - Bi Licencia  Onpremise (1 Usuario Diseño y 15 Visualizadores) Por 12 Meses</t>
  </si>
  <si>
    <t>Paq x 15 usuarios Anual</t>
  </si>
  <si>
    <t>SGDEA Licencia On premise (1 Licencia Para Usuario Diseño y 480 Usuarios Ejecutores) Toda la Suit SGDEA + PQRSD</t>
  </si>
  <si>
    <t>Paq x 480 usuarios</t>
  </si>
  <si>
    <t>SGDEA Licencia On premise (1 Licencia Para Usuario Diseño y 480 Usuarios Ejecutores) Toda la Suit SGDEA</t>
  </si>
  <si>
    <t>SGDEA Licencia On premise Paquete Por 50 Usuarios Concurrentes</t>
  </si>
  <si>
    <t>ON-OP-SU-P-06</t>
  </si>
  <si>
    <t>PQRSD Licencia On premise (1 Licencia Para Usuario Diseño y 480 Usuarios Ejecutores) Toda la Suit PQRSD</t>
  </si>
  <si>
    <t>ON-OP-SU-P-07</t>
  </si>
  <si>
    <t>Ophelia Suite - Bpm Onpremise Licencia  Estandar Usuario de Ejecución</t>
  </si>
  <si>
    <t>Por usuario</t>
  </si>
  <si>
    <t>ON-OP-SU-P-08</t>
  </si>
  <si>
    <t xml:space="preserve">Ophelia Suite - Bpm Onpremise Licencia  Estandar  Usuario Diseñador de La Plataforma Nombrado </t>
  </si>
  <si>
    <t>ON-OP-SU-P-09</t>
  </si>
  <si>
    <t>Licencia Imperium -Bi Onpremise (1 Usuario Diseñador) Por 12 Meses</t>
  </si>
  <si>
    <t>ON-OP-SU-P-10</t>
  </si>
  <si>
    <t>Licencia Imperium -Bi Onpremise (1 Usuario Visualizador) Por 12 Meses</t>
  </si>
  <si>
    <t xml:space="preserve">Ophelia Onpremise Actualizacion, Soporte y Mantenimiento Estandar </t>
  </si>
  <si>
    <t>Ophelia Suite Saas - Bpm Estandar (2 Usuarios Diseño Y Hasta 120 Usuarios Ejecutores) Incluye Actualización Y Mantenimiento</t>
  </si>
  <si>
    <t>Paq x 120 usuarios</t>
  </si>
  <si>
    <t>Imperium - Bi Saas (1 Usuario Diseño y Hasta 15 Visualizadores)</t>
  </si>
  <si>
    <t>Valor mensual</t>
  </si>
  <si>
    <t>SGDEA Saas (1 Licencia para Usuario Diseño, 120 Usuarios Concurrentes y Hasta 480 Usuarios Ejecutores) Toda la Suit SGDEA + PQRSD</t>
  </si>
  <si>
    <t>Paq x 120 usuarios y hasta 480 ejecutores</t>
  </si>
  <si>
    <t xml:space="preserve">Ophelia Suite - Bpm Saas Usuario Adicional   </t>
  </si>
  <si>
    <t>SA-OP-SU-P-05</t>
  </si>
  <si>
    <t>SGDEA SaaS (1 Licencia Para Usuario Diseño y 480 Usuarios Ejecutores) Toda la Suit SGDEA</t>
  </si>
  <si>
    <t>SA-OP-SU-P-06</t>
  </si>
  <si>
    <t>SGDEA SaaS (1 Licencia Para Usuario Diseño y 480 Usuarios Ejecutores) Toda la Suit de PQRSD</t>
  </si>
  <si>
    <t>SA-OP-SU-P-07</t>
  </si>
  <si>
    <t>SGDEA Saas Paquete Por 50 Usuarios Nombrados</t>
  </si>
  <si>
    <t>Paq hasta 50 usuarios</t>
  </si>
  <si>
    <t>SA-OP-SU-P-08</t>
  </si>
  <si>
    <t>SGDEA Saas Paquete Por 50 Usuarios Concurrentes</t>
  </si>
  <si>
    <t>SA-OP-SU-P-09</t>
  </si>
  <si>
    <t>Imperium - Bi Saas (1 Usuario Diseño y Hasta 60 Visualizadores)</t>
  </si>
  <si>
    <t>SA-OP-SU-P-10</t>
  </si>
  <si>
    <t>Imperium - Bi Saas  (1 Usuario Diseño y Hasta 120 Visualizadores)</t>
  </si>
  <si>
    <t>Ophelia Suite  Soporte Técnico Onpremise</t>
  </si>
  <si>
    <t>Ophelia Suite Soporte Técnico Proactivo Onpremise</t>
  </si>
  <si>
    <t>Ophelia Suite Soporte Técnico Reactivo Onpremise</t>
  </si>
  <si>
    <t xml:space="preserve">Ophelia Suite Capacitación Para Usuario Técnico ó Administrador - Hasta 5 Personas. </t>
  </si>
  <si>
    <t xml:space="preserve">Ophelia Suite Capacitación Para Usuario Final - Hasta 10 Personas. </t>
  </si>
  <si>
    <t xml:space="preserve">Ophelia Suite Capacitación Para Usuario Usuario Final Hasta 20 Personas. </t>
  </si>
  <si>
    <t xml:space="preserve">Ophelia Suite Configuración y Parametrización  </t>
  </si>
  <si>
    <t xml:space="preserve">Ophelia Suite Migración de Información por Volumen de Datos Almacenados </t>
  </si>
  <si>
    <t xml:space="preserve">Ophelia Suite Bpm Saas Habilitacion </t>
  </si>
  <si>
    <t xml:space="preserve">Ophelia Suite Onpremise Instalacion </t>
  </si>
  <si>
    <t>SA-OP-SU-S-10</t>
  </si>
  <si>
    <t>Mantenimiento SGDEA On premise (1 Licencia Para Usuario Diseño y 480 Usuarios Ejecutores) Toda la Suit SGDEA + PQRSD</t>
  </si>
  <si>
    <t>SA-OP-SU-S-11</t>
  </si>
  <si>
    <t>Mantenimiento SGDEA On premise (1 Licencia Para Usuario Diseño y 480 Usuarios Ejecutores) Toda la Suit SGDEA</t>
  </si>
  <si>
    <t>SA-OP-SU-S-12</t>
  </si>
  <si>
    <t>Mantenimiento On premise (1 Licencia Para Usuario Diseño y 480 Usuarios Ejecutores) Toda la Suit PQRSD</t>
  </si>
  <si>
    <t>DIGITALWARE</t>
  </si>
  <si>
    <t>XSK-SW-08</t>
  </si>
  <si>
    <t>Zona 1,2 y 3</t>
  </si>
  <si>
    <t>Técnico ó Tecnológico</t>
  </si>
  <si>
    <t>De Contado</t>
  </si>
  <si>
    <t>XSK-SW-09</t>
  </si>
  <si>
    <t>Bundle 35</t>
  </si>
  <si>
    <t>Zona 1,2 y 4</t>
  </si>
  <si>
    <t>XSK-SW-10</t>
  </si>
  <si>
    <t>Soporte 5X8 ilimitado</t>
  </si>
  <si>
    <t>Zona 1,2 y 5</t>
  </si>
  <si>
    <t>XSK-SW-11</t>
  </si>
  <si>
    <t>Soporte 7x24 ilimitado</t>
  </si>
  <si>
    <t>Zona 1,2 y 6</t>
  </si>
  <si>
    <t>XSK-SW-12</t>
  </si>
  <si>
    <t>Entrenamiento hasta 10 personas</t>
  </si>
  <si>
    <t>Zona 1,2 y 7</t>
  </si>
  <si>
    <t>Novedad</t>
  </si>
  <si>
    <t>LIC-SVE-35</t>
  </si>
  <si>
    <t>Licenciamiento perpetuo SVE módulo autodiagnostico- entidad con menos de 200 empleados</t>
  </si>
  <si>
    <t>Zona 1,2,5</t>
  </si>
  <si>
    <t>LIC-SVE-36</t>
  </si>
  <si>
    <t>LIC-SVE-37</t>
  </si>
  <si>
    <t>Licenciamiento perpetuo SVE módulo autodiagnostico- entidad con mas de 1.000 empleados</t>
  </si>
  <si>
    <t>LIC-SVE-38</t>
  </si>
  <si>
    <t>LIC-SVE-39</t>
  </si>
  <si>
    <t>LIC-SVE-40</t>
  </si>
  <si>
    <t>LIC-SVE-41</t>
  </si>
  <si>
    <t>Licenciamiento perpetuo SVE módulo SST - entidad con más de 1000 empleados</t>
  </si>
  <si>
    <t>LIC-SVE-42</t>
  </si>
  <si>
    <t>Licenciamiento perpetuo SVE módulo Seguridad de la Información - entidad con más de 1000 empleados</t>
  </si>
  <si>
    <t>LIC-SVE-43</t>
  </si>
  <si>
    <t>Licenciamiento perpetuo SVE módulo Ambiental - entidad con más de 1000 empleados</t>
  </si>
  <si>
    <t>Zona 1,2,6</t>
  </si>
  <si>
    <t>LIC-SVE-44</t>
  </si>
  <si>
    <t>Licenciamiento perpetuo SVE módulo metrologia - entidad con más de 1000 empleados</t>
  </si>
  <si>
    <t>Zona 1,2,7</t>
  </si>
  <si>
    <t>SUS-SVE-35</t>
  </si>
  <si>
    <t>Suscripción anual SaaS SVE módulo METROLOGIA - entidad con más de 1000 empleados</t>
  </si>
  <si>
    <t>SUS-SVE-36</t>
  </si>
  <si>
    <t>Suscripción anual SaaS SVE módulo autodiagnostico - entidad con menos de 200 empleados</t>
  </si>
  <si>
    <t>SUS-SVE-37</t>
  </si>
  <si>
    <t>SUS-SVE-38</t>
  </si>
  <si>
    <t>Suscripción anual SaaS SVE módulo autodiagnostico - entidad con más de 1000 empleados</t>
  </si>
  <si>
    <t>SUS-SVE-39</t>
  </si>
  <si>
    <t>Suscripción anual SaaS SVE módulo SST - entidad con más de 1000 empleados</t>
  </si>
  <si>
    <t>SUS-SVE-40</t>
  </si>
  <si>
    <t>Suscripción anual SaaS SVE módulo Seguridad de la Información - entidad con más de 1000 empleados</t>
  </si>
  <si>
    <t>SUS-SVE-41</t>
  </si>
  <si>
    <t>Suscripción anual SaaS SVE módulo Ambiental - entidad con más de 1000 empleados</t>
  </si>
  <si>
    <t>Zona 1,2,8</t>
  </si>
  <si>
    <t>SUS-SVE-42</t>
  </si>
  <si>
    <t>Zona 1,2,9</t>
  </si>
  <si>
    <t>SUS-SVE-43</t>
  </si>
  <si>
    <t>Zona 1,2,10</t>
  </si>
  <si>
    <t>SUS-SVE-44</t>
  </si>
  <si>
    <t>Zona 1,2,11</t>
  </si>
  <si>
    <t>AYM-SVE-35</t>
  </si>
  <si>
    <t>AYM-SVE-36</t>
  </si>
  <si>
    <t>AYM-SVE-37</t>
  </si>
  <si>
    <t>AYM-SVE-38</t>
  </si>
  <si>
    <t>AYM-SVE-39</t>
  </si>
  <si>
    <t>AYM-SVE-40</t>
  </si>
  <si>
    <t>AYM-SVE-41</t>
  </si>
  <si>
    <t>AYM-SVE-42</t>
  </si>
  <si>
    <t>AYM-SVE-43</t>
  </si>
  <si>
    <t>AYM-SVE-44</t>
  </si>
  <si>
    <t>PENSEMOS SA</t>
  </si>
  <si>
    <t>ON-NS-P-16</t>
  </si>
  <si>
    <t>LICENCIA NOVASOFT-ERP MODULO OPERACIONES (Programacion de turnos y sus funcionalidades)</t>
  </si>
  <si>
    <t>ON-NS-P-17</t>
  </si>
  <si>
    <t>LICENCIA NOVASOFT-ERP MODULO PORTAL ESPECIAL ERP</t>
  </si>
  <si>
    <t>SA-NS-S-22</t>
  </si>
  <si>
    <t>NOVASOFT-ERP-SAAS- MODULO OPERACIONES SAAS</t>
  </si>
  <si>
    <t>SA-NS-S-23</t>
  </si>
  <si>
    <t>NOVASOFT-ERP-SAAS- PORTAL ESPECIAL ERP SAAS</t>
  </si>
  <si>
    <t>SA-NS-S-24</t>
  </si>
  <si>
    <t>NOVASOFT-ERP-SAAS- NOVAMOVILIDAD ERP SAAS</t>
  </si>
  <si>
    <t>Suscripción Mensual (10 usuarios)</t>
  </si>
  <si>
    <t>Suscripción Licencia principal para 100 empleados</t>
  </si>
  <si>
    <t>Capacitación y Configuración del Módulo Analitico</t>
  </si>
  <si>
    <t>Capacitación y Configuración para usuarios</t>
  </si>
  <si>
    <t>Administración funcional básica</t>
  </si>
  <si>
    <t>Licenciamiento perpetuo SVE módulo SST - entidad con menos de 200 empleados</t>
  </si>
  <si>
    <t>Licenciamiento perpetuo SVE módulo SST - entidad entre 201 y 1000 empleados</t>
  </si>
  <si>
    <t>Licenciamiento perpetuo SVE módulo Seguridad de la Información - entidad con menos de 200 empleados</t>
  </si>
  <si>
    <t>Licenciamiento perpetuo SVE módulo Seguridad de la Información - entidad 201 - 1000 empleados</t>
  </si>
  <si>
    <t>Licenciamiento perpetuo SVE módulo Ambiental - entidad con menos de 200 empleados</t>
  </si>
  <si>
    <t>Licenciamiento perpetuo SVE módulo Ambiental - entidad entre 201 - 1000 empleados</t>
  </si>
  <si>
    <t>Licenciamiento perpetuo SVE módulo metrologia - entidad con menos de 200 empleados</t>
  </si>
  <si>
    <t>Licenciamiento perpetuo SVE módulo metrologia - entidad entre 201 - 1000 empleados</t>
  </si>
  <si>
    <t>Licenciamiento perpetuo SVE módulo autodiagnostico- entidad entre 201 - 1000 empleados</t>
  </si>
  <si>
    <t>Suscripción anual SaaS SVE módulo SST - entidad con menos de 200 empleados</t>
  </si>
  <si>
    <t>Suscripción anual SaaS SVE módulo SST - entidad entre 201 - 1000 empleados</t>
  </si>
  <si>
    <t>Suscripción anual SaaS SVE módulo Seguridad de la Información - entidad con menos de 200 empleados</t>
  </si>
  <si>
    <t>Suscripción anual SaaS SVE módulo Seguridad de la Información -  entidad entre 201 - 1000 empleados</t>
  </si>
  <si>
    <t>Suscripción anual SaaS SVE módulo Ambiental - entidad con menos de 200 empleados</t>
  </si>
  <si>
    <t>Suscripción anual SaaS SVE módulo Ambiental - entidad entre 201 - 1000 empleados</t>
  </si>
  <si>
    <t>Suscripción anual SaaS SVE módulo METROLOGIA - entidad con menos de 200 empleados</t>
  </si>
  <si>
    <t>Suscripción anual SaaS SVE módulo METROLOGIA -entidad entre 201 - 1000 empleados</t>
  </si>
  <si>
    <t>Suscripción anual SaaS SVE módulo autodiagnostico - entidad entre 201 - 1000 empleados</t>
  </si>
  <si>
    <t>SAP-8011038</t>
  </si>
  <si>
    <t>SAP Cloud</t>
  </si>
  <si>
    <t>SAP-8011048</t>
  </si>
  <si>
    <t>SAP-8011049</t>
  </si>
  <si>
    <t>SAP-8011050</t>
  </si>
  <si>
    <t>SAP-8011051</t>
  </si>
  <si>
    <t>SAP-8011052</t>
  </si>
  <si>
    <t>SAP-8011053</t>
  </si>
  <si>
    <t>SAP Cloud Application Services for application operations</t>
  </si>
  <si>
    <t>SAP-8011054</t>
  </si>
  <si>
    <t>SAP Cloud Application Services for application monitoring</t>
  </si>
  <si>
    <t>SAP-8012320</t>
  </si>
  <si>
    <t>SAP-8013726</t>
  </si>
  <si>
    <t>SAP Cloud Application Services for SAP BTP core operations</t>
  </si>
  <si>
    <t>SAP-8013748</t>
  </si>
  <si>
    <t>SAP Cloud Application Services for application operations for SAP Teamcenter by Siemens</t>
  </si>
  <si>
    <t>SAP-8013752</t>
  </si>
  <si>
    <t>SAP Cloud Application Services for SAP Fioneer technical operations</t>
  </si>
  <si>
    <t>SAP-8014259</t>
  </si>
  <si>
    <t>SAP Enterprise Threat Detection, cloud edition alert monitoring (XL)</t>
  </si>
  <si>
    <t>SAP-8014265</t>
  </si>
  <si>
    <t>SAP Enterprise Threat Detection, cloud edition alert monitoring (M)</t>
  </si>
  <si>
    <t>SAP-8014287</t>
  </si>
  <si>
    <t>SAP Enterprise Threat Detection, cloud edition alert monitoring (XXL)</t>
  </si>
  <si>
    <t>SAP-8014308</t>
  </si>
  <si>
    <t>SAP Enterprise Threat Detection, cloud edition alert monitoring (L)</t>
  </si>
  <si>
    <t>SAP-8014325</t>
  </si>
  <si>
    <t>SAP Enterprise Threat Detection, cloud edition alert monitoring (S)</t>
  </si>
  <si>
    <t>SAP-8014905 -1</t>
  </si>
  <si>
    <t>SAP-8014905 - 1</t>
  </si>
  <si>
    <t>SAP-8014905 - 2</t>
  </si>
  <si>
    <t>SAP-8014905 - 3</t>
  </si>
  <si>
    <t>SAP-8014905 - 4</t>
  </si>
  <si>
    <t>SAP-8014905 - 5</t>
  </si>
  <si>
    <t>SAP-8005616</t>
  </si>
  <si>
    <t>SAP S/4HANA Cloud, customer evaluation system</t>
  </si>
  <si>
    <t>SAP-8008360 - 1</t>
  </si>
  <si>
    <t>SAP-8008360 - 2</t>
  </si>
  <si>
    <t>SAP-8008360 - 3</t>
  </si>
  <si>
    <t>SAP-8008360 - 4</t>
  </si>
  <si>
    <t>SAP-8008360 - 5</t>
  </si>
  <si>
    <t>SAP-8008360 - 6</t>
  </si>
  <si>
    <t>SAP-8008360 - 7</t>
  </si>
  <si>
    <t>SAP-8008360 - 8</t>
  </si>
  <si>
    <t>SAP-8008675</t>
  </si>
  <si>
    <t>SAP-8008678 - 1</t>
  </si>
  <si>
    <t>SAP-8008678 - 2</t>
  </si>
  <si>
    <t>SAP-8008678 - 3</t>
  </si>
  <si>
    <t>SAP-8008678 - 4</t>
  </si>
  <si>
    <t>SAP-8008678 - 5</t>
  </si>
  <si>
    <t>SAP-8008678 - 6</t>
  </si>
  <si>
    <t>SAP-8008678 - 7</t>
  </si>
  <si>
    <t>SAP-8008678 - 8</t>
  </si>
  <si>
    <t>SAP-8008685</t>
  </si>
  <si>
    <t>SAP-8008686 - 1</t>
  </si>
  <si>
    <t>SAP-8008686 - 2</t>
  </si>
  <si>
    <t>SAP-8008687</t>
  </si>
  <si>
    <t>SAP-8008688</t>
  </si>
  <si>
    <t>SAP-8008690</t>
  </si>
  <si>
    <t>SAP-8008691</t>
  </si>
  <si>
    <t>SAP-8008693</t>
  </si>
  <si>
    <t>SAP-8008695</t>
  </si>
  <si>
    <t>SAP-8008696</t>
  </si>
  <si>
    <t>SAP-8009011</t>
  </si>
  <si>
    <t>SAP-8009013</t>
  </si>
  <si>
    <t>SAP-8009014</t>
  </si>
  <si>
    <t>SAP-8010820</t>
  </si>
  <si>
    <t>SAP-8010891</t>
  </si>
  <si>
    <t>SAP-8010974</t>
  </si>
  <si>
    <t>SAP-8011007</t>
  </si>
  <si>
    <t>SAP-8011008</t>
  </si>
  <si>
    <t>SAP-8011009</t>
  </si>
  <si>
    <t>SAP-8011010</t>
  </si>
  <si>
    <t>SAP-8011011</t>
  </si>
  <si>
    <t>SAP-8011012</t>
  </si>
  <si>
    <t>SAP-8011013</t>
  </si>
  <si>
    <t>SAP-8011018</t>
  </si>
  <si>
    <t>SAP-8011084</t>
  </si>
  <si>
    <t>SAP long-term backup, monthly cloud backup with 1-year retention, private edition</t>
  </si>
  <si>
    <t>SAP-8011085</t>
  </si>
  <si>
    <t>SAP long-term backup, quarterly cloud backup with 1-year retention, private edition</t>
  </si>
  <si>
    <t>SAP-8011086</t>
  </si>
  <si>
    <t>SAP long-term backup, yearly cloud backup with 2-year retention, private edition</t>
  </si>
  <si>
    <t>SAP-8011087</t>
  </si>
  <si>
    <t>SAP long-term backup, yearly cloud backup with 3-year retention, private edition</t>
  </si>
  <si>
    <t>SAP-8011088</t>
  </si>
  <si>
    <t>SAP long-term backup, yearly backup with 4-year retention, private edition</t>
  </si>
  <si>
    <t>SAP-8012316</t>
  </si>
  <si>
    <t>RISE with SAP, 99.9% SLA</t>
  </si>
  <si>
    <t>SAP-8012323</t>
  </si>
  <si>
    <t>SAP-8013380</t>
  </si>
  <si>
    <t>SAP S/4HANA Cloud, system extension</t>
  </si>
  <si>
    <t>SAP-8013695 - 1</t>
  </si>
  <si>
    <t>SAP-8013695 - 2</t>
  </si>
  <si>
    <t>SAP-8013695 - 3</t>
  </si>
  <si>
    <t>SAP-8013695 - 4</t>
  </si>
  <si>
    <t>SAP-8013695 - 5</t>
  </si>
  <si>
    <t>SAP-8013707 - 1</t>
  </si>
  <si>
    <t>SAP-8013707 - 2</t>
  </si>
  <si>
    <t>SAP-8013707 - 3</t>
  </si>
  <si>
    <t>SAP-8013707 - 4</t>
  </si>
  <si>
    <t>SAP-8013707 - 5</t>
  </si>
  <si>
    <t>SAP-8013911 - 1</t>
  </si>
  <si>
    <t>SAP-8013911 - 2</t>
  </si>
  <si>
    <t>SAP-8013911 - 3</t>
  </si>
  <si>
    <t>SAP-8013911 - 4</t>
  </si>
  <si>
    <t>SAP-8013911 - 5</t>
  </si>
  <si>
    <t>SAP-8013911 - 6</t>
  </si>
  <si>
    <t>SAP-8013911 - 7</t>
  </si>
  <si>
    <t>SAP-8013911 - 8</t>
  </si>
  <si>
    <t>SAP-8014014 - 1</t>
  </si>
  <si>
    <t>RISE with SAP S/4HANA Cloud, base option</t>
  </si>
  <si>
    <t>SAP-8014014 - 2</t>
  </si>
  <si>
    <t>SAP-8014072</t>
  </si>
  <si>
    <t>RISE with SAP S/4HANA Cloud, private edition, base</t>
  </si>
  <si>
    <t>SAP-8014155 - 1</t>
  </si>
  <si>
    <t>SAP-8014155 - 2</t>
  </si>
  <si>
    <t>SAP-8014155 - 3</t>
  </si>
  <si>
    <t>SAP-8014155 - 4</t>
  </si>
  <si>
    <t>SAP-8014155 - 5</t>
  </si>
  <si>
    <t>SAP-8014155 - 6</t>
  </si>
  <si>
    <t>SAP-8014155 - 7</t>
  </si>
  <si>
    <t>SAP-8014155 - 8</t>
  </si>
  <si>
    <t>SAP-8014155 - 9</t>
  </si>
  <si>
    <t>SAP-8014162 - 1</t>
  </si>
  <si>
    <t>SAP-8014162 - 2</t>
  </si>
  <si>
    <t>SAP-8014162 - 3</t>
  </si>
  <si>
    <t>SAP-8014162 - 4</t>
  </si>
  <si>
    <t>SAP-8014162 - 5</t>
  </si>
  <si>
    <t>SAP-8014162 - 6</t>
  </si>
  <si>
    <t>SAP-8014162 - 7</t>
  </si>
  <si>
    <t>SAP-8014491</t>
  </si>
  <si>
    <t>SAP-8008683 - 1</t>
  </si>
  <si>
    <t>SAP S/4HANA Cloud for trade management, private edition</t>
  </si>
  <si>
    <t>SAP-8008683 - 2</t>
  </si>
  <si>
    <t>SAP-8008683 - 3</t>
  </si>
  <si>
    <t>SAP-8008683 - 4</t>
  </si>
  <si>
    <t>SAP-8008683 - 5</t>
  </si>
  <si>
    <t>SAP-8011382 - 1</t>
  </si>
  <si>
    <t>SAP Incentive Administration by Vistex for SAP S/4HANA Cloud, private edition</t>
  </si>
  <si>
    <t>SAP-8011382 - 2</t>
  </si>
  <si>
    <t>SAP-8011382 - 3</t>
  </si>
  <si>
    <t>SAP-8011382 - 4</t>
  </si>
  <si>
    <t>SAP-8011382 - 5</t>
  </si>
  <si>
    <t>SAP-8011382 - 6</t>
  </si>
  <si>
    <t>SAP-8011383 - 1</t>
  </si>
  <si>
    <t>SAP Paybacks and Chargebacks by Vistex for SAP S/4HANA Cloud, private edition</t>
  </si>
  <si>
    <t>SAP-8011383 - 2</t>
  </si>
  <si>
    <t>SAP-8011383 - 3</t>
  </si>
  <si>
    <t>SAP-8011383 - 4</t>
  </si>
  <si>
    <t>SAP-8011383 - 5</t>
  </si>
  <si>
    <t>SAP-8011383 - 6</t>
  </si>
  <si>
    <t>SAP-8011384 - 1</t>
  </si>
  <si>
    <t>SAP Promotions and Agreements by Vistex for SAP S/4HANA Cloud, private edition</t>
  </si>
  <si>
    <t>SAP-8011384 - 2</t>
  </si>
  <si>
    <t>SAP-8011384 - 3</t>
  </si>
  <si>
    <t>SAP-8011384 - 4</t>
  </si>
  <si>
    <t>SAP-8011384 - 5</t>
  </si>
  <si>
    <t>SAP-8011384 - 6</t>
  </si>
  <si>
    <t>SAP-8011385 - 1</t>
  </si>
  <si>
    <t>SAP Data Maintenance by Vistex, pricing option for SAP S/4HANA Cloud, private edition</t>
  </si>
  <si>
    <t>SAP-8011385 - 2</t>
  </si>
  <si>
    <t>SAP-8011385 - 3</t>
  </si>
  <si>
    <t>SAP-8011385 - 4</t>
  </si>
  <si>
    <t>SAP-8011385 - 5</t>
  </si>
  <si>
    <t>SAP-8011385 - 6</t>
  </si>
  <si>
    <t>SAP-8011386 - 1</t>
  </si>
  <si>
    <t>SAP Data Maintenance by Vistex, resources option for SAP S/4HANA Cloud, private edition</t>
  </si>
  <si>
    <t>SAP-8011386 - 2</t>
  </si>
  <si>
    <t>SAP-8011386 - 3</t>
  </si>
  <si>
    <t>SAP-8011386 - 4</t>
  </si>
  <si>
    <t>SAP-8011386 - 5</t>
  </si>
  <si>
    <t>SAP-8011386 - 6</t>
  </si>
  <si>
    <t>SAP-8014248</t>
  </si>
  <si>
    <t>SAP S/4HANA Cloud for trade management, private edition, standard version, additional non-productive tier (S)</t>
  </si>
  <si>
    <t>SAP-8014249</t>
  </si>
  <si>
    <t>SAP S/4HANA Cloud for trade management, private edition, standard version, additional non-productive tier (M)</t>
  </si>
  <si>
    <t>SAP-8014250</t>
  </si>
  <si>
    <t>SAP S/4HANA Cloud for trade management, private edition, standard version, additional non-productive tier (XL)</t>
  </si>
  <si>
    <t>SAP-8014260</t>
  </si>
  <si>
    <t>SAP S/4HANA Cloud for trade management, private edition, standard version, additional non-productive tier (XXL)</t>
  </si>
  <si>
    <t>SAP-8014288</t>
  </si>
  <si>
    <t>SAP S/4HANA Cloud for trade management, private edition, standard version, additional non-productive tier (L)</t>
  </si>
  <si>
    <t>SAP-8014309 - 1</t>
  </si>
  <si>
    <t>SAP S/4HANA Cloud for trade management, private edition, standard version</t>
  </si>
  <si>
    <t>SAP-8014309 - 2</t>
  </si>
  <si>
    <t>SAP-8014309 - 3</t>
  </si>
  <si>
    <t>SAP-8014309 - 4</t>
  </si>
  <si>
    <t>SAP-8014309 - 5</t>
  </si>
  <si>
    <t>SAP-8006223 - 1</t>
  </si>
  <si>
    <t>SAP-8006223 - 2</t>
  </si>
  <si>
    <t>SAP-8006223 - 3</t>
  </si>
  <si>
    <t>SAP-8006223 - 4</t>
  </si>
  <si>
    <t>SAP-8006223 - 5</t>
  </si>
  <si>
    <t>SAP-8008204 - 1</t>
  </si>
  <si>
    <t>SAP S/4HANA Cloud for asset management for resource scheduling</t>
  </si>
  <si>
    <t>SAP-8008204 - 2</t>
  </si>
  <si>
    <t>SAP-8008204 - 3</t>
  </si>
  <si>
    <t>SAP-8008204 - 4</t>
  </si>
  <si>
    <t>SAP-8008204 - 5</t>
  </si>
  <si>
    <t>SAP-8008663 - 1</t>
  </si>
  <si>
    <t>SAP-8008663 - 2</t>
  </si>
  <si>
    <t>SAP-8008663 - 3</t>
  </si>
  <si>
    <t>SAP-8008666 - 1</t>
  </si>
  <si>
    <t>SAP-8008666 - 2</t>
  </si>
  <si>
    <t>SAP-8008666 - 3</t>
  </si>
  <si>
    <t>SAP-8008672 - 1</t>
  </si>
  <si>
    <t>SAP-8008672 - 2</t>
  </si>
  <si>
    <t>SAP-8008672 - 3</t>
  </si>
  <si>
    <t>SAP-8008672 - 4</t>
  </si>
  <si>
    <t>SAP-8008672 - 5</t>
  </si>
  <si>
    <t>SAP-8008701 - 1</t>
  </si>
  <si>
    <t>SAP-8008701 - 2</t>
  </si>
  <si>
    <t>SAP-8008701 - 3</t>
  </si>
  <si>
    <t>SAP-8008707 - 1</t>
  </si>
  <si>
    <t>SAP S/4HANA Cloud for advanced variant configuration, professional edition, private edition</t>
  </si>
  <si>
    <t>SAP-8008707 - 2</t>
  </si>
  <si>
    <t>SAP-8008707 - 3</t>
  </si>
  <si>
    <t>SAP-8008715 - 1</t>
  </si>
  <si>
    <t>SAP-8008715 - 2</t>
  </si>
  <si>
    <t>SAP-8008715 - 3</t>
  </si>
  <si>
    <t>SAP-8008720 - 1</t>
  </si>
  <si>
    <t>SAP-8008720 - 2</t>
  </si>
  <si>
    <t>SAP-8008720 - 3</t>
  </si>
  <si>
    <t>SAP-8008732 - 1</t>
  </si>
  <si>
    <t>SAP-8008732 - 2</t>
  </si>
  <si>
    <t>SAP-8008732 - 3</t>
  </si>
  <si>
    <t>SAP-8008733 - 1</t>
  </si>
  <si>
    <t>SAP-8008733 - 2</t>
  </si>
  <si>
    <t>SAP-8008733 - 3</t>
  </si>
  <si>
    <t>SAP-8008736 - 1</t>
  </si>
  <si>
    <t>SAP-8008736 - 2</t>
  </si>
  <si>
    <t>SAP-8008736 - 3</t>
  </si>
  <si>
    <t>SAP-8008776 - 1</t>
  </si>
  <si>
    <t>SAP S/4HANA Cloud for advanced variant configuration, standard edition, private edition</t>
  </si>
  <si>
    <t>SAP-8008776 - 2</t>
  </si>
  <si>
    <t>SAP-8008776 - 3</t>
  </si>
  <si>
    <t>SAP-8008792 - 1</t>
  </si>
  <si>
    <t>SAP-8008792 - 2</t>
  </si>
  <si>
    <t>SAP-8008792 - 3</t>
  </si>
  <si>
    <t>SAP-8008792 - 4</t>
  </si>
  <si>
    <t>SAP-8009052 - 1</t>
  </si>
  <si>
    <t>SAP-8009052 - 2</t>
  </si>
  <si>
    <t>SAP-8009052 - 3</t>
  </si>
  <si>
    <t>SAP-8009053 - 1</t>
  </si>
  <si>
    <t>SAP-8009053 - 2</t>
  </si>
  <si>
    <t>SAP-8009053 - 3</t>
  </si>
  <si>
    <t>SAP-8010766 - 1</t>
  </si>
  <si>
    <t>SAP-8010766 - 2</t>
  </si>
  <si>
    <t>SAP-8010766 - 3</t>
  </si>
  <si>
    <t>SAP-8010766 - 4</t>
  </si>
  <si>
    <t>SAP-8010766 - 5</t>
  </si>
  <si>
    <t>SAP-8010769 - 1</t>
  </si>
  <si>
    <t>SAP-8010769 - 2</t>
  </si>
  <si>
    <t>SAP-8010769 - 3</t>
  </si>
  <si>
    <t>SAP-8010771 - 1</t>
  </si>
  <si>
    <t>SAP-8010771 - 2</t>
  </si>
  <si>
    <t>SAP-8010771 - 3</t>
  </si>
  <si>
    <t>SAP-8010773 - 1</t>
  </si>
  <si>
    <t>SAP-8010773 - 2</t>
  </si>
  <si>
    <t>SAP-8010773 - 3</t>
  </si>
  <si>
    <t>SAP-8010778 - 1</t>
  </si>
  <si>
    <t>SAP-8010778 - 2</t>
  </si>
  <si>
    <t>SAP-8010778 - 3</t>
  </si>
  <si>
    <t>SAP-8010796 - 1</t>
  </si>
  <si>
    <t>SAP-8010796 - 2</t>
  </si>
  <si>
    <t>SAP-8010796 - 3</t>
  </si>
  <si>
    <t>SAP-8010803 - 1</t>
  </si>
  <si>
    <t>SAP-8010803 - 2</t>
  </si>
  <si>
    <t>SAP-8010803 - 3</t>
  </si>
  <si>
    <t>SAP-8010951 - 1</t>
  </si>
  <si>
    <t>SAP-8010951 - 2</t>
  </si>
  <si>
    <t>SAP-8010951 - 3</t>
  </si>
  <si>
    <t>SAP-8010951 - 4</t>
  </si>
  <si>
    <t>SAP-8010951 - 5</t>
  </si>
  <si>
    <t>SAP-8010951 - 6</t>
  </si>
  <si>
    <t>SAP-8011130 - 1</t>
  </si>
  <si>
    <t>SAP-8011130 - 2</t>
  </si>
  <si>
    <t>SAP-8011130 - 3</t>
  </si>
  <si>
    <t>SAP-8011130 - 4</t>
  </si>
  <si>
    <t>SAP-8011130 - 5</t>
  </si>
  <si>
    <t>SAP-8011336 - 1</t>
  </si>
  <si>
    <t>SAP-8011336 - 2</t>
  </si>
  <si>
    <t>SAP-8011336 - 3</t>
  </si>
  <si>
    <t>SAP-8011553 - 1</t>
  </si>
  <si>
    <t>SAP-8011553 - 2</t>
  </si>
  <si>
    <t>SAP-8011553 - 3</t>
  </si>
  <si>
    <t>SAP-8011553 - 4</t>
  </si>
  <si>
    <t>SAP-8011553 - 5</t>
  </si>
  <si>
    <t>SAP-8011561 - 1</t>
  </si>
  <si>
    <t>SAP-8011561 - 2</t>
  </si>
  <si>
    <t>SAP-8011561 - 3</t>
  </si>
  <si>
    <t>SAP-8012181 - 1</t>
  </si>
  <si>
    <t>SAP-8012181 - 2</t>
  </si>
  <si>
    <t>SAP-8012181 - 3</t>
  </si>
  <si>
    <t>SAP-8012181 - 4</t>
  </si>
  <si>
    <t>SAP-8012181 - 5</t>
  </si>
  <si>
    <t>SAP-8012181 - 6</t>
  </si>
  <si>
    <t>SAP-8012229 - 1</t>
  </si>
  <si>
    <t>PLM system integration for SAP S/4HANA, private cloud edition</t>
  </si>
  <si>
    <t>SAP-8012229 - 2</t>
  </si>
  <si>
    <t>SAP-8012229 - 3</t>
  </si>
  <si>
    <t>SAP-8012229 - 4</t>
  </si>
  <si>
    <t>SAP-8012229 - 5</t>
  </si>
  <si>
    <t>SAP-8012318 - 1</t>
  </si>
  <si>
    <t>SAP-8012318 - 2</t>
  </si>
  <si>
    <t>SAP-8012318 - 3</t>
  </si>
  <si>
    <t>SAP-8012318 - 4</t>
  </si>
  <si>
    <t>SAP-8012318 - 5</t>
  </si>
  <si>
    <t>SAP-8012527 - 1</t>
  </si>
  <si>
    <t>SAP-8012527 - 2</t>
  </si>
  <si>
    <t>SAP-8012527 - 3</t>
  </si>
  <si>
    <t>SAP-8012527 - 4</t>
  </si>
  <si>
    <t>SAP-8012527 - 5</t>
  </si>
  <si>
    <t>SAP-8012527 - 6</t>
  </si>
  <si>
    <t>SAP-8012528</t>
  </si>
  <si>
    <t>SAP S/4HANA Cloud for projects, additional storage</t>
  </si>
  <si>
    <t>SAP-8012541 - 1</t>
  </si>
  <si>
    <t>SAP-8012541 - 2</t>
  </si>
  <si>
    <t>SAP-8012541 - 3</t>
  </si>
  <si>
    <t>SAP-8012541 - 4</t>
  </si>
  <si>
    <t>SAP-8012672</t>
  </si>
  <si>
    <t>SAP-8012673</t>
  </si>
  <si>
    <t>SAP-8012674</t>
  </si>
  <si>
    <t>SAP-8012675</t>
  </si>
  <si>
    <t>SAP-8012676</t>
  </si>
  <si>
    <t>SAP-8013357</t>
  </si>
  <si>
    <t>SAP-8013358</t>
  </si>
  <si>
    <t>SAP-8013359</t>
  </si>
  <si>
    <t>SAP-8013365 - 1</t>
  </si>
  <si>
    <t>SAP-8013365 - 2</t>
  </si>
  <si>
    <t>SAP-8013365 - 3</t>
  </si>
  <si>
    <t>SAP-8013365 - 4</t>
  </si>
  <si>
    <t>SAP-8013365 - 5</t>
  </si>
  <si>
    <t>SAP-8013365 - 6</t>
  </si>
  <si>
    <t>SAP-8013366 - 1</t>
  </si>
  <si>
    <t>SAP-8013366 - 2</t>
  </si>
  <si>
    <t>SAP-8013366 - 3</t>
  </si>
  <si>
    <t>SAP-8013366 - 4</t>
  </si>
  <si>
    <t>SAP-8013366 - 5</t>
  </si>
  <si>
    <t>SAP-8013366 - 6</t>
  </si>
  <si>
    <t>SAP-8013367 - 1</t>
  </si>
  <si>
    <t>SAP-8013367 - 2</t>
  </si>
  <si>
    <t>SAP-8013367 - 3</t>
  </si>
  <si>
    <t>SAP-8013367 - 4</t>
  </si>
  <si>
    <t>SAP-8013367 - 5</t>
  </si>
  <si>
    <t>SAP-8013367 - 6</t>
  </si>
  <si>
    <t>SAP-8013626 - 1</t>
  </si>
  <si>
    <t>SAP-8013626 - 2</t>
  </si>
  <si>
    <t>SAP-8013626 - 3</t>
  </si>
  <si>
    <t>SAP-8013626 - 4</t>
  </si>
  <si>
    <t>SAP-8013626 - 5</t>
  </si>
  <si>
    <t>SAP-8013629 - 1</t>
  </si>
  <si>
    <t>SAP-8013629 - 2</t>
  </si>
  <si>
    <t>SAP-8013629 - 3</t>
  </si>
  <si>
    <t>SAP-8013629 - 4</t>
  </si>
  <si>
    <t>SAP-8013629 - 5</t>
  </si>
  <si>
    <t>SAP-8013639 - 1</t>
  </si>
  <si>
    <t>SAP Engineering Control Center Interface to EPLAN, private cloud edition</t>
  </si>
  <si>
    <t>SAP-8013639 - 2</t>
  </si>
  <si>
    <t>SAP-8013639 - 3</t>
  </si>
  <si>
    <t>SAP-8013640 - 1</t>
  </si>
  <si>
    <t>SAP S/4HANA Cloud for Transportation Management, private edition</t>
  </si>
  <si>
    <t>SAP-8013640 - 2</t>
  </si>
  <si>
    <t>SAP-8013640 - 3</t>
  </si>
  <si>
    <t>SAP-8013640 - 4</t>
  </si>
  <si>
    <t>SAP-8013645 - 1</t>
  </si>
  <si>
    <t>SAP-8013645 - 2</t>
  </si>
  <si>
    <t>SAP-8013645 - 3</t>
  </si>
  <si>
    <t>SAP-8013645 - 4</t>
  </si>
  <si>
    <t>SAP-8013645 - 5</t>
  </si>
  <si>
    <t>SAP-8013648 - 1</t>
  </si>
  <si>
    <t>SAP-8013648 - 2</t>
  </si>
  <si>
    <t>SAP-8013648 - 3</t>
  </si>
  <si>
    <t>SAP-8013648 - 4</t>
  </si>
  <si>
    <t>SAP-8013648 - 5</t>
  </si>
  <si>
    <t>SAP-8013648 - 6</t>
  </si>
  <si>
    <t>SAP-8013650 - 1</t>
  </si>
  <si>
    <t>SAP-8013650 - 2</t>
  </si>
  <si>
    <t>SAP-8013650 - 3</t>
  </si>
  <si>
    <t>SAP-8013650 - 4</t>
  </si>
  <si>
    <t>SAP-8013699 - 1</t>
  </si>
  <si>
    <t>SAP-8013699 - 2</t>
  </si>
  <si>
    <t>SAP-8013699 - 3</t>
  </si>
  <si>
    <t>SAP-8013699 - 4</t>
  </si>
  <si>
    <t>SAP-8013699 - 5</t>
  </si>
  <si>
    <t>SAP-8013699 - 6</t>
  </si>
  <si>
    <t>SAP-8013714 - 1</t>
  </si>
  <si>
    <t>SAP-8013714 - 2</t>
  </si>
  <si>
    <t>SAP-8013714 - 3</t>
  </si>
  <si>
    <t>SAP-8013714 - 4</t>
  </si>
  <si>
    <t>SAP-8013723 - 1</t>
  </si>
  <si>
    <t>SAP-8013723 - 2</t>
  </si>
  <si>
    <t>SAP-8013723 - 3</t>
  </si>
  <si>
    <t>SAP-8013723 - 4</t>
  </si>
  <si>
    <t>SAP-8013723 - 5</t>
  </si>
  <si>
    <t>SAP-8013723 - 6</t>
  </si>
  <si>
    <t>SAP-8013724 - 1</t>
  </si>
  <si>
    <t>SAP-8013724 - 2</t>
  </si>
  <si>
    <t>SAP-8013724 - 3</t>
  </si>
  <si>
    <t>SAP-8013724 - 4</t>
  </si>
  <si>
    <t>SAP-8013724 - 5</t>
  </si>
  <si>
    <t>SAP-8013729 - 1</t>
  </si>
  <si>
    <t>SAP-8013729 - 2</t>
  </si>
  <si>
    <t>SAP-8013729 - 3</t>
  </si>
  <si>
    <t>SAP-8013729 - 4</t>
  </si>
  <si>
    <t>SAP-8013729 - 5</t>
  </si>
  <si>
    <t>SAP-8013729 - 6</t>
  </si>
  <si>
    <t>SAP-8013736 - 1</t>
  </si>
  <si>
    <t>SAP Engineering Control Center Interface to SolidWorks, private cloud edition</t>
  </si>
  <si>
    <t>SAP-8013736 - 2</t>
  </si>
  <si>
    <t>SAP-8013736 - 3</t>
  </si>
  <si>
    <t>SAP-8013744 - 1</t>
  </si>
  <si>
    <t>SAP-8013744 - 2</t>
  </si>
  <si>
    <t>SAP-8013744 - 3</t>
  </si>
  <si>
    <t>SAP-8013744 - 4</t>
  </si>
  <si>
    <t>SAP-8013744 - 5</t>
  </si>
  <si>
    <t>SAP-8013744 - 6</t>
  </si>
  <si>
    <t>SAP-8013746 - 1</t>
  </si>
  <si>
    <t>SAP-8013746 - 2</t>
  </si>
  <si>
    <t>SAP-8013746 - 3</t>
  </si>
  <si>
    <t>SAP-8013746 - 4</t>
  </si>
  <si>
    <t>SAP-8013750 - 1</t>
  </si>
  <si>
    <t>SAP Engineering Control Center Interface to Inventor, private cloud edition</t>
  </si>
  <si>
    <t>SAP-8013750 - 2</t>
  </si>
  <si>
    <t>SAP-8013750 - 3</t>
  </si>
  <si>
    <t>SAP-8013762 - 1</t>
  </si>
  <si>
    <t>SAP Engineering Control Center Interface to ECAD, private cloud edition</t>
  </si>
  <si>
    <t>SAP-8013762 - 2</t>
  </si>
  <si>
    <t>SAP-8013762 - 3</t>
  </si>
  <si>
    <t>SAP-8013763 - 1</t>
  </si>
  <si>
    <t>SAP Engineering Control Center Interface to ZUKEN, private cloud edition</t>
  </si>
  <si>
    <t>SAP-8013763 - 2</t>
  </si>
  <si>
    <t>SAP-8013763 - 3</t>
  </si>
  <si>
    <t>SAP-8013774 - 1</t>
  </si>
  <si>
    <t>SAP Engineering Control Center Interface to NX, private cloud edition</t>
  </si>
  <si>
    <t>SAP-8013774 - 2</t>
  </si>
  <si>
    <t>SAP-8013774 - 3</t>
  </si>
  <si>
    <t>SAP-8013788 - 1</t>
  </si>
  <si>
    <t>SAP-8013788 - 2</t>
  </si>
  <si>
    <t>SAP-8013788 - 3</t>
  </si>
  <si>
    <t>SAP-8013788 - 4</t>
  </si>
  <si>
    <t>SAP-8013788 - 5</t>
  </si>
  <si>
    <t>SAP-8013788 - 6</t>
  </si>
  <si>
    <t>SAP-8013791 - 1</t>
  </si>
  <si>
    <t>SAP Engineering Control Center Interface to AutoCAD, private cloud edition</t>
  </si>
  <si>
    <t>SAP-8013791 - 2</t>
  </si>
  <si>
    <t>SAP-8013791 - 3</t>
  </si>
  <si>
    <t>SAP-8013801 - 1</t>
  </si>
  <si>
    <t>SAP Engineering Control Center Interface to Solid Edge, private cloud edition</t>
  </si>
  <si>
    <t>SAP-8013801 - 2</t>
  </si>
  <si>
    <t>SAP-8013801 - 3</t>
  </si>
  <si>
    <t>SAP-8013802 - 1</t>
  </si>
  <si>
    <t>SAP Manufacturing Integration and Intelligence, private cloud edition</t>
  </si>
  <si>
    <t>SAP-8013802 - 2</t>
  </si>
  <si>
    <t>SAP-8013802 - 3</t>
  </si>
  <si>
    <t>SAP-8013802 - 4</t>
  </si>
  <si>
    <t>SAP-8013802 - 5</t>
  </si>
  <si>
    <t>SAP-8013805 - 1</t>
  </si>
  <si>
    <t>SAP-8013805 - 2</t>
  </si>
  <si>
    <t>SAP-8013805 - 3</t>
  </si>
  <si>
    <t>SAP-8013805 - 4</t>
  </si>
  <si>
    <t>SAP-8013805 - 5</t>
  </si>
  <si>
    <t>SAP-8013934</t>
  </si>
  <si>
    <t>SAP Advanced Planning and Optimization, private cloud edition (S)</t>
  </si>
  <si>
    <t>SAP-8013961</t>
  </si>
  <si>
    <t>SAP Advanced Planning and Optimization, private cloud edition (M)</t>
  </si>
  <si>
    <t>SAP-8013971</t>
  </si>
  <si>
    <t>SAP Advanced Planning and Optimization, private cloud edition (L)</t>
  </si>
  <si>
    <t>SAP-8013981 - 1</t>
  </si>
  <si>
    <t>SAP Engineering Control Center Interface to CATIA V5, private cloud edition</t>
  </si>
  <si>
    <t>SAP-8013981 - 2</t>
  </si>
  <si>
    <t>SAP-8013981 - 3</t>
  </si>
  <si>
    <t>SAP-8013991 - 4</t>
  </si>
  <si>
    <t>SAP Engineering Control Center Interface to PTC Creo, private edition</t>
  </si>
  <si>
    <t>SAP-8013991 - 5</t>
  </si>
  <si>
    <t>SAP-8013991 - 6</t>
  </si>
  <si>
    <t>SAP-8014121</t>
  </si>
  <si>
    <t>SAP Advanced Planning and Optimization, private cloud edition, additional productive tier (S)</t>
  </si>
  <si>
    <t>SAP-8014122</t>
  </si>
  <si>
    <t>SAP Advanced Planning and Optimization, private cloud edition, additional non-productive tier (L)</t>
  </si>
  <si>
    <t>SAP-8014131</t>
  </si>
  <si>
    <t>SAP Advanced Planning and Optimization, private cloud edition, additional productive tier (M)</t>
  </si>
  <si>
    <t>SAP-8014141</t>
  </si>
  <si>
    <t>SAP Advanced Planning and Optimization, private cloud edition, additional productive tier (L)</t>
  </si>
  <si>
    <t>SAP-8014151</t>
  </si>
  <si>
    <t>SAP Advanced Planning and Optimization, private cloud edition, additional non-productive tier (S)</t>
  </si>
  <si>
    <t>SAP-8014161</t>
  </si>
  <si>
    <t>SAP Advanced Planning and Optimization, private cloud edition, additional non-productive tier (M)</t>
  </si>
  <si>
    <t>SAP-8014245 - 1</t>
  </si>
  <si>
    <t>SAP product data management integration to PTC Windchill, private cloud edition</t>
  </si>
  <si>
    <t>SAP-8014245 - 2</t>
  </si>
  <si>
    <t>SAP-8014245 - 3</t>
  </si>
  <si>
    <t>SAP-8014245 - 4</t>
  </si>
  <si>
    <t>SAP-8014245 - 5</t>
  </si>
  <si>
    <t>SAP-8014262 - 1</t>
  </si>
  <si>
    <t>SAP product data management integration to 3DEXPERIENCE, private cloud edition</t>
  </si>
  <si>
    <t>SAP-8014262 - 2</t>
  </si>
  <si>
    <t>SAP-8014262 - 3</t>
  </si>
  <si>
    <t>SAP-8014262 - 4</t>
  </si>
  <si>
    <t>SAP-8014262 - 5</t>
  </si>
  <si>
    <t>SAP-8014271 - 1</t>
  </si>
  <si>
    <t>SAP product data management integration to Teamcenter, private cloud edition</t>
  </si>
  <si>
    <t>SAP-8014271 - 2</t>
  </si>
  <si>
    <t>SAP-8014271 - 3</t>
  </si>
  <si>
    <t>SAP-8014271 - 4</t>
  </si>
  <si>
    <t>SAP-8014271 - 5</t>
  </si>
  <si>
    <t>SAP-8014434 - 1</t>
  </si>
  <si>
    <t>SAP-8014434 - 2</t>
  </si>
  <si>
    <t>SAP-8014434 - 3</t>
  </si>
  <si>
    <t>SAP-8014434 - 4</t>
  </si>
  <si>
    <t>SAP-8014446 - 1</t>
  </si>
  <si>
    <t>SAP S/4HANA Cloud for EHS workplace safety</t>
  </si>
  <si>
    <t>SAP-8014446 - 2</t>
  </si>
  <si>
    <t>SAP-8014446 - 3</t>
  </si>
  <si>
    <t>SAP-8014446 - 4</t>
  </si>
  <si>
    <t>SAP-8014656 - 1</t>
  </si>
  <si>
    <t>Global Batch Traceability, private cloud edition</t>
  </si>
  <si>
    <t>SAP-8014656 - 2</t>
  </si>
  <si>
    <t>SAP-8014656 - 3</t>
  </si>
  <si>
    <t>SAP-8014656 - 4</t>
  </si>
  <si>
    <t>SAP-8014656 - 5</t>
  </si>
  <si>
    <t>SAP-8014793 - 1</t>
  </si>
  <si>
    <t>SAP-8014793 - 2</t>
  </si>
  <si>
    <t>SAP-8014793 - 3</t>
  </si>
  <si>
    <t>SAP-8014793 - 4</t>
  </si>
  <si>
    <t>SAP-8014826 - 1</t>
  </si>
  <si>
    <t>SAP-8014826 - 2</t>
  </si>
  <si>
    <t>SAP-8014826 - 3</t>
  </si>
  <si>
    <t>SAP-8014826 - 4</t>
  </si>
  <si>
    <t>SAP-8014826 - 5</t>
  </si>
  <si>
    <t>SAP-8014827 - 1</t>
  </si>
  <si>
    <t>SAP-8014827 - 2</t>
  </si>
  <si>
    <t>SAP-8014827 - 3</t>
  </si>
  <si>
    <t>SAP-8014827 - 4</t>
  </si>
  <si>
    <t>SAP-8014827 - 5</t>
  </si>
  <si>
    <t>SAP-8014827 - 6</t>
  </si>
  <si>
    <t>SAP-8014827 - 7</t>
  </si>
  <si>
    <t>SAP-8014827 - 8</t>
  </si>
  <si>
    <t>SAP-8014841 - 1</t>
  </si>
  <si>
    <t>SAP S/4HANA Cloud for EHS workplace safety, private edition</t>
  </si>
  <si>
    <t>SAP-8014841 - 2</t>
  </si>
  <si>
    <t>SAP-8014841 - 3</t>
  </si>
  <si>
    <t>SAP-8014841 - 4</t>
  </si>
  <si>
    <t>SAP-8014883 - 1</t>
  </si>
  <si>
    <t>SAP-8014883 - 2</t>
  </si>
  <si>
    <t>SAP-8014883 - 3</t>
  </si>
  <si>
    <t>SAP-8014883 - 4</t>
  </si>
  <si>
    <t>SAP-8014883 - 5</t>
  </si>
  <si>
    <t>SAP-8005822 - 1</t>
  </si>
  <si>
    <t>SAP-8005822 - 2</t>
  </si>
  <si>
    <t>SAP-8005822 - 3</t>
  </si>
  <si>
    <t>SAP-8005822 - 4</t>
  </si>
  <si>
    <t>SAP-8005822 - 5</t>
  </si>
  <si>
    <t>SAP-8008659 - 1</t>
  </si>
  <si>
    <t>SAP-8008659 - 2</t>
  </si>
  <si>
    <t>SAP-8008659 - 3</t>
  </si>
  <si>
    <t>SAP-8008659 - 4</t>
  </si>
  <si>
    <t>SAP-8008659 - 5</t>
  </si>
  <si>
    <t>SAP-8008679 - 1</t>
  </si>
  <si>
    <t>SAP-8008679 - 2</t>
  </si>
  <si>
    <t>SAP-8008679 - 3</t>
  </si>
  <si>
    <t>SAP-8008679 - 4</t>
  </si>
  <si>
    <t>SAP-8008679 - 5</t>
  </si>
  <si>
    <t>SAP-8008692 - 6</t>
  </si>
  <si>
    <t>SAP S/4HANA Cloud for solution sales configuration, private edition</t>
  </si>
  <si>
    <t>SAP-8008692 - 1</t>
  </si>
  <si>
    <t>SAP-8008692 - 2</t>
  </si>
  <si>
    <t>SAP-8008747 - 1</t>
  </si>
  <si>
    <t>SAP-8008747 - 2</t>
  </si>
  <si>
    <t>SAP-8008747 - 3</t>
  </si>
  <si>
    <t>SAP-8008747 - 4</t>
  </si>
  <si>
    <t>SAP-8008747 - 5</t>
  </si>
  <si>
    <t>SAP-8008797 - 1</t>
  </si>
  <si>
    <t>SAP-8008797 - 2</t>
  </si>
  <si>
    <t>SAP-8008797 - 3</t>
  </si>
  <si>
    <t>SAP-8008797 - 4</t>
  </si>
  <si>
    <t>SAP-8008797 - 5</t>
  </si>
  <si>
    <t>SAP-8008909 - 1</t>
  </si>
  <si>
    <t>SAP-8008909 - 2</t>
  </si>
  <si>
    <t>SAP-8008909 - 3</t>
  </si>
  <si>
    <t>SAP-8008909 - 4</t>
  </si>
  <si>
    <t>SAP-8008909 - 5</t>
  </si>
  <si>
    <t>SAP-8008909 - 6</t>
  </si>
  <si>
    <t>SAP-8008936</t>
  </si>
  <si>
    <t>SAP-8009242 - 1</t>
  </si>
  <si>
    <t>SAP-8009242 - 2</t>
  </si>
  <si>
    <t>SAP-8009242 - 3</t>
  </si>
  <si>
    <t>SAP-8009243 - 1</t>
  </si>
  <si>
    <t>SAP-8009243 - 2</t>
  </si>
  <si>
    <t>SAP-8009243 - 3</t>
  </si>
  <si>
    <t>SAP-8010753 - 1</t>
  </si>
  <si>
    <t>SAP-8010753 - 2</t>
  </si>
  <si>
    <t>SAP-8010753 - 3</t>
  </si>
  <si>
    <t>SAP-8010753 - 4</t>
  </si>
  <si>
    <t>SAP-8010753 - 5</t>
  </si>
  <si>
    <t>SAP-8010955 - 1</t>
  </si>
  <si>
    <t>SAP S/4HANA Cloud for contract, lease, and real estate management, private edition</t>
  </si>
  <si>
    <t>SAP-8010955 - 2</t>
  </si>
  <si>
    <t>SAP-8010955 - 3</t>
  </si>
  <si>
    <t>SAP-8010955 - 4</t>
  </si>
  <si>
    <t>SAP-8010955 - 5</t>
  </si>
  <si>
    <t>SAP-8011042 - 1</t>
  </si>
  <si>
    <t>SAP-8011042 - 2</t>
  </si>
  <si>
    <t>SAP-8011042 - 3</t>
  </si>
  <si>
    <t>SAP-8011097 - 4</t>
  </si>
  <si>
    <t>SAP-8011296 - 1</t>
  </si>
  <si>
    <t>SAP Central Finance Data Harmonization by Magnitude for SAP S/4HANA Cloud</t>
  </si>
  <si>
    <t>SAP-8011296 - 2</t>
  </si>
  <si>
    <t>SAP-8011296 - 3</t>
  </si>
  <si>
    <t>SAP-8011296 - 4</t>
  </si>
  <si>
    <t>SAP-8011296 - 5</t>
  </si>
  <si>
    <t>SAP-8011297 - 1</t>
  </si>
  <si>
    <t>SAP Central Finance Transaction Replication by Magnitude for SAP S/4HANA Cloud</t>
  </si>
  <si>
    <t>SAP-8011297 - 2</t>
  </si>
  <si>
    <t>SAP-8011297 - 3</t>
  </si>
  <si>
    <t>SAP-8011297 - 4</t>
  </si>
  <si>
    <t>SAP-8011297 - 5</t>
  </si>
  <si>
    <t>SAP-8011543 - 1</t>
  </si>
  <si>
    <t>SAP-8011543 - 2</t>
  </si>
  <si>
    <t>SAP-8011543 - 3</t>
  </si>
  <si>
    <t>SAP-8011543 - 4</t>
  </si>
  <si>
    <t>SAP-8012125 - 1</t>
  </si>
  <si>
    <t>SAP-8012125 - 2</t>
  </si>
  <si>
    <t>SAP-8012125 - 3</t>
  </si>
  <si>
    <t>SAP-8012125 - 4</t>
  </si>
  <si>
    <t>SAP-8012143</t>
  </si>
  <si>
    <t>SAP-8012144</t>
  </si>
  <si>
    <t>SAP-8012145</t>
  </si>
  <si>
    <t>SAP-8012146</t>
  </si>
  <si>
    <t>SAP-8012147</t>
  </si>
  <si>
    <t>SAP-8012152 - 1</t>
  </si>
  <si>
    <t>SAP-8012152 - 2</t>
  </si>
  <si>
    <t>SAP-8012152 - 3</t>
  </si>
  <si>
    <t>SAP-8012153 - 1</t>
  </si>
  <si>
    <t>SAP-8012153 - 2</t>
  </si>
  <si>
    <t>SAP-8012153 - 3</t>
  </si>
  <si>
    <t>SAP-8012479 - 1</t>
  </si>
  <si>
    <t>SAP-8012479 - 2</t>
  </si>
  <si>
    <t>SAP-8012479 - 3</t>
  </si>
  <si>
    <t>SAP-8012479 - 4</t>
  </si>
  <si>
    <t>SAP-8012479 - 5</t>
  </si>
  <si>
    <t>SAP-8013493 - 1</t>
  </si>
  <si>
    <t>SAP-8013493 - 2</t>
  </si>
  <si>
    <t>SAP-8013493 - 3</t>
  </si>
  <si>
    <t>SAP-8013493 - 4</t>
  </si>
  <si>
    <t>SAP-8013493 - 5</t>
  </si>
  <si>
    <t>SAP-8013493 - 6</t>
  </si>
  <si>
    <t>SAP-8013503 - 1</t>
  </si>
  <si>
    <t>SAP-8013503 - 2</t>
  </si>
  <si>
    <t>SAP-8013503 - 3</t>
  </si>
  <si>
    <t>SAP-8013503 - 4</t>
  </si>
  <si>
    <t>SAP-8013503 - 5</t>
  </si>
  <si>
    <t>SAP-8013503 - 6</t>
  </si>
  <si>
    <t>SAP-8013628</t>
  </si>
  <si>
    <t>SAP-8013649 - 1</t>
  </si>
  <si>
    <t>SAP-8013649 - 2</t>
  </si>
  <si>
    <t>SAP-8013649 - 3</t>
  </si>
  <si>
    <t>SAP-8013653 - 4</t>
  </si>
  <si>
    <t>SAP-8013653 - 5</t>
  </si>
  <si>
    <t>SAP-8013653 - 6</t>
  </si>
  <si>
    <t>SAP-8013653 - 1</t>
  </si>
  <si>
    <t>SAP-8013653 - 2</t>
  </si>
  <si>
    <t>SAP-8013658 - 1</t>
  </si>
  <si>
    <t>SAP Document and Reporting Compliance for S/4HANA Cloud, public edition</t>
  </si>
  <si>
    <t>SAP-8013658 - 2</t>
  </si>
  <si>
    <t>SAP-8013658 - 3</t>
  </si>
  <si>
    <t>SAP-8013658 - 4</t>
  </si>
  <si>
    <t>SAP-8013658 - 5</t>
  </si>
  <si>
    <t>SAP-8013668 - 1</t>
  </si>
  <si>
    <t>SAP-8013668 - 2</t>
  </si>
  <si>
    <t>SAP-8013668 - 3</t>
  </si>
  <si>
    <t>SAP-8013668 - 4</t>
  </si>
  <si>
    <t>SAP-8013668 - 5</t>
  </si>
  <si>
    <t>SAP-8013693 - 1</t>
  </si>
  <si>
    <t>SAP-8013693 - 2</t>
  </si>
  <si>
    <t>SAP-8013693 - 3</t>
  </si>
  <si>
    <t>SAP-8013693 - 4</t>
  </si>
  <si>
    <t>SAP-8013693 - 5</t>
  </si>
  <si>
    <t>SAP-8013708 - 1</t>
  </si>
  <si>
    <t>SAP Global Trade Services, edition for HANA, private edition</t>
  </si>
  <si>
    <t>SAP-8013708 - 2</t>
  </si>
  <si>
    <t>SAP-8013708 - 3</t>
  </si>
  <si>
    <t>SAP-8013708 - 4</t>
  </si>
  <si>
    <t>SAP-8013708 - 5</t>
  </si>
  <si>
    <t>SAP-8013710 - 1</t>
  </si>
  <si>
    <t>SAP S/4HANA Cloud for group reporting</t>
  </si>
  <si>
    <t>SAP-8013710 - 2</t>
  </si>
  <si>
    <t>SAP-8013710 - 3</t>
  </si>
  <si>
    <t>SAP-8013710 - 4</t>
  </si>
  <si>
    <t>SAP-8013710 - 5</t>
  </si>
  <si>
    <t>SAP-8013715 - 1</t>
  </si>
  <si>
    <t>SAP-8013715 - 2</t>
  </si>
  <si>
    <t>SAP-8013715 - 3</t>
  </si>
  <si>
    <t>SAP-8013732 - 1</t>
  </si>
  <si>
    <t>SAP-8013732 - 2</t>
  </si>
  <si>
    <t>SAP-8013732 - 3</t>
  </si>
  <si>
    <t>SAP-8013732 - 4</t>
  </si>
  <si>
    <t>SAP-8013732 - 5</t>
  </si>
  <si>
    <t>SAP-8013741 - 1</t>
  </si>
  <si>
    <t>SAP-8013741 - 2</t>
  </si>
  <si>
    <t>SAP-8013741 - 3</t>
  </si>
  <si>
    <t>SAP-8013741 - 4</t>
  </si>
  <si>
    <t>SAP-8013741 - 5</t>
  </si>
  <si>
    <t>SAP-8013745 - 1</t>
  </si>
  <si>
    <t>SAP-8013745 - 2</t>
  </si>
  <si>
    <t>SAP-8013745 - 3</t>
  </si>
  <si>
    <t>SAP-8013764 - 1</t>
  </si>
  <si>
    <t>SAP-8013764 - 2</t>
  </si>
  <si>
    <t>SAP-8013764 - 3</t>
  </si>
  <si>
    <t>SAP-8013764 - 4</t>
  </si>
  <si>
    <t>SAP-8013764 - 5</t>
  </si>
  <si>
    <t>SAP-8013765 - 1</t>
  </si>
  <si>
    <t>SAP-8013765 - 2</t>
  </si>
  <si>
    <t>SAP-8013765 - 3</t>
  </si>
  <si>
    <t>SAP-8013784 - 1</t>
  </si>
  <si>
    <t>SAP-8013784 - 2</t>
  </si>
  <si>
    <t>SAP-8013784 - 3</t>
  </si>
  <si>
    <t>SAP-8013784 - 4</t>
  </si>
  <si>
    <t>SAP-8013784 - 5</t>
  </si>
  <si>
    <t>SAP-8013803 - 1</t>
  </si>
  <si>
    <t>SAP-8013803 - 2</t>
  </si>
  <si>
    <t>SAP-8013803 - 3</t>
  </si>
  <si>
    <t>SAP-8014001 - 1</t>
  </si>
  <si>
    <t>SAP-8014001 - 2</t>
  </si>
  <si>
    <t>SAP-8014001 - 3</t>
  </si>
  <si>
    <t>SAP-8014001 - 4</t>
  </si>
  <si>
    <t>SAP-8014001 - 5</t>
  </si>
  <si>
    <t>SAP-8014062 - 1</t>
  </si>
  <si>
    <t>SAP-8014062 - 2</t>
  </si>
  <si>
    <t>SAP-8014062 - 3</t>
  </si>
  <si>
    <t>SAP-8014062 - 4</t>
  </si>
  <si>
    <t>SAP-8014062 - 5</t>
  </si>
  <si>
    <t>SAP-8014324 - 1</t>
  </si>
  <si>
    <t>SAP Solution Sales Configuration, cloud edition</t>
  </si>
  <si>
    <t>SAP-8014324 - 2</t>
  </si>
  <si>
    <t>SAP-8014324 - 3</t>
  </si>
  <si>
    <t>SAP-8014324 - 4</t>
  </si>
  <si>
    <t>SAP-8014562 - 1</t>
  </si>
  <si>
    <t>SAP Treasury and Risk Management Cloud, impairment accounting extension for expected losses, private edition</t>
  </si>
  <si>
    <t>SAP-8014562 - 2</t>
  </si>
  <si>
    <t>SAP-8014562 - 3</t>
  </si>
  <si>
    <t>SAP-8014562 - 4</t>
  </si>
  <si>
    <t>SAP-8014562 - 5</t>
  </si>
  <si>
    <t>SAP-8014562 - 6</t>
  </si>
  <si>
    <t>SAP-8014843 - 1</t>
  </si>
  <si>
    <t>SAP S/4HANA Cloud for receivables management</t>
  </si>
  <si>
    <t>SAP-8014843 - 2</t>
  </si>
  <si>
    <t>SAP-8014843 - 3</t>
  </si>
  <si>
    <t>SAP-8014871 - 1</t>
  </si>
  <si>
    <t>SAP-8014871 - 3</t>
  </si>
  <si>
    <t>SAP-8014871 - 4</t>
  </si>
  <si>
    <t>SAP-8014871 - 5</t>
  </si>
  <si>
    <t>SAP-8008783 - 1</t>
  </si>
  <si>
    <t>SAP-8008783 - 2</t>
  </si>
  <si>
    <t>SAP-8008783 - 3</t>
  </si>
  <si>
    <t>SAP-8008783 - 4</t>
  </si>
  <si>
    <t>SAP-8008783 - 5</t>
  </si>
  <si>
    <t>SAP-8008783 - 6</t>
  </si>
  <si>
    <t>SAP-8008783 - 7</t>
  </si>
  <si>
    <t>SAP-8008783 - 8</t>
  </si>
  <si>
    <t>SAP-8008783 - 9</t>
  </si>
  <si>
    <t>SAP-8008910 - 1</t>
  </si>
  <si>
    <t>SAP-8008910 - 2</t>
  </si>
  <si>
    <t>SAP-8008910 - 3</t>
  </si>
  <si>
    <t>SAP-8008910 - 4</t>
  </si>
  <si>
    <t>SAP-8008910 - 5</t>
  </si>
  <si>
    <t>SAP-8008910 - 6</t>
  </si>
  <si>
    <t>SAP-8008910 - 7</t>
  </si>
  <si>
    <t>SAP-8008910 - 8</t>
  </si>
  <si>
    <t>SAP-8008910 - 9</t>
  </si>
  <si>
    <t>SAP-8008911 - 1</t>
  </si>
  <si>
    <t>SAP-8008911 - 2</t>
  </si>
  <si>
    <t>SAP-8008911 - 3</t>
  </si>
  <si>
    <t>SAP-8008911 - 4</t>
  </si>
  <si>
    <t>SAP-8008911 - 5</t>
  </si>
  <si>
    <t>SAP-8008911 - 6</t>
  </si>
  <si>
    <t>SAP-8008911 - 7</t>
  </si>
  <si>
    <t>SAP-8008911 - 8</t>
  </si>
  <si>
    <t>SAP-8008911 - 9</t>
  </si>
  <si>
    <t>SAP-8012529 - 1</t>
  </si>
  <si>
    <t>SAP Payroll Processing, extra stack, private cloud edition</t>
  </si>
  <si>
    <t>SAP-8012529 - 2</t>
  </si>
  <si>
    <t>SAP-8012529 - 3</t>
  </si>
  <si>
    <t>SAP-8012529 - 4</t>
  </si>
  <si>
    <t>SAP-8012529 - 5</t>
  </si>
  <si>
    <t>SAP-8012529 - 6</t>
  </si>
  <si>
    <t>SAP-8012529 - 7</t>
  </si>
  <si>
    <t>SAP-8012529 - 8</t>
  </si>
  <si>
    <t>SAP-8012529 - 9</t>
  </si>
  <si>
    <t>SAP-8008365 - 1</t>
  </si>
  <si>
    <t>SAP-8008365 - 2</t>
  </si>
  <si>
    <t>SAP-8008365 - 3</t>
  </si>
  <si>
    <t>SAP-8008365 - 4</t>
  </si>
  <si>
    <t>SAP-8008365 - 5</t>
  </si>
  <si>
    <t>SAP-8008365 - 6</t>
  </si>
  <si>
    <t>SAP-8008713 - 1</t>
  </si>
  <si>
    <t>SAP-8008713 - 2</t>
  </si>
  <si>
    <t>SAP-8008713 - 3</t>
  </si>
  <si>
    <t>SAP-8008713 - 4</t>
  </si>
  <si>
    <t>SAP-8008713 - 5</t>
  </si>
  <si>
    <t>SAP-8008713 - 6</t>
  </si>
  <si>
    <t>SAP-8008713 - 7</t>
  </si>
  <si>
    <t>SAP-8008713 - 8</t>
  </si>
  <si>
    <t>SAP-8008772 - 1</t>
  </si>
  <si>
    <t>SAP-8008772 - 2</t>
  </si>
  <si>
    <t>SAP-8008772 - 3</t>
  </si>
  <si>
    <t>SAP-8008772 - 4</t>
  </si>
  <si>
    <t>SAP-8008772 - 5</t>
  </si>
  <si>
    <t>SAP-8008772 - 6</t>
  </si>
  <si>
    <t>SAP-8008780 - 1</t>
  </si>
  <si>
    <t>SAP S/4HANA Cloud for enterprise contract management, private edition</t>
  </si>
  <si>
    <t>SAP-8008780 - 2</t>
  </si>
  <si>
    <t>SAP-8008780 - 3</t>
  </si>
  <si>
    <t>SAP-8008780 - 4</t>
  </si>
  <si>
    <t>SAP-8008780 - 5</t>
  </si>
  <si>
    <t>SAP-8009439 - 1</t>
  </si>
  <si>
    <t>SAP-8009439 - 2</t>
  </si>
  <si>
    <t>SAP-8009439 - 3</t>
  </si>
  <si>
    <t>SAP-8009439 - 4</t>
  </si>
  <si>
    <t>SAP-8009439 - 5</t>
  </si>
  <si>
    <t>SAP-8014312 - 1</t>
  </si>
  <si>
    <t>SAP Central Procurement, private cloud edition</t>
  </si>
  <si>
    <t>SAP-8014312 - 2</t>
  </si>
  <si>
    <t>SAP-8014312 - 3</t>
  </si>
  <si>
    <t>SAP-8014312 - 4</t>
  </si>
  <si>
    <t>SAP-8014312 - 5</t>
  </si>
  <si>
    <t>SAP-8014312 - 6</t>
  </si>
  <si>
    <t>SAP-8014312 - 7</t>
  </si>
  <si>
    <t>SAP-8014312 - 8</t>
  </si>
  <si>
    <t>SAP-8014312 - 9</t>
  </si>
  <si>
    <t>SAP-8014312 - 11</t>
  </si>
  <si>
    <t>SAP-8013688 - 1</t>
  </si>
  <si>
    <t>SAP-8013688 - 2</t>
  </si>
  <si>
    <t>SAP-8013688 - 3</t>
  </si>
  <si>
    <t>SAP-8009232 - 1</t>
  </si>
  <si>
    <t>SAP S/4HANA Cloud for Farm Management by Vistex, private edition</t>
  </si>
  <si>
    <t>SAP-8009232 - 2</t>
  </si>
  <si>
    <t>SAP-8009232 - 3</t>
  </si>
  <si>
    <t>SAP-8009232 - 4</t>
  </si>
  <si>
    <t>SAP-8009232 - 5</t>
  </si>
  <si>
    <t>SAP-8009232 - 6</t>
  </si>
  <si>
    <t>SAP-8009240 - 1</t>
  </si>
  <si>
    <t>SAP S/4HANA Cloud for Grower Management for Perishables by Vistex, private edition</t>
  </si>
  <si>
    <t>SAP-8009240 - 2</t>
  </si>
  <si>
    <t>SAP-8009240 - 3</t>
  </si>
  <si>
    <t>SAP-8009240 - 4</t>
  </si>
  <si>
    <t>SAP-8009240 - 5</t>
  </si>
  <si>
    <t>SAP-8009240 - 6</t>
  </si>
  <si>
    <t>SAP-8013521 - 1</t>
  </si>
  <si>
    <t>SAP Meat and Fish Management by msg for SAP S/4HANA Cloud, private edition</t>
  </si>
  <si>
    <t>SAP-8013521 - 2</t>
  </si>
  <si>
    <t>SAP-8013521 - 3</t>
  </si>
  <si>
    <t>SAP-8013521 - 4</t>
  </si>
  <si>
    <t>SAP-8013521 - 5</t>
  </si>
  <si>
    <t>SAP-8013521 - 6</t>
  </si>
  <si>
    <t>SAP-8013531 - 7</t>
  </si>
  <si>
    <t>SAP Dairy Management by msg for SAP S/4HANA Cloud, private edition</t>
  </si>
  <si>
    <t>SAP-8013531 - 8</t>
  </si>
  <si>
    <t>SAP-8013531 - 9</t>
  </si>
  <si>
    <t>SAP-8013531 - 10</t>
  </si>
  <si>
    <t>SAP-8013531 - 11</t>
  </si>
  <si>
    <t>SAP-8013531 - 12</t>
  </si>
  <si>
    <t>SAP-8013831 - 1</t>
  </si>
  <si>
    <t>SAP S/4HANA Cloud for defense and security, private edition</t>
  </si>
  <si>
    <t>SAP-8013831 - 2</t>
  </si>
  <si>
    <t>SAP-8013831 - 3</t>
  </si>
  <si>
    <t>SAP-8013831 - 4</t>
  </si>
  <si>
    <t>SAP-8008676 - 1</t>
  </si>
  <si>
    <t>SAP-8008676 - 2</t>
  </si>
  <si>
    <t>SAP-8008676 - 3</t>
  </si>
  <si>
    <t>SAP-8008676 - 4</t>
  </si>
  <si>
    <t>SAP-8014861 - 1</t>
  </si>
  <si>
    <t>SAP S/4HANA Cloud for financial asset management, private edition</t>
  </si>
  <si>
    <t>SAP-8014861 - 2</t>
  </si>
  <si>
    <t>SAP-8014861 - 3</t>
  </si>
  <si>
    <t>SAP-8014861 - 4</t>
  </si>
  <si>
    <t>SAP-8014861 - 5</t>
  </si>
  <si>
    <t>SAP-8014861 - 6</t>
  </si>
  <si>
    <t>SAP-8014862 - 1</t>
  </si>
  <si>
    <t>SAP S/4HANA Cloud for financial asset management, loans add-on, private edition</t>
  </si>
  <si>
    <t>SAP-8014862 - 2</t>
  </si>
  <si>
    <t>SAP-8014862 - 3</t>
  </si>
  <si>
    <t>SAP-8014862 - 4</t>
  </si>
  <si>
    <t>SAP-8014862 - 5</t>
  </si>
  <si>
    <t>SAP-8014862 - 6</t>
  </si>
  <si>
    <t>SAP-8014863 - 1</t>
  </si>
  <si>
    <t>SAP S/4HANA Cloud for financial asset management, statutory reporting add-on, private edition</t>
  </si>
  <si>
    <t>SAP-8014863 - 2</t>
  </si>
  <si>
    <t>SAP-8014863 - 3</t>
  </si>
  <si>
    <t>SAP-8014863 - 4</t>
  </si>
  <si>
    <t>SAP-8014863 - 5</t>
  </si>
  <si>
    <t>SAP-8014863 - 6</t>
  </si>
  <si>
    <t>SAP-8009272 - 1</t>
  </si>
  <si>
    <t>SAP S/4HANA Cloud for rights and royalty management by Vistex, private edition</t>
  </si>
  <si>
    <t>SAP-8009272 - 2</t>
  </si>
  <si>
    <t>SAP-8009272 - 3</t>
  </si>
  <si>
    <t>SAP-8009272 - 4</t>
  </si>
  <si>
    <t>SAP-8009272 - 5</t>
  </si>
  <si>
    <t>SAP-8009272 - 6</t>
  </si>
  <si>
    <t>SAP-8011435 - 1</t>
  </si>
  <si>
    <t>SAP S/4HANA Cloud for oil and gas secondary distribution management, private edition</t>
  </si>
  <si>
    <t>SAP-8011435 - 2</t>
  </si>
  <si>
    <t>SAP-8011435 - 3</t>
  </si>
  <si>
    <t>SAP-8011436 - 1</t>
  </si>
  <si>
    <t>SAP S/4HANA Cloud for oil and gas retail fuel network operations, private edition</t>
  </si>
  <si>
    <t>SAP-8011436 - 2</t>
  </si>
  <si>
    <t>SAP-8011436 - 3</t>
  </si>
  <si>
    <t>SAP-8013510 - 1</t>
  </si>
  <si>
    <t>SAP-8013510 - 2</t>
  </si>
  <si>
    <t>SAP-8013510 - 3</t>
  </si>
  <si>
    <t>SAP-8013515 - 1</t>
  </si>
  <si>
    <t>SAP-8013515 - 2</t>
  </si>
  <si>
    <t>SAP-8013515 - 3</t>
  </si>
  <si>
    <t>SAP-8013563 - 1</t>
  </si>
  <si>
    <t>SAP-8013563 - 2</t>
  </si>
  <si>
    <t>SAP-8013563 - 3</t>
  </si>
  <si>
    <t>SAP-8013586 - 1</t>
  </si>
  <si>
    <t>SAP-8013586 - 2</t>
  </si>
  <si>
    <t>SAP-8013586 - 3</t>
  </si>
  <si>
    <t>SAP-8013591 - 1</t>
  </si>
  <si>
    <t>SAP-8013591 - 2</t>
  </si>
  <si>
    <t>SAP-8013591 - 3</t>
  </si>
  <si>
    <t>SAP-8014273 - 1</t>
  </si>
  <si>
    <t>SAP S/4HANA Cloud for asset retirement obligations</t>
  </si>
  <si>
    <t>SAP-8014273 - 2</t>
  </si>
  <si>
    <t>SAP-8014273 - 3</t>
  </si>
  <si>
    <t>SAP-8014282 - 1</t>
  </si>
  <si>
    <t>SAP S/4HANA Cloud for field equipment and material logistics planning and execution</t>
  </si>
  <si>
    <t>SAP-8014282 - 2</t>
  </si>
  <si>
    <t>SAP-8014282 - 3</t>
  </si>
  <si>
    <t>SAP-8014292 - 1</t>
  </si>
  <si>
    <t>SAP S/4HANA Cloud for upstream contracts management</t>
  </si>
  <si>
    <t>SAP-8014292 - 2</t>
  </si>
  <si>
    <t>SAP-8014292 - 3</t>
  </si>
  <si>
    <t>SAP-8014314 - 1</t>
  </si>
  <si>
    <t>SAP S/4HANA Cloud for field equipment and material logistics planning and execution, private edition</t>
  </si>
  <si>
    <t>SAP-8014314 - 2</t>
  </si>
  <si>
    <t>SAP-8014314 - 3</t>
  </si>
  <si>
    <t>SAP-8013731 - 1</t>
  </si>
  <si>
    <t>SAP S/4HANA Cloud for Public Sector for tax, benefits and payment processing, private edition</t>
  </si>
  <si>
    <t>SAP-8013731 - 2</t>
  </si>
  <si>
    <t>SAP-8013731 - 3</t>
  </si>
  <si>
    <t>SAP-8013731 - 4</t>
  </si>
  <si>
    <t>SAP-8011633 - 1</t>
  </si>
  <si>
    <t>SAP S/4HANA Cloud for agreement profitability and negotiation by gicom, private edition</t>
  </si>
  <si>
    <t>SAP-8011633 - 2</t>
  </si>
  <si>
    <t>SAP-8011633 - 3</t>
  </si>
  <si>
    <t>SAP-8011633 - 4</t>
  </si>
  <si>
    <t>SAP-8012631</t>
  </si>
  <si>
    <t>SAP S/4HANA Cloud for retail merchandise management, private edition</t>
  </si>
  <si>
    <t>SAP-8012632</t>
  </si>
  <si>
    <t>SAP-8012633 - 1</t>
  </si>
  <si>
    <t>SAP-8012633 - 2</t>
  </si>
  <si>
    <t>SAP-8012633 - 3</t>
  </si>
  <si>
    <t>SAP-8012633 - 4</t>
  </si>
  <si>
    <t>SAP-8012633 - 5</t>
  </si>
  <si>
    <t>SAP-8012633 - 6</t>
  </si>
  <si>
    <t>SAP-8008662 - 1</t>
  </si>
  <si>
    <t>SAP-8008662 - 2</t>
  </si>
  <si>
    <t>SAP-8008662 - 3</t>
  </si>
  <si>
    <t>SAP-8008728 - 1</t>
  </si>
  <si>
    <t>SAP-8008728 - 2</t>
  </si>
  <si>
    <t>SAP-8008728 - 3</t>
  </si>
  <si>
    <t>SAP-8008759 - 1</t>
  </si>
  <si>
    <t>SAP-8008759 - 2</t>
  </si>
  <si>
    <t>SAP-8008759 - 3</t>
  </si>
  <si>
    <t>SAP-8008760 - 1</t>
  </si>
  <si>
    <t>SAP-8008760 - 2</t>
  </si>
  <si>
    <t>SAP-8008760 - 3</t>
  </si>
  <si>
    <t>SAP-8008762 - 1</t>
  </si>
  <si>
    <t>SAP-8008762 - 2</t>
  </si>
  <si>
    <t>SAP-8008762 - 3</t>
  </si>
  <si>
    <t>SAP-8008763 - 1</t>
  </si>
  <si>
    <t>SAP-8008763 - 2</t>
  </si>
  <si>
    <t>SAP-8008763 - 3</t>
  </si>
  <si>
    <t>SAP-8008764 - 1</t>
  </si>
  <si>
    <t>SAP-8008764 - 2</t>
  </si>
  <si>
    <t>SAP-8008764 - 3</t>
  </si>
  <si>
    <t>SAP-8008774 - 1</t>
  </si>
  <si>
    <t>SAP-8008774 - 2</t>
  </si>
  <si>
    <t>SAP-8008774 - 3</t>
  </si>
  <si>
    <t>SAP-8011347 - 1</t>
  </si>
  <si>
    <t>SAP S/4HANA Cloud for waste and recycling, private edition, environmental services add-on by PROLOGA</t>
  </si>
  <si>
    <t>SAP-8011347 - 2</t>
  </si>
  <si>
    <t>SAP-8011347 - 3</t>
  </si>
  <si>
    <t>SAP-8011347 - 4</t>
  </si>
  <si>
    <t>SAP-8011347 - 5</t>
  </si>
  <si>
    <t>SAP-8011729 - 1</t>
  </si>
  <si>
    <t>SAP-8011729 - 2</t>
  </si>
  <si>
    <t>SAP-8011729 - 3</t>
  </si>
  <si>
    <t>SAP-8013533 - 1</t>
  </si>
  <si>
    <t>SAP S/4HANA Utilities extensions for meter to cash processes by PROLOGA, private cloud edition</t>
  </si>
  <si>
    <t>SAP-8013533 - 2</t>
  </si>
  <si>
    <t>SAP-8013533 - 3</t>
  </si>
  <si>
    <t>SAP-8014357 - 1</t>
  </si>
  <si>
    <t>prepayment for utilities for SAP S/4HANA Cloud, private edition</t>
  </si>
  <si>
    <t>SAP-8014357 - 2</t>
  </si>
  <si>
    <t>SAP-8014357 - 3</t>
  </si>
  <si>
    <t>SAP-8014357 - 4</t>
  </si>
  <si>
    <t>SAP-8014357 - 5</t>
  </si>
  <si>
    <t>SAP-8014357 - 6</t>
  </si>
  <si>
    <t>SAP-8014357 - 7</t>
  </si>
  <si>
    <t>SAP-8014357 - 8</t>
  </si>
  <si>
    <t>SAP-8005804</t>
  </si>
  <si>
    <t>SAP Learning Hub, edition for SAP S/4HANA Cloud</t>
  </si>
  <si>
    <t>SAP-8009215</t>
  </si>
  <si>
    <t>SAP Business Planning and Consolidation, professional edition for SAP BW/4HANA Cloud, private edition</t>
  </si>
  <si>
    <t>SAP-8009216 - 1</t>
  </si>
  <si>
    <t>SAP Business Planning and Consolidation, standard edition for SAP BW/4HANA Cloud, private edition</t>
  </si>
  <si>
    <t>SAP-8009216 - 2</t>
  </si>
  <si>
    <t>SAP-8009216 - 3</t>
  </si>
  <si>
    <t>SAP-8009216 - 4</t>
  </si>
  <si>
    <t>SAP-8009217</t>
  </si>
  <si>
    <t>SAP-8009218 - 1</t>
  </si>
  <si>
    <t>SAP-8009218 - 2</t>
  </si>
  <si>
    <t>SAP-8009218 - 3</t>
  </si>
  <si>
    <t>SAP-8009218 - 4</t>
  </si>
  <si>
    <t>SAP-8012623</t>
  </si>
  <si>
    <t>SAP-8008668</t>
  </si>
  <si>
    <t>SAP-8008694</t>
  </si>
  <si>
    <t>SAP-8008741 - 1</t>
  </si>
  <si>
    <t>SAP-8008741 - 2</t>
  </si>
  <si>
    <t>SAP-8008741 - 3</t>
  </si>
  <si>
    <t>SAP-8008741 - 4</t>
  </si>
  <si>
    <t>SAP-8008741 - 5</t>
  </si>
  <si>
    <t>SAP-8008744</t>
  </si>
  <si>
    <t>SAP-8009020 - 1</t>
  </si>
  <si>
    <t>SAP Master Data Governance application, enterprise asset management extension by Utopia for SAP S/4HANA Cloud, private edition</t>
  </si>
  <si>
    <t>SAP-8009020 - 2</t>
  </si>
  <si>
    <t>SAP-8009020 - 3</t>
  </si>
  <si>
    <t>SAP-8009020 - 4</t>
  </si>
  <si>
    <t>SAP-8009020 - 5</t>
  </si>
  <si>
    <t>SAP-8009022 - 1</t>
  </si>
  <si>
    <t>SAP Master Data Governance, retail and fashion mgmt ext. by Utopia on SAP S/4HANA Cloud, private edition</t>
  </si>
  <si>
    <t>SAP-8009022 - 2</t>
  </si>
  <si>
    <t>SAP-8009022 - 3</t>
  </si>
  <si>
    <t>SAP-8009022 - 4</t>
  </si>
  <si>
    <t>SAP-8009022 - 5</t>
  </si>
  <si>
    <t>SAP-8009024 - 1</t>
  </si>
  <si>
    <t>SAP Asset Information Workbench by Utopia for S/4HANA Cloud, private edition</t>
  </si>
  <si>
    <t>SAP-8009024 - 2</t>
  </si>
  <si>
    <t>SAP-8009024 - 3</t>
  </si>
  <si>
    <t>SAP-8009024 - 4</t>
  </si>
  <si>
    <t>SAP-8009024 - 5</t>
  </si>
  <si>
    <t>SAP-8009221</t>
  </si>
  <si>
    <t>SAP-8009222</t>
  </si>
  <si>
    <t>SAP-8009450 - 1</t>
  </si>
  <si>
    <t>SAP-8009450 - 2</t>
  </si>
  <si>
    <t>SAP-8009450 - 3</t>
  </si>
  <si>
    <t>SAP-8009450 - 4</t>
  </si>
  <si>
    <t>SAP-8009450 - 5</t>
  </si>
  <si>
    <t>SAP-8011290 - 1</t>
  </si>
  <si>
    <t>SAP-8011290 - 2</t>
  </si>
  <si>
    <t>SAP-8011290 - 3</t>
  </si>
  <si>
    <t>SAP-8011290 - 4</t>
  </si>
  <si>
    <t>SAP-8011456</t>
  </si>
  <si>
    <t>SAP-8011457</t>
  </si>
  <si>
    <t>SAP-8011458</t>
  </si>
  <si>
    <t>SAP-8011459</t>
  </si>
  <si>
    <t>SAP-8011460</t>
  </si>
  <si>
    <t>SAP-8011461</t>
  </si>
  <si>
    <t>SAP-8013664 - 1</t>
  </si>
  <si>
    <t>SAP S/4HANA Cloud for master data governance, extra stack, private edition</t>
  </si>
  <si>
    <t>SAP-8013664 - 2</t>
  </si>
  <si>
    <t>SAP-8013664 - 3</t>
  </si>
  <si>
    <t>SAP-8013664 - 4</t>
  </si>
  <si>
    <t>SAP-8013664 - 5</t>
  </si>
  <si>
    <t>SAP-8008689 - 1</t>
  </si>
  <si>
    <t>SAP-8008689 - 2</t>
  </si>
  <si>
    <t>SAP-8008689 - 3</t>
  </si>
  <si>
    <t>SAP-8009454 - 1</t>
  </si>
  <si>
    <t>SAP-8009454 - 2</t>
  </si>
  <si>
    <t>SAP-8009454 - 3</t>
  </si>
  <si>
    <t>SAP-8009456 - 1</t>
  </si>
  <si>
    <t>SAP-8009456 - 2</t>
  </si>
  <si>
    <t>SAP-8009456 - 3</t>
  </si>
  <si>
    <t>SAP-8011369 - 1</t>
  </si>
  <si>
    <t>SAP-8011369 - 2</t>
  </si>
  <si>
    <t>SAP-8011369 - 3</t>
  </si>
  <si>
    <t>SAP-8011369 - 4</t>
  </si>
  <si>
    <t>SAP-8014123</t>
  </si>
  <si>
    <t>SAP Solution Manager, private cloud edition, project documentation version</t>
  </si>
  <si>
    <t>SAP-8014172</t>
  </si>
  <si>
    <t>SAP Solution Manager, private cloud edition, full version</t>
  </si>
  <si>
    <t>SAP-8014556</t>
  </si>
  <si>
    <t>SAP General Purpose Java Server Cloud, private edition (8 cores)</t>
  </si>
  <si>
    <t>SAP-8014595</t>
  </si>
  <si>
    <t>SAP General Purpose Java Server Cloud, additional non-productive, private edition (8 cores)</t>
  </si>
  <si>
    <t>SAP-8014596</t>
  </si>
  <si>
    <t>SAP General Purpose Java Server Cloud, additional non-productive, private edition (16 cores)</t>
  </si>
  <si>
    <t>SAP-8014624</t>
  </si>
  <si>
    <t>SAP General Purpose Java Server Cloud, private edition (16 cores)</t>
  </si>
  <si>
    <t>SAP-8014632</t>
  </si>
  <si>
    <t>SAP General Purpose Java Server Cloud, private edition (24 cores)</t>
  </si>
  <si>
    <t>SAP-8014657</t>
  </si>
  <si>
    <t>SAP General Purpose Java Server Cloud, additional non-productive, private edition (24 cores)</t>
  </si>
  <si>
    <t>SAP-8005458</t>
  </si>
  <si>
    <t>SAP-8011479</t>
  </si>
  <si>
    <t>SAP-8011437 - 1</t>
  </si>
  <si>
    <t>SAP-8011437 - 2</t>
  </si>
  <si>
    <t>SAP-8011437 - 3</t>
  </si>
  <si>
    <t>SAP-8011437</t>
  </si>
  <si>
    <t>SAP-8011437 - 4</t>
  </si>
  <si>
    <t>SAP-8011438 - 1</t>
  </si>
  <si>
    <t>SAP-8011438 - 2</t>
  </si>
  <si>
    <t>SAP-8011438 - 3</t>
  </si>
  <si>
    <t>SAP-8011438 - 4</t>
  </si>
  <si>
    <t>SAP-8011438 - 5</t>
  </si>
  <si>
    <t>SAP-8011439 - 1</t>
  </si>
  <si>
    <t>SAP-8011439 - 2</t>
  </si>
  <si>
    <t>SAP-8011439 - 3</t>
  </si>
  <si>
    <t>SAP-8011439 - 4</t>
  </si>
  <si>
    <t>SAP-8011439 - 5</t>
  </si>
  <si>
    <t>SAP-8011440 - 1</t>
  </si>
  <si>
    <t>SAP-8011440 - 2</t>
  </si>
  <si>
    <t>SAP-8011440 - 3</t>
  </si>
  <si>
    <t>SAP-8011440 - 4</t>
  </si>
  <si>
    <t>SAP-8011440 - 5</t>
  </si>
  <si>
    <t>SAP-8011440 - 6</t>
  </si>
  <si>
    <t>SAP-8011440 - 7</t>
  </si>
  <si>
    <t>SAP-8011441 - 1</t>
  </si>
  <si>
    <t>SAP-8011441 - 2</t>
  </si>
  <si>
    <t>SAP-8011441 - 3</t>
  </si>
  <si>
    <t>SAP-8011441 - 4</t>
  </si>
  <si>
    <t>SAP-8011441 - 5</t>
  </si>
  <si>
    <t>SAP-8011441 - 6</t>
  </si>
  <si>
    <t>SAP-8011441 - 7</t>
  </si>
  <si>
    <t>SAP-8011442 - 1</t>
  </si>
  <si>
    <t>SAP-8011442 - 2</t>
  </si>
  <si>
    <t>SAP-8011442 - 3</t>
  </si>
  <si>
    <t>SAP-8011442 - 4</t>
  </si>
  <si>
    <t>SAP-8011442 - 5</t>
  </si>
  <si>
    <t>SAP-8011443</t>
  </si>
  <si>
    <t>SAP Signavio Process Insights, base package</t>
  </si>
  <si>
    <t>SAP-8011444</t>
  </si>
  <si>
    <t>SAP Signavio Process Insights, additional storage</t>
  </si>
  <si>
    <t>SAP-8013422</t>
  </si>
  <si>
    <t>SAP-8014823 - 1</t>
  </si>
  <si>
    <t>SAP-8014823 - 2</t>
  </si>
  <si>
    <t>SAP-8014823 - 3</t>
  </si>
  <si>
    <t>SAP-8014823 - 4</t>
  </si>
  <si>
    <t>SAP-8014823 - 5</t>
  </si>
  <si>
    <t>SAP-8014823 - 6</t>
  </si>
  <si>
    <t>SAP-8008794</t>
  </si>
  <si>
    <t>SAP-8008860</t>
  </si>
  <si>
    <t>SAP-8008861</t>
  </si>
  <si>
    <t>SAP-8008862</t>
  </si>
  <si>
    <t>SAP-8008863</t>
  </si>
  <si>
    <t>SAP-8008864</t>
  </si>
  <si>
    <t>SAP-8008865</t>
  </si>
  <si>
    <t>SAP-8009314</t>
  </si>
  <si>
    <t>SAP-8009318</t>
  </si>
  <si>
    <t>SAP-8009319</t>
  </si>
  <si>
    <t>SAP-8009320</t>
  </si>
  <si>
    <t>SAP-8009321</t>
  </si>
  <si>
    <t>SAP-8009322</t>
  </si>
  <si>
    <t>SAP-8009323</t>
  </si>
  <si>
    <t>SAP-8009324</t>
  </si>
  <si>
    <t>SAP-8009325</t>
  </si>
  <si>
    <t>SAP-8010812</t>
  </si>
  <si>
    <t>SAP-8010813 - 1</t>
  </si>
  <si>
    <t>SAP-8010813 - 2</t>
  </si>
  <si>
    <t>SAP-8010813 - 3</t>
  </si>
  <si>
    <t>SAP-8010813 - 4</t>
  </si>
  <si>
    <t>SAP-8010813 - 5</t>
  </si>
  <si>
    <t>SAP-8010813 - 6</t>
  </si>
  <si>
    <t>SAP-8010813 - 7</t>
  </si>
  <si>
    <t>SAP-8010813 - 8</t>
  </si>
  <si>
    <t>SAP-8010814</t>
  </si>
  <si>
    <t>SAP-8010817</t>
  </si>
  <si>
    <t>SAP-8010818</t>
  </si>
  <si>
    <t>SAP-8010819</t>
  </si>
  <si>
    <t>SAP-8010822</t>
  </si>
  <si>
    <t>SAP-8010823 - 1</t>
  </si>
  <si>
    <t>SAP-8010823 - 2</t>
  </si>
  <si>
    <t>SAP-8010824</t>
  </si>
  <si>
    <t>SAP-8010973</t>
  </si>
  <si>
    <t>SAP ERP, 4-hour recovery time objective, private cloud edition</t>
  </si>
  <si>
    <t>SAP-8011014</t>
  </si>
  <si>
    <t>SAP-8011015</t>
  </si>
  <si>
    <t>SAP-8011016</t>
  </si>
  <si>
    <t>SAP-8011017</t>
  </si>
  <si>
    <t>SAP-8011019</t>
  </si>
  <si>
    <t>SAP-8011283</t>
  </si>
  <si>
    <t>SAP-8011291</t>
  </si>
  <si>
    <t>SAP-8011292</t>
  </si>
  <si>
    <t>SAP-8011293</t>
  </si>
  <si>
    <t>SAP-8011294</t>
  </si>
  <si>
    <t>SAP-8011322</t>
  </si>
  <si>
    <t>SAP-8011323</t>
  </si>
  <si>
    <t>SAP-8011324</t>
  </si>
  <si>
    <t>SAP-8011325</t>
  </si>
  <si>
    <t>SAP-8011326</t>
  </si>
  <si>
    <t>SAP-8011327</t>
  </si>
  <si>
    <t>SAP-8011726</t>
  </si>
  <si>
    <t>SAP-8011727</t>
  </si>
  <si>
    <t>SAP-8012156</t>
  </si>
  <si>
    <t>SAP-8012157</t>
  </si>
  <si>
    <t>SAP-8012230 - 1</t>
  </si>
  <si>
    <t>PLM system integration for SAP ERP, private cloud edition</t>
  </si>
  <si>
    <t>SAP-8012230 - 2</t>
  </si>
  <si>
    <t>SAP-8012230 - 3</t>
  </si>
  <si>
    <t>SAP-8012230 - 4</t>
  </si>
  <si>
    <t>SAP-8012230 - 5</t>
  </si>
  <si>
    <t>SAP-8012625</t>
  </si>
  <si>
    <t>SAP-8012626</t>
  </si>
  <si>
    <t>SAP-8012627</t>
  </si>
  <si>
    <t>SAP-8012628</t>
  </si>
  <si>
    <t>SAP-8012629</t>
  </si>
  <si>
    <t>SAP-8012630</t>
  </si>
  <si>
    <t>SAP-8013379</t>
  </si>
  <si>
    <t>SAP-8013735</t>
  </si>
  <si>
    <t>SAP-8014142 - 1</t>
  </si>
  <si>
    <t>SAP-8014142 - 2</t>
  </si>
  <si>
    <t>SAP-8014142 - 3</t>
  </si>
  <si>
    <t>SAP-8014142 - 4</t>
  </si>
  <si>
    <t>SAP-8014142 - 5</t>
  </si>
  <si>
    <t>SAP-8014142 - 6</t>
  </si>
  <si>
    <t>SAP-8014142 - 7</t>
  </si>
  <si>
    <t>SAP-8014142 - 8</t>
  </si>
  <si>
    <t>SAP-8014142 - 9</t>
  </si>
  <si>
    <t>SAP-8014268</t>
  </si>
  <si>
    <t>SAP Connection Package for productive tiers, private cloud edition</t>
  </si>
  <si>
    <t>SAP-8014275</t>
  </si>
  <si>
    <t>SAP Connection Package for non-productive tiers, private cloud edition</t>
  </si>
  <si>
    <t>SAP-8014538</t>
  </si>
  <si>
    <t>SAP Fiori Hub on ASE Cloud, additional productive tier, private edition (XS)</t>
  </si>
  <si>
    <t>SAP-8014539</t>
  </si>
  <si>
    <t>SAP Fiori Hub on ASE Cloud, additional non-productive tier, private edition (S)</t>
  </si>
  <si>
    <t>SAP-8014540</t>
  </si>
  <si>
    <t>SAP Fiori Hub on ASE Cloud, additional non-productive tier, private edition (L)</t>
  </si>
  <si>
    <t>SAP-8014542</t>
  </si>
  <si>
    <t>SAP Fiori Hub on ASE Cloud, additional productive tier, private edition (XL)</t>
  </si>
  <si>
    <t>SAP-8014553</t>
  </si>
  <si>
    <t>SAP Fiori Hub on ASE Cloud, additional productive tier, private edition (S)</t>
  </si>
  <si>
    <t>SAP-8014554</t>
  </si>
  <si>
    <t>SAP Fiori Hub on ASE Cloud, additional non-productive tier, private edition (M)</t>
  </si>
  <si>
    <t>SAP-8014561</t>
  </si>
  <si>
    <t>SAP Fiori Hub on ASE Cloud, additional productive tier, private edition (M)</t>
  </si>
  <si>
    <t>SAP-8014571</t>
  </si>
  <si>
    <t>SAP Fiori Hub on ASE Cloud, additional productive tier, private edition (L)</t>
  </si>
  <si>
    <t>SAP-8014581</t>
  </si>
  <si>
    <t>SAP Fiori Hub on ASE Cloud, additional non-productive tier, private edition (XL)</t>
  </si>
  <si>
    <t>SAP-8000981</t>
  </si>
  <si>
    <t>SAP-8003186</t>
  </si>
  <si>
    <t>SAP-8006205 - 1</t>
  </si>
  <si>
    <t>SAP-8006205 - 2</t>
  </si>
  <si>
    <t>SAP-8006205 - 3</t>
  </si>
  <si>
    <t>SAP-8006205 - 4</t>
  </si>
  <si>
    <t>SAP-8006205 - 5</t>
  </si>
  <si>
    <t>SAP-8006207</t>
  </si>
  <si>
    <t>SAP-8007056 - 1</t>
  </si>
  <si>
    <t>SAP-8007056 - 2</t>
  </si>
  <si>
    <t>SAP-8007056 - 3</t>
  </si>
  <si>
    <t>SAP-8007056 - 4</t>
  </si>
  <si>
    <t>SAP-8007056 - 5</t>
  </si>
  <si>
    <t>SAP-8007911 - 1</t>
  </si>
  <si>
    <t>SAP Knowledge Central by NICE, professional edition</t>
  </si>
  <si>
    <t>SAP-8007911 - 2</t>
  </si>
  <si>
    <t>SAP-8007911 - 3</t>
  </si>
  <si>
    <t>SAP-8007911 - 4</t>
  </si>
  <si>
    <t>SAP-8007912 - 1</t>
  </si>
  <si>
    <t>SAP Knowledge Central by NICE, instance</t>
  </si>
  <si>
    <t>SAP-8007912 - 2</t>
  </si>
  <si>
    <t>SAP-8007912 - 3</t>
  </si>
  <si>
    <t>SAP-8007912 - 4</t>
  </si>
  <si>
    <t>SAP-8007912 - 5</t>
  </si>
  <si>
    <t>SAP-8008034 - 1</t>
  </si>
  <si>
    <t>SAP Signature Management by DocuSign, premium edition for SAP Customer Experience</t>
  </si>
  <si>
    <t>SAP-8008034 - 2</t>
  </si>
  <si>
    <t>SAP-8008034 - 3</t>
  </si>
  <si>
    <t>SAP-8008034 - 4</t>
  </si>
  <si>
    <t>SAP-8008051</t>
  </si>
  <si>
    <t>SAP-8008052 - 1</t>
  </si>
  <si>
    <t>SAP-8008052 - 2</t>
  </si>
  <si>
    <t>SAP-8008052 - 3</t>
  </si>
  <si>
    <t>SAP-8008052 - 4</t>
  </si>
  <si>
    <t>SAP-8008052 - 5</t>
  </si>
  <si>
    <t>SAP-8008053</t>
  </si>
  <si>
    <t>SAP-8008054 - 1</t>
  </si>
  <si>
    <t>SAP-8008054 - 2</t>
  </si>
  <si>
    <t>SAP-8008054 - 3</t>
  </si>
  <si>
    <t>SAP-8008054 - 4</t>
  </si>
  <si>
    <t>SAP-8008054 - 5</t>
  </si>
  <si>
    <t>SAP-8008055</t>
  </si>
  <si>
    <t>SAP Commerce Cloud, Travel accelerator, access</t>
  </si>
  <si>
    <t>SAP-8008056 - 1</t>
  </si>
  <si>
    <t>SAP Commerce Cloud, travel accelerator</t>
  </si>
  <si>
    <t>SAP-8008056 - 2</t>
  </si>
  <si>
    <t>SAP-8008056 - 3</t>
  </si>
  <si>
    <t>SAP-8008056 - 4</t>
  </si>
  <si>
    <t>SAP-8008056 - 5</t>
  </si>
  <si>
    <t>SAP-8008057</t>
  </si>
  <si>
    <t>SAP-8008058 - 1</t>
  </si>
  <si>
    <t>SAP-8008058 - 2</t>
  </si>
  <si>
    <t>SAP-8008058 - 3</t>
  </si>
  <si>
    <t>SAP-8008058 - 4</t>
  </si>
  <si>
    <t>SAP-8008058 - 5</t>
  </si>
  <si>
    <t>SAP-8008059</t>
  </si>
  <si>
    <t>SAP-8008060 - 1</t>
  </si>
  <si>
    <t>SAP-8008060 - 2</t>
  </si>
  <si>
    <t>SAP-8008060 - 3</t>
  </si>
  <si>
    <t>SAP-8008060 - 4</t>
  </si>
  <si>
    <t>SAP-8008060 - 5</t>
  </si>
  <si>
    <t>SAP-8008061</t>
  </si>
  <si>
    <t>SAP Commerce Marketplace Management by Mirakl, premier edition, access</t>
  </si>
  <si>
    <t>SAP-8008062 - 1</t>
  </si>
  <si>
    <t>SAP Commerce Marketplace Management by Mirakl, premier edition</t>
  </si>
  <si>
    <t>SAP-8008062 - 2</t>
  </si>
  <si>
    <t>SAP-8008062 - 3</t>
  </si>
  <si>
    <t>SAP-8008062 - 4</t>
  </si>
  <si>
    <t>SAP-8008062 - 5</t>
  </si>
  <si>
    <t>SAP-8008139</t>
  </si>
  <si>
    <t>SAP-8008144</t>
  </si>
  <si>
    <t>SAP-8008148</t>
  </si>
  <si>
    <t>SAP-8008154</t>
  </si>
  <si>
    <t>SAP-8008158</t>
  </si>
  <si>
    <t>SAP-8008227</t>
  </si>
  <si>
    <t>SAP-8008503</t>
  </si>
  <si>
    <t>SAP-8008504 - 1</t>
  </si>
  <si>
    <t>SAP-8008504 - 2</t>
  </si>
  <si>
    <t>SAP-8008504 - 3</t>
  </si>
  <si>
    <t>SAP-8008504 - 4</t>
  </si>
  <si>
    <t>SAP-8008504 - 5</t>
  </si>
  <si>
    <t>SAP-8008508</t>
  </si>
  <si>
    <t>SAP-8008509 - 1</t>
  </si>
  <si>
    <t>SAP-8008509 - 2</t>
  </si>
  <si>
    <t>SAP-8008509 - 3</t>
  </si>
  <si>
    <t>SAP-8008509 - 4</t>
  </si>
  <si>
    <t>SAP-8008509 - 5</t>
  </si>
  <si>
    <t>SAP-8008891</t>
  </si>
  <si>
    <t>SAP-8008892 - 1</t>
  </si>
  <si>
    <t>SAP-8008892 - 2</t>
  </si>
  <si>
    <t>SAP-8008892 - 3</t>
  </si>
  <si>
    <t>SAP-8008892 - 4</t>
  </si>
  <si>
    <t>SAP-8008892 - 5</t>
  </si>
  <si>
    <t>SAP-8010965</t>
  </si>
  <si>
    <t>SAP-8010990 - 1</t>
  </si>
  <si>
    <t>SAP-8010990 - 2</t>
  </si>
  <si>
    <t>SAP-8010990 - 3</t>
  </si>
  <si>
    <t>SAP-8010990 - 4</t>
  </si>
  <si>
    <t>SAP-8010990 - 5</t>
  </si>
  <si>
    <t>SAP-8010990 - 6</t>
  </si>
  <si>
    <t>SAP-8010993 - 1</t>
  </si>
  <si>
    <t>SAP-8010993 - 2</t>
  </si>
  <si>
    <t>SAP-8010993 - 3</t>
  </si>
  <si>
    <t>SAP-8010993 - 4</t>
  </si>
  <si>
    <t>SAP-8010993 - 5</t>
  </si>
  <si>
    <t>SAP-8010993 - 6</t>
  </si>
  <si>
    <t>SAP-8010994 - 1</t>
  </si>
  <si>
    <t>SAP-8010994 - 2</t>
  </si>
  <si>
    <t>SAP-8010994 - 3</t>
  </si>
  <si>
    <t>SAP-8010994 - 4</t>
  </si>
  <si>
    <t>SAP-8010994 - 5</t>
  </si>
  <si>
    <t>SAP-8010994 - 6</t>
  </si>
  <si>
    <t>SAP-8010995 - 1</t>
  </si>
  <si>
    <t>SAP-8010995 - 2</t>
  </si>
  <si>
    <t>SAP-8010995 - 3</t>
  </si>
  <si>
    <t>SAP-8010995 - 4</t>
  </si>
  <si>
    <t>SAP-8010995 - 5</t>
  </si>
  <si>
    <t>SAP-8010995 - 6</t>
  </si>
  <si>
    <t>SAP-8010996 - 1</t>
  </si>
  <si>
    <t>SAP-8010996 - 2</t>
  </si>
  <si>
    <t>SAP-8010996 - 3</t>
  </si>
  <si>
    <t>SAP-8010996 - 4</t>
  </si>
  <si>
    <t>SAP-8010996 - 5</t>
  </si>
  <si>
    <t>SAP-8010996 - 6</t>
  </si>
  <si>
    <t>SAP-8011001</t>
  </si>
  <si>
    <t>SAP Emarsys Customer Engagement, additional e-mails</t>
  </si>
  <si>
    <t>SAP-8011002</t>
  </si>
  <si>
    <t>SAP-8011003</t>
  </si>
  <si>
    <t>SAP Emarsys Customer Engagement, additional account</t>
  </si>
  <si>
    <t>SAP-8011004</t>
  </si>
  <si>
    <t>SAP-8011334 - 1</t>
  </si>
  <si>
    <t>SAP-8011334 - 2</t>
  </si>
  <si>
    <t>SAP-8011334 - 3</t>
  </si>
  <si>
    <t>SAP-8011334 - 4</t>
  </si>
  <si>
    <t>SAP-8011334 - 5</t>
  </si>
  <si>
    <t>SAP-8011339</t>
  </si>
  <si>
    <t>SAP-8011340</t>
  </si>
  <si>
    <t>SAP-8011348</t>
  </si>
  <si>
    <t>SAP-8011349 - 1</t>
  </si>
  <si>
    <t>SAP-8011349 - 2</t>
  </si>
  <si>
    <t>SAP-8011349 - 3</t>
  </si>
  <si>
    <t>SAP-8011349 - 4</t>
  </si>
  <si>
    <t>SAP-8011349 - 5</t>
  </si>
  <si>
    <t>SAP-8011350</t>
  </si>
  <si>
    <t>SAP-8011351 - 1</t>
  </si>
  <si>
    <t>SAP-8011351 - 2</t>
  </si>
  <si>
    <t>SAP-8011351 - 3</t>
  </si>
  <si>
    <t>SAP-8011351 - 4</t>
  </si>
  <si>
    <t>SAP-8011351 - 5</t>
  </si>
  <si>
    <t>SAP-8011352</t>
  </si>
  <si>
    <t>SAP-8011353 - 1</t>
  </si>
  <si>
    <t>SAP-8011353 - 2</t>
  </si>
  <si>
    <t>SAP-8011353 - 3</t>
  </si>
  <si>
    <t>SAP-8011353 - 4</t>
  </si>
  <si>
    <t>SAP-8011353 - 5</t>
  </si>
  <si>
    <t>SAP-8011354</t>
  </si>
  <si>
    <t>SAP-8011355 - 1</t>
  </si>
  <si>
    <t>SAP-8011355 - 2</t>
  </si>
  <si>
    <t>SAP-8011355 - 3</t>
  </si>
  <si>
    <t>SAP-8011355 - 4</t>
  </si>
  <si>
    <t>SAP-8011355 - 5</t>
  </si>
  <si>
    <t>SAP-8011356</t>
  </si>
  <si>
    <t>SAP-8011357</t>
  </si>
  <si>
    <t>experience management bundle for commerce, orders, access</t>
  </si>
  <si>
    <t>SAP-8011358</t>
  </si>
  <si>
    <t>experience management bundle for commerce GMV, access</t>
  </si>
  <si>
    <t>SAP-8011359</t>
  </si>
  <si>
    <t>SAP-8011360 - 1</t>
  </si>
  <si>
    <t>SAP-8011360 - 2</t>
  </si>
  <si>
    <t>SAP-8011360 - 3</t>
  </si>
  <si>
    <t>SAP-8011360 - 4</t>
  </si>
  <si>
    <t>SAP-8011360 - 5</t>
  </si>
  <si>
    <t>SAP-8011361</t>
  </si>
  <si>
    <t>SAP-8011362 - 1</t>
  </si>
  <si>
    <t>SAP-8011362 - 2</t>
  </si>
  <si>
    <t>SAP-8011362 - 3</t>
  </si>
  <si>
    <t>SAP-8011362 - 4</t>
  </si>
  <si>
    <t>SAP-8011362 - 5</t>
  </si>
  <si>
    <t>SAP-8011363</t>
  </si>
  <si>
    <t>SAP-8011364</t>
  </si>
  <si>
    <t>SAP-8011365</t>
  </si>
  <si>
    <t>SAP-8011366</t>
  </si>
  <si>
    <t>SAP-8011376</t>
  </si>
  <si>
    <t>SAP Commerce Cloud, code replication production environment</t>
  </si>
  <si>
    <t>SAP-8011377</t>
  </si>
  <si>
    <t>SAP Commerce Cloud, code replication data center</t>
  </si>
  <si>
    <t>SAP-8011520 - 1</t>
  </si>
  <si>
    <t>SAP Data Maintenance by Vistex pricing option for SAP ERP, private cloud edition</t>
  </si>
  <si>
    <t>SAP-8011520 - 2</t>
  </si>
  <si>
    <t>SAP-8011520 - 3</t>
  </si>
  <si>
    <t>SAP-8011520 - 4</t>
  </si>
  <si>
    <t>SAP-8011520 - 5</t>
  </si>
  <si>
    <t>SAP-8011520 - 6</t>
  </si>
  <si>
    <t>SAP-8011521 - 1</t>
  </si>
  <si>
    <t>SAP Data Maintenance by Vistex resources option for SAP ERP, private cloud edition</t>
  </si>
  <si>
    <t>SAP-8011521 - 2</t>
  </si>
  <si>
    <t>SAP-8011521 - 3</t>
  </si>
  <si>
    <t>SAP-8011521 - 4</t>
  </si>
  <si>
    <t>SAP-8011521 - 5</t>
  </si>
  <si>
    <t>SAP-8011521 - 6</t>
  </si>
  <si>
    <t>SAP-8011522 - 1</t>
  </si>
  <si>
    <t>SAP Incentive Administration by Vistex for SAP ERP, private cloud edition</t>
  </si>
  <si>
    <t>SAP-8011522 - 2</t>
  </si>
  <si>
    <t>SAP-8011522 - 3</t>
  </si>
  <si>
    <t>SAP-8011522 - 4</t>
  </si>
  <si>
    <t>SAP-8011522 - 5</t>
  </si>
  <si>
    <t>SAP-8011522 - 6</t>
  </si>
  <si>
    <t>SAP-8011523 - 1</t>
  </si>
  <si>
    <t>SAP Paybacks and Chargebacks by Vistex for SAP ERP, private cloud edition</t>
  </si>
  <si>
    <t>SAP-8011523 - 2</t>
  </si>
  <si>
    <t>SAP-8011523 - 3</t>
  </si>
  <si>
    <t>SAP-8011523 - 4</t>
  </si>
  <si>
    <t>SAP-8011523 - 5</t>
  </si>
  <si>
    <t>SAP-8011523 - 6</t>
  </si>
  <si>
    <t>SAP-8011524 - 1</t>
  </si>
  <si>
    <t>SAP Promotions and Agreements by Vistex for ERP, private cloud edition</t>
  </si>
  <si>
    <t>SAP-8011524 - 2</t>
  </si>
  <si>
    <t>SAP-8011524 - 3</t>
  </si>
  <si>
    <t>SAP-8011524 - 4</t>
  </si>
  <si>
    <t>SAP-8011524 - 5</t>
  </si>
  <si>
    <t>SAP-8011524 - 6</t>
  </si>
  <si>
    <t>SAP-8011632 - 1</t>
  </si>
  <si>
    <t>SAP Signature Management by DocuSign, basic edition for SAP Customer Experience solutions</t>
  </si>
  <si>
    <t>SAP-8011632 - 2</t>
  </si>
  <si>
    <t>SAP-8011632 - 3</t>
  </si>
  <si>
    <t>SAP-8011632 - 4</t>
  </si>
  <si>
    <t>SAP-8012227 - 1</t>
  </si>
  <si>
    <t>SAP-8012227 - 2</t>
  </si>
  <si>
    <t>SAP-8012227 - 3</t>
  </si>
  <si>
    <t>SAP-8012227 - 4</t>
  </si>
  <si>
    <t>SAP-8012227 - 5</t>
  </si>
  <si>
    <t>SAP-8012227 - 6</t>
  </si>
  <si>
    <t>SAP-8012228 - 1</t>
  </si>
  <si>
    <t>SAP-8012228 - 2</t>
  </si>
  <si>
    <t>SAP-8012228 - 3</t>
  </si>
  <si>
    <t>SAP-8012228 - 4</t>
  </si>
  <si>
    <t>SAP-8012228 - 5</t>
  </si>
  <si>
    <t>SAP-8012228 - 6</t>
  </si>
  <si>
    <t>SAP-8012579 - 1</t>
  </si>
  <si>
    <t>SAP-8012579 - 2</t>
  </si>
  <si>
    <t>SAP-8012579 - 3</t>
  </si>
  <si>
    <t>SAP-8012579 - 4</t>
  </si>
  <si>
    <t>SAP-8012579 - 5</t>
  </si>
  <si>
    <t>SAP-8012580</t>
  </si>
  <si>
    <t>SAP Sales Cloud and SAP Service Cloud Version 2, test tenant</t>
  </si>
  <si>
    <t>SAP-8013363 - 1</t>
  </si>
  <si>
    <t>SAP-8013363 - 2</t>
  </si>
  <si>
    <t>SAP-8013363 - 3</t>
  </si>
  <si>
    <t>SAP-8013363 - 4</t>
  </si>
  <si>
    <t>SAP-8013363 - 5</t>
  </si>
  <si>
    <t>SAP-8013363 - 6</t>
  </si>
  <si>
    <t>SAP-8013661 - 1</t>
  </si>
  <si>
    <t>SAP Self-Service Accelerator for Utilities by SEW, cloud edition</t>
  </si>
  <si>
    <t>SAP-8013661 - 2</t>
  </si>
  <si>
    <t>SAP-8013661 - 3</t>
  </si>
  <si>
    <t>SAP-8014283</t>
  </si>
  <si>
    <t>SAP Customer Data Platform, records, access</t>
  </si>
  <si>
    <t>SAP-8014284</t>
  </si>
  <si>
    <t>SAP-8014285</t>
  </si>
  <si>
    <t>SAP-8014294 - 1</t>
  </si>
  <si>
    <t>SAP Customer Data Platform, records</t>
  </si>
  <si>
    <t>SAP-8014294 - 2</t>
  </si>
  <si>
    <t>SAP-8014294 - 3</t>
  </si>
  <si>
    <t>SAP-8014294 - 4</t>
  </si>
  <si>
    <t>SAP-8014294 - 5</t>
  </si>
  <si>
    <t>SAP-8014294 - 6</t>
  </si>
  <si>
    <t>SAP-8014321 - 1</t>
  </si>
  <si>
    <t>SAP Sales Cloud Version 2</t>
  </si>
  <si>
    <t>SAP-8014321 - 2</t>
  </si>
  <si>
    <t>SAP-8014321 - 3</t>
  </si>
  <si>
    <t>SAP-8014321 - 4</t>
  </si>
  <si>
    <t>SAP-8014321 - 5</t>
  </si>
  <si>
    <t>SAP-8014331 - 1</t>
  </si>
  <si>
    <t>SAP Service Cloud Version 2, utilities add-on</t>
  </si>
  <si>
    <t>SAP-8014331 - 2</t>
  </si>
  <si>
    <t>SAP-8014331 - 3</t>
  </si>
  <si>
    <t>SAP-8014331 - 4</t>
  </si>
  <si>
    <t>SAP-8014331 - 5</t>
  </si>
  <si>
    <t>SAP-8014762</t>
  </si>
  <si>
    <t>SAP Customer Identity and Access Management for B2C, contacts, access</t>
  </si>
  <si>
    <t>SAP-8014781 - 1</t>
  </si>
  <si>
    <t>SAP Customer Identity and Access Management for B2C, contacts</t>
  </si>
  <si>
    <t>SAP-8014781 - 2</t>
  </si>
  <si>
    <t>SAP-8014781 - 3</t>
  </si>
  <si>
    <t>SAP-8014781 - 4</t>
  </si>
  <si>
    <t>SAP-8014781 - 5</t>
  </si>
  <si>
    <t>SAP-8014781 - 6</t>
  </si>
  <si>
    <t>SAP-8014791</t>
  </si>
  <si>
    <t>SAP Customer Identity and Access Management for B2B, contacts, access</t>
  </si>
  <si>
    <t>SAP-8014792 - 1</t>
  </si>
  <si>
    <t>SAP Customer Identity and Access Management for B2B, contacts</t>
  </si>
  <si>
    <t>SAP-8014792 - 2</t>
  </si>
  <si>
    <t>SAP-8014792 - 3</t>
  </si>
  <si>
    <t>SAP-8014792 - 4</t>
  </si>
  <si>
    <t>SAP-8005063 - 1</t>
  </si>
  <si>
    <t>SAP-8005063 - 2</t>
  </si>
  <si>
    <t>SAP-8005063 - 3</t>
  </si>
  <si>
    <t>SAP-8005063 - 4</t>
  </si>
  <si>
    <t>SAP-8005675</t>
  </si>
  <si>
    <t>SAP-8005676</t>
  </si>
  <si>
    <t>SAP-8006012</t>
  </si>
  <si>
    <t>SAP-8007113 - 1</t>
  </si>
  <si>
    <t>SAP-8007113 - 2</t>
  </si>
  <si>
    <t>SAP-8007113 - 3</t>
  </si>
  <si>
    <t>SAP-8007113 - 4</t>
  </si>
  <si>
    <t>SAP-8007123 - 1</t>
  </si>
  <si>
    <t>SAP-8007123 - 2</t>
  </si>
  <si>
    <t>SAP-8007123 - 3</t>
  </si>
  <si>
    <t>SAP-8007123 - 4</t>
  </si>
  <si>
    <t>SAP-8007123 - 5</t>
  </si>
  <si>
    <t>SAP-8007860 - 1</t>
  </si>
  <si>
    <t>SAP-8007860 - 2</t>
  </si>
  <si>
    <t>SAP-8007860 - 3</t>
  </si>
  <si>
    <t>SAP-8007860 - 4</t>
  </si>
  <si>
    <t>SAP-8007860 - 5</t>
  </si>
  <si>
    <t>SAP-8007860 - 6</t>
  </si>
  <si>
    <t>SAP-8007861 - 1</t>
  </si>
  <si>
    <t>SAP-8007861 - 2</t>
  </si>
  <si>
    <t>SAP-8007861 - 3</t>
  </si>
  <si>
    <t>SAP-8007861 - 4</t>
  </si>
  <si>
    <t>SAP-8007861 - 5</t>
  </si>
  <si>
    <t>SAP-8007861 - 6</t>
  </si>
  <si>
    <t>SAP-8007862 - 1</t>
  </si>
  <si>
    <t>SAP-8007862 - 2</t>
  </si>
  <si>
    <t>SAP-8007862 - 3</t>
  </si>
  <si>
    <t>SAP-8007862 - 4</t>
  </si>
  <si>
    <t>SAP-8007862 - 5</t>
  </si>
  <si>
    <t>SAP-8007862 - 6</t>
  </si>
  <si>
    <t>SAP-8007863 - 1</t>
  </si>
  <si>
    <t>SAP-8007863 - 2</t>
  </si>
  <si>
    <t>SAP-8007863 - 3</t>
  </si>
  <si>
    <t>SAP-8007863 - 4</t>
  </si>
  <si>
    <t>SAP-8007863 - 5</t>
  </si>
  <si>
    <t>SAP-8007863 - 6</t>
  </si>
  <si>
    <t>SAP-8007864 - 1</t>
  </si>
  <si>
    <t>SAP-8007864 - 2</t>
  </si>
  <si>
    <t>SAP-8007864 - 3</t>
  </si>
  <si>
    <t>SAP-8007864 - 4</t>
  </si>
  <si>
    <t>SAP-8007864 - 5</t>
  </si>
  <si>
    <t>SAP-8007864 - 6</t>
  </si>
  <si>
    <t>SAP-8007865 - 1</t>
  </si>
  <si>
    <t>SAP-8007865 - 2</t>
  </si>
  <si>
    <t>SAP-8007865 - 3</t>
  </si>
  <si>
    <t>SAP-8007865 - 4</t>
  </si>
  <si>
    <t>SAP-8007865 - 5</t>
  </si>
  <si>
    <t>SAP-8007865 - 6</t>
  </si>
  <si>
    <t>SAP-8008006</t>
  </si>
  <si>
    <t>SAP-8008007</t>
  </si>
  <si>
    <t>SAP-8008012 - 1</t>
  </si>
  <si>
    <t>SAP-8008012 - 2</t>
  </si>
  <si>
    <t>SAP-8008012 - 3</t>
  </si>
  <si>
    <t>SAP-8008012 - 4</t>
  </si>
  <si>
    <t>SAP-8008019 - 1</t>
  </si>
  <si>
    <t>SAP Business Network Freight Collaboration</t>
  </si>
  <si>
    <t>SAP-8008019 - 2</t>
  </si>
  <si>
    <t>SAP-8008019 - 3</t>
  </si>
  <si>
    <t>SAP-8008019 - 4</t>
  </si>
  <si>
    <t>SAP-8008019 - 5</t>
  </si>
  <si>
    <t>SAP-8008021 - 1</t>
  </si>
  <si>
    <t>SAP Business Network Material Traceability</t>
  </si>
  <si>
    <t>SAP-8008021 - 2</t>
  </si>
  <si>
    <t>SAP-8008021 - 3</t>
  </si>
  <si>
    <t>SAP-8008021 - 4</t>
  </si>
  <si>
    <t>SAP-8008021 - 5</t>
  </si>
  <si>
    <t>SAP-8008021 - 6</t>
  </si>
  <si>
    <t>SAP-8008021 - 7</t>
  </si>
  <si>
    <t>SAP-8008021 - 8</t>
  </si>
  <si>
    <t>SAP-8008021 - 9</t>
  </si>
  <si>
    <t>SAP-8008021 - 10</t>
  </si>
  <si>
    <t>SAP-8008022 - 1</t>
  </si>
  <si>
    <t>SAP Business Network Material Traceability, participant option</t>
  </si>
  <si>
    <t>SAP-8008022 - 2</t>
  </si>
  <si>
    <t>SAP-8008022 - 3</t>
  </si>
  <si>
    <t>SAP-8008109 - 1</t>
  </si>
  <si>
    <t>SAP-8008109 - 2</t>
  </si>
  <si>
    <t>SAP-8008109 - 3</t>
  </si>
  <si>
    <t>SAP-8008109 - 4</t>
  </si>
  <si>
    <t>SAP-8008110</t>
  </si>
  <si>
    <t>SAP Business Network Asset Collaboration, premium membership, supplemental service storage add-on for SAP HANA</t>
  </si>
  <si>
    <t>SAP-8008207 - 1</t>
  </si>
  <si>
    <t>SAP Business Network, project44 rail visibility add-on</t>
  </si>
  <si>
    <t>SAP-8008207 - 2</t>
  </si>
  <si>
    <t>SAP-8008207 - 3</t>
  </si>
  <si>
    <t>SAP-8008207 - 4</t>
  </si>
  <si>
    <t>SAP-8008207 - 5</t>
  </si>
  <si>
    <t>SAP-8008210 - 1</t>
  </si>
  <si>
    <t>SAP Business Network, project44 FTL visibility add-on</t>
  </si>
  <si>
    <t>SAP-8008210 - 2</t>
  </si>
  <si>
    <t>SAP-8008210 - 3</t>
  </si>
  <si>
    <t>SAP-8008210 - 4</t>
  </si>
  <si>
    <t>SAP-8008210 - 5</t>
  </si>
  <si>
    <t>SAP-8008229</t>
  </si>
  <si>
    <t>SAP-8008476</t>
  </si>
  <si>
    <t>SAP-8008874 - 1</t>
  </si>
  <si>
    <t>SAP Business Network Global Track and Trace</t>
  </si>
  <si>
    <t>SAP-8008874 - 2</t>
  </si>
  <si>
    <t>SAP-8008874 - 3</t>
  </si>
  <si>
    <t>SAP-8008874 - 4</t>
  </si>
  <si>
    <t>SAP-8008874 - 5</t>
  </si>
  <si>
    <t>SAP-8008875</t>
  </si>
  <si>
    <t>SAP Business Network, shipper test tenant</t>
  </si>
  <si>
    <t>SAP-8008938 - 1</t>
  </si>
  <si>
    <t>SAP-8008938 - 2</t>
  </si>
  <si>
    <t>SAP-8008938 - 3</t>
  </si>
  <si>
    <t>SAP-8008938 - 4</t>
  </si>
  <si>
    <t>SAP-8008938 - 5</t>
  </si>
  <si>
    <t>SAP-8008940 - 1</t>
  </si>
  <si>
    <t>SAP-8008940 - 2</t>
  </si>
  <si>
    <t>SAP-8008940 - 3</t>
  </si>
  <si>
    <t>SAP-8008940 - 4</t>
  </si>
  <si>
    <t>SAP-8008940 - 5</t>
  </si>
  <si>
    <t>SAP-8010774 - 1</t>
  </si>
  <si>
    <t>SAP-8010774 - 2</t>
  </si>
  <si>
    <t>SAP-8010774 - 3</t>
  </si>
  <si>
    <t>SAP-8010780 - 1</t>
  </si>
  <si>
    <t>SAP-8010780 - 2</t>
  </si>
  <si>
    <t>SAP-8010780 - 3</t>
  </si>
  <si>
    <t>SAP-8010782 - 1</t>
  </si>
  <si>
    <t>SAP-8010782 - 2</t>
  </si>
  <si>
    <t>SAP-8010782 - 3</t>
  </si>
  <si>
    <t>SAP-8010789 - 1</t>
  </si>
  <si>
    <t>SAP-8010789 - 2</t>
  </si>
  <si>
    <t>SAP-8010789 - 3</t>
  </si>
  <si>
    <t>SAP-8010794 - 1</t>
  </si>
  <si>
    <t>SAP-8010794 - 2</t>
  </si>
  <si>
    <t>SAP-8010794 - 3</t>
  </si>
  <si>
    <t>SAP-8010794 - 4</t>
  </si>
  <si>
    <t>SAP-8010797 - 1</t>
  </si>
  <si>
    <t>SAP-8010797 - 2</t>
  </si>
  <si>
    <t>SAP-8010797 - 3</t>
  </si>
  <si>
    <t>SAP-8010798 - 1</t>
  </si>
  <si>
    <t>SAP-8010798 - 2</t>
  </si>
  <si>
    <t>SAP-8010798 - 3</t>
  </si>
  <si>
    <t>SAP-8010799 - 1</t>
  </si>
  <si>
    <t>SAP-8010799 - 2</t>
  </si>
  <si>
    <t>SAP-8010799 - 3</t>
  </si>
  <si>
    <t>SAP-8010799 - 4</t>
  </si>
  <si>
    <t>SAP-8010806 - 1</t>
  </si>
  <si>
    <t>SAP-8010806 - 2</t>
  </si>
  <si>
    <t>SAP-8010806 - 3</t>
  </si>
  <si>
    <t>SAP-8010809 - 1</t>
  </si>
  <si>
    <t>SAP-8010809 - 2</t>
  </si>
  <si>
    <t>SAP-8010809 - 3</t>
  </si>
  <si>
    <t>SAP-8010809 - 4</t>
  </si>
  <si>
    <t>SAP-8010809 - 5</t>
  </si>
  <si>
    <t>SAP-8010931 - 1</t>
  </si>
  <si>
    <t>SAP Business Network, project44 parcel visibility add-on</t>
  </si>
  <si>
    <t>SAP-8010931 - 2</t>
  </si>
  <si>
    <t>SAP-8010931 - 3</t>
  </si>
  <si>
    <t>SAP-8010931 - 4</t>
  </si>
  <si>
    <t>SAP-8010931 - 5</t>
  </si>
  <si>
    <t>SAP-8010958</t>
  </si>
  <si>
    <t>SAP Business Network Asset Collaboration, premium membership, test tenant add-on</t>
  </si>
  <si>
    <t>SAP-8011022</t>
  </si>
  <si>
    <t>SAP-8011023</t>
  </si>
  <si>
    <t>SAP-8011047 - 1</t>
  </si>
  <si>
    <t>SAP Business Network, intelligent insights add-on</t>
  </si>
  <si>
    <t>SAP-8011047 - 2</t>
  </si>
  <si>
    <t>SAP-8011047 - 3</t>
  </si>
  <si>
    <t>SAP-8011047 - 4</t>
  </si>
  <si>
    <t>SAP-8011047 - 5</t>
  </si>
  <si>
    <t>SAP-8011128 - 1</t>
  </si>
  <si>
    <t>SAP-8011128 - 2</t>
  </si>
  <si>
    <t>SAP-8011128 - 3</t>
  </si>
  <si>
    <t>SAP-8011128 - 4</t>
  </si>
  <si>
    <t>SAP-8011128 - 5</t>
  </si>
  <si>
    <t>SAP-8011422 - 1</t>
  </si>
  <si>
    <t>SAP-8011422 - 2</t>
  </si>
  <si>
    <t>SAP-8011422 - 3</t>
  </si>
  <si>
    <t>SAP-8011539</t>
  </si>
  <si>
    <t>SAP-8011540</t>
  </si>
  <si>
    <t>SAP-8012301 - 1</t>
  </si>
  <si>
    <t>SAP-8012301 - 2</t>
  </si>
  <si>
    <t>SAP-8012301 - 3</t>
  </si>
  <si>
    <t>SAP-8012301 - 4</t>
  </si>
  <si>
    <t>SAP-8012301 - 5</t>
  </si>
  <si>
    <t>SAP-8012301 - 6</t>
  </si>
  <si>
    <t>SAP-8012304 - 1</t>
  </si>
  <si>
    <t>SAP-8012304 - 2</t>
  </si>
  <si>
    <t>SAP-8012304 - 3</t>
  </si>
  <si>
    <t>SAP-8012304 - 4</t>
  </si>
  <si>
    <t>SAP-8012304 - 5</t>
  </si>
  <si>
    <t>SAP-8012304 - 6</t>
  </si>
  <si>
    <t>SAP-8012342 - 1</t>
  </si>
  <si>
    <t>SAP-8012342 - 2</t>
  </si>
  <si>
    <t>SAP-8012342 - 3</t>
  </si>
  <si>
    <t>SAP-8012342 - 4</t>
  </si>
  <si>
    <t>SAP-8012342 - 5</t>
  </si>
  <si>
    <t>SAP-8012343 - 1</t>
  </si>
  <si>
    <t>SAP-8012343 - 2</t>
  </si>
  <si>
    <t>SAP-8012343 - 3</t>
  </si>
  <si>
    <t>SAP-8012343 - 4</t>
  </si>
  <si>
    <t>SAP-8012343 - 5</t>
  </si>
  <si>
    <t>SAP-8012344</t>
  </si>
  <si>
    <t>SAP-8012544 - 1</t>
  </si>
  <si>
    <t>SAP Warehouse Robotics</t>
  </si>
  <si>
    <t>SAP-8012544 - 2</t>
  </si>
  <si>
    <t>SAP-8012544 - 3</t>
  </si>
  <si>
    <t>SAP-8012544 - 4</t>
  </si>
  <si>
    <t>SAP-8012544 - 5</t>
  </si>
  <si>
    <t>SAP-8013371</t>
  </si>
  <si>
    <t>SAP-8013374 - 1</t>
  </si>
  <si>
    <t>SAP-8013374 - 2</t>
  </si>
  <si>
    <t>SAP-8013374 - 3</t>
  </si>
  <si>
    <t>SAP-8013374 - 4</t>
  </si>
  <si>
    <t>SAP-8013374 - 5</t>
  </si>
  <si>
    <t>SAP-8013374 - 6</t>
  </si>
  <si>
    <t>SAP-8013374 - 7</t>
  </si>
  <si>
    <t>SAP-8013375</t>
  </si>
  <si>
    <t>SAP-8013405</t>
  </si>
  <si>
    <t>SAP Teamcenter by Siemens, 100-250 Medium, private cloud edition</t>
  </si>
  <si>
    <t>SAP-8013423</t>
  </si>
  <si>
    <t>SAP Teamcenter by Siemens, author, private cloud edition</t>
  </si>
  <si>
    <t>SAP-8013471</t>
  </si>
  <si>
    <t>SAP Teamcenter by Siemens, 1-100 Small, private cloud edition</t>
  </si>
  <si>
    <t>SAP-8013482</t>
  </si>
  <si>
    <t>SAP Teamcenter by Siemens, 251-1000 Large, private cloud edition</t>
  </si>
  <si>
    <t>SAP-8013491</t>
  </si>
  <si>
    <t>SAP Teamcenter by Siemens, brand management user, private cloud edition</t>
  </si>
  <si>
    <t>SAP-8013492</t>
  </si>
  <si>
    <t>SAP Teamcenter by Siemens, occasional author, private cloud edition</t>
  </si>
  <si>
    <t>SAP-8013494</t>
  </si>
  <si>
    <t>SAP Teamcenter by Siemens, gateway for EDA Library, private cloud edition</t>
  </si>
  <si>
    <t>SAP-8013495</t>
  </si>
  <si>
    <t>SAP Teamcenter by Siemens, integration for NX, private cloud edition</t>
  </si>
  <si>
    <t>SAP-8013496</t>
  </si>
  <si>
    <t>SAP Teamcenter by Siemens, integration for Creo, private cloud edition</t>
  </si>
  <si>
    <t>SAP-8013497</t>
  </si>
  <si>
    <t>SAP Teamcenter by Siemens, content management user, private cloud edition</t>
  </si>
  <si>
    <t>SAP-8013501</t>
  </si>
  <si>
    <t>SAP Teamcenter by Siemens, Consumer, private cloud edition</t>
  </si>
  <si>
    <t>SAP-8013505</t>
  </si>
  <si>
    <t>SAP Teamcenter by Siemens, advanced bom rollup, private cloud edition</t>
  </si>
  <si>
    <t>SAP-8013507</t>
  </si>
  <si>
    <t>SAP Teamcenter by Siemens, Program Planning, private cloud edition</t>
  </si>
  <si>
    <t>SAP-8013508</t>
  </si>
  <si>
    <t>SAP Teamcenter by Siemens, library management, private cloud edition</t>
  </si>
  <si>
    <t>SAP-8013513</t>
  </si>
  <si>
    <t>SAP Teamcenter by Siemens, change management, private cloud edition</t>
  </si>
  <si>
    <t>SAP-8013516</t>
  </si>
  <si>
    <t>SAP Teamcenter by Siemens, visualization mockup, private cloud edition</t>
  </si>
  <si>
    <t>SAP-8013523</t>
  </si>
  <si>
    <t>SAP Teamcenter by Siemens, Adv Product Configurator-level 1 solver, private cloud edition</t>
  </si>
  <si>
    <t>SAP-8013526</t>
  </si>
  <si>
    <t>SAP Teamcenter by Siemens, AI for Classification, private cloud edition</t>
  </si>
  <si>
    <t>SAP-8013527</t>
  </si>
  <si>
    <t>SAP Teamcenter by Siemens, engineering product configurator author, private cloud edition</t>
  </si>
  <si>
    <t>SAP-8013528</t>
  </si>
  <si>
    <t>SAP Teamcenter by Siemens, Packaging &amp; Artwork, private cloud edition</t>
  </si>
  <si>
    <t>SAP-8013529</t>
  </si>
  <si>
    <t>SAP Teamcenter by Siemens, content management S1000D, private cloud edition</t>
  </si>
  <si>
    <t>SAP-8013542</t>
  </si>
  <si>
    <t>SAP Teamcenter by Siemens, gateway for EDA, private cloud edition</t>
  </si>
  <si>
    <t>SAP-8013544</t>
  </si>
  <si>
    <t>SAP Teamcenter by Siemens, multi structure foundation, private cloud edition</t>
  </si>
  <si>
    <t>SAP-8013545</t>
  </si>
  <si>
    <t>SAP Teamcenter by Siemens, engineering product configurator-Lv2, private cloud edition</t>
  </si>
  <si>
    <t>SAP-8013546</t>
  </si>
  <si>
    <t>SAP Teamcenter by Siemens, Parameter Management, private cloud edition</t>
  </si>
  <si>
    <t>SAP-8013547</t>
  </si>
  <si>
    <t>SAP Teamcenter by Siemens, requirements management, private cloud edition</t>
  </si>
  <si>
    <t>SAP-8013554</t>
  </si>
  <si>
    <t>SAP Teamcenter by Siemens, visualization professional, private cloud edition</t>
  </si>
  <si>
    <t>SAP-8013555</t>
  </si>
  <si>
    <t>SAP Teamcenter by Siemens, Classification, private cloud edition</t>
  </si>
  <si>
    <t>SAP-8013556</t>
  </si>
  <si>
    <t>SAP Teamcenter by Siemens, schedule manager, private cloud edition</t>
  </si>
  <si>
    <t>SAP-8013565</t>
  </si>
  <si>
    <t>SAP Teamcenter by Siemens, integration for CATIA, private cloud edition</t>
  </si>
  <si>
    <t>SAP-8013571</t>
  </si>
  <si>
    <t>SAP Teamcenter by Siemens, CALM Direct User, private cloud edition</t>
  </si>
  <si>
    <t>SAP-8013572</t>
  </si>
  <si>
    <t>SAP Teamcenter by Siemens, CALM Foundation, private cloud edition</t>
  </si>
  <si>
    <t>SAP-8013573</t>
  </si>
  <si>
    <t>SAP Teamcenter by Siemens, Teamcenter Gateway for Enterprise Applications, private cloud edition</t>
  </si>
  <si>
    <t>SAP-8013581</t>
  </si>
  <si>
    <t>SAP Teamcenter by Siemens, CALM User iModel, private cloud edition</t>
  </si>
  <si>
    <t>SAP-8013582</t>
  </si>
  <si>
    <t>SAP Teamcenter by Siemens, integration for Mentor PADS, private cloud edition</t>
  </si>
  <si>
    <t>SAP-8013583</t>
  </si>
  <si>
    <t>SAP Teamcenter by Siemens, Relationship Browser, private cloud edition</t>
  </si>
  <si>
    <t>SAP-8013585</t>
  </si>
  <si>
    <t>SAP Teamcenter by Siemens, Open SDK, private cloud edition</t>
  </si>
  <si>
    <t>SAP-8013587</t>
  </si>
  <si>
    <t>SAP Teamcenter by Siemens, integration for SOLIDWORKS, private cloud edition</t>
  </si>
  <si>
    <t>SAP-8013588</t>
  </si>
  <si>
    <t>SAP Teamcenter by Siemens, integration for AutoCAD Electrical, private cloud edition</t>
  </si>
  <si>
    <t>SAP-8013593</t>
  </si>
  <si>
    <t>SAP Teamcenter by Siemens, integration for Inventor, private cloud edition</t>
  </si>
  <si>
    <t>SAP-8013594</t>
  </si>
  <si>
    <t>SAP Teamcenter by Siemens, SOLIDWORKS enterprise edition integration, private cloud edition</t>
  </si>
  <si>
    <t>SAP-8013603</t>
  </si>
  <si>
    <t>SAP Teamcenter by Siemens, visualization standard, private cloud edition</t>
  </si>
  <si>
    <t>SAP-8013614</t>
  </si>
  <si>
    <t>SAP Teamcenter by Siemens, integration for AutoCAD, private cloud edition</t>
  </si>
  <si>
    <t>SAP-8013643</t>
  </si>
  <si>
    <t>SAP Teamcenter by Siemens, JT Import for CATIA V5, private cloud edition</t>
  </si>
  <si>
    <t>SAP-8013646 - 1</t>
  </si>
  <si>
    <t>SAP Business Network, project44 air visibility add-on</t>
  </si>
  <si>
    <t>SAP-8013646 - 2</t>
  </si>
  <si>
    <t>SAP-8013646 - 3</t>
  </si>
  <si>
    <t>SAP-8013646 - 4</t>
  </si>
  <si>
    <t>SAP-8013646 - 5</t>
  </si>
  <si>
    <t>SAP-8013654 - 1</t>
  </si>
  <si>
    <t>SAP Business Network, project44 LTL visibility add-on</t>
  </si>
  <si>
    <t>SAP-8013654 - 2</t>
  </si>
  <si>
    <t>SAP-8013654 - 3</t>
  </si>
  <si>
    <t>SAP-8013654 - 4</t>
  </si>
  <si>
    <t>SAP-8013654 - 5</t>
  </si>
  <si>
    <t>SAP-8013663 - 1</t>
  </si>
  <si>
    <t>SAP Business Network, project44 ocean visibility add-on</t>
  </si>
  <si>
    <t>SAP-8013663 - 2</t>
  </si>
  <si>
    <t>SAP-8013663 - 3</t>
  </si>
  <si>
    <t>SAP-8013663 - 4</t>
  </si>
  <si>
    <t>SAP-8013663 - 5</t>
  </si>
  <si>
    <t>SAP-8013694</t>
  </si>
  <si>
    <t>SAP Teamcenter by Siemens, JT Bi-Directional Translator for CATIA V5, private cloud edition</t>
  </si>
  <si>
    <t>SAP-8013696 - 1</t>
  </si>
  <si>
    <t>SAP-8013696 - 2</t>
  </si>
  <si>
    <t>SAP-8013696 - 3</t>
  </si>
  <si>
    <t>SAP-8013697 - 1</t>
  </si>
  <si>
    <t>SAP-8013697 - 2</t>
  </si>
  <si>
    <t>SAP-8013697 - 3</t>
  </si>
  <si>
    <t>SAP-8013721</t>
  </si>
  <si>
    <t>SAP-8013728 - 1</t>
  </si>
  <si>
    <t>SAP Product and Process Governance by BDF for SAP S/4HANA Cloud, private edition</t>
  </si>
  <si>
    <t>SAP-8013728 - 2</t>
  </si>
  <si>
    <t>SAP-8013728 - 3</t>
  </si>
  <si>
    <t>SAP-8013728 - 4</t>
  </si>
  <si>
    <t>SAP-8013775 - 1</t>
  </si>
  <si>
    <t>SAP Product and Process Governance by BDF, private cloud edition</t>
  </si>
  <si>
    <t>SAP-8013775 - 2</t>
  </si>
  <si>
    <t>SAP-8013775 - 3</t>
  </si>
  <si>
    <t>SAP-8013775 - 4</t>
  </si>
  <si>
    <t>SAP-8013792 - 1</t>
  </si>
  <si>
    <t>SAP-8013792 - 2</t>
  </si>
  <si>
    <t>SAP-8013792 - 3</t>
  </si>
  <si>
    <t>SAP-8013792 - 4</t>
  </si>
  <si>
    <t>SAP-8013792 - 5</t>
  </si>
  <si>
    <t>SAP-8014073 - 1</t>
  </si>
  <si>
    <t>SAP Quality Issue Resolution</t>
  </si>
  <si>
    <t>SAP-8014073 - 2</t>
  </si>
  <si>
    <t>SAP-8014073 - 3</t>
  </si>
  <si>
    <t>SAP-8014073 - 4</t>
  </si>
  <si>
    <t>SAP-8014073 - 5</t>
  </si>
  <si>
    <t>SAP-8014247 - 1</t>
  </si>
  <si>
    <t>SAP-8014247 - 2</t>
  </si>
  <si>
    <t>SAP-8014247 - 3</t>
  </si>
  <si>
    <t>SAP-8014247 - 4</t>
  </si>
  <si>
    <t>SAP-8014247 - 5</t>
  </si>
  <si>
    <t>SAP-8014247 - 6</t>
  </si>
  <si>
    <t>SAP-8014701</t>
  </si>
  <si>
    <t>SAP Teamcenter by Siemens, partitions, private cloud edition</t>
  </si>
  <si>
    <t>SAP-8014711</t>
  </si>
  <si>
    <t>SAP Teamcenter by Siemens, partner connect, private cloud edition</t>
  </si>
  <si>
    <t>SAP-8014721</t>
  </si>
  <si>
    <t>SAP Teamcenter by Siemens, Rapid start for Altium Designer, private cloud edition</t>
  </si>
  <si>
    <t>SAP-8014722</t>
  </si>
  <si>
    <t>SAP Teamcenter by Siemens, smart discovery, private cloud edition</t>
  </si>
  <si>
    <t>SAP-8014845 - 1</t>
  </si>
  <si>
    <t>SAP Business Network Asset Collaboration, premium membership, supplemental device add-on</t>
  </si>
  <si>
    <t>SAP-8014845 - 2</t>
  </si>
  <si>
    <t>SAP-8014845 - 3</t>
  </si>
  <si>
    <t>SAP-8014845 - 4</t>
  </si>
  <si>
    <t>SAP-8014845 - 5</t>
  </si>
  <si>
    <t>SAP-8014845 - 6</t>
  </si>
  <si>
    <t>SAP-8014921</t>
  </si>
  <si>
    <t>SAP Business Network Asset Collaboration, premium membership</t>
  </si>
  <si>
    <t>SAP-8014931 - 1</t>
  </si>
  <si>
    <t>SAP Business Network Asset Collaboration, premium membership, supplemental maintenance management documents add-on</t>
  </si>
  <si>
    <t>SAP-8014931 - 2</t>
  </si>
  <si>
    <t>SAP-8014931 - 3</t>
  </si>
  <si>
    <t>SAP-8014931 - 4</t>
  </si>
  <si>
    <t>SAP-8014931 - 5</t>
  </si>
  <si>
    <t>SAP-8014931 - 6</t>
  </si>
  <si>
    <t>SAP-8005140 - 1</t>
  </si>
  <si>
    <t>SAP-8005140 - 2</t>
  </si>
  <si>
    <t>SAP-8005140 - 3</t>
  </si>
  <si>
    <t>SAP-8005140 - 4</t>
  </si>
  <si>
    <t>SAP-8005140 - 5</t>
  </si>
  <si>
    <t>SAP-8005140 - 6</t>
  </si>
  <si>
    <t>SAP-8005140 - 7</t>
  </si>
  <si>
    <t>SAP-8005140 - 8</t>
  </si>
  <si>
    <t>SAP-8005140 - 9</t>
  </si>
  <si>
    <t>SAP-8005447</t>
  </si>
  <si>
    <t>SAP-8005448</t>
  </si>
  <si>
    <t>SAP-8005988</t>
  </si>
  <si>
    <t>SAP-8007640</t>
  </si>
  <si>
    <t>SAP-8007993 - 1</t>
  </si>
  <si>
    <t>SAP Content Stream by Skillsoft, productivity and collaboration edition</t>
  </si>
  <si>
    <t>SAP-8007993 - 2</t>
  </si>
  <si>
    <t>SAP-8007993 - 3</t>
  </si>
  <si>
    <t>SAP-8007993 - 4</t>
  </si>
  <si>
    <t>SAP-8007993 - 5</t>
  </si>
  <si>
    <t>SAP-8007993 - 6</t>
  </si>
  <si>
    <t>SAP-8007993 - 7</t>
  </si>
  <si>
    <t>SAP-8007993 - 8</t>
  </si>
  <si>
    <t>SAP-8007993 - 9</t>
  </si>
  <si>
    <t>SAP-8007994 - 1</t>
  </si>
  <si>
    <t>SAP Content Stream by Skillsoft, business essentials edition</t>
  </si>
  <si>
    <t>SAP-8007994 - 2</t>
  </si>
  <si>
    <t>SAP-8007994 - 3</t>
  </si>
  <si>
    <t>SAP-8007994 - 4</t>
  </si>
  <si>
    <t>SAP-8007994 - 5</t>
  </si>
  <si>
    <t>SAP-8007994 - 6</t>
  </si>
  <si>
    <t>SAP-8007994 - 7</t>
  </si>
  <si>
    <t>SAP-8007994 - 8</t>
  </si>
  <si>
    <t>SAP-8007994 - 9</t>
  </si>
  <si>
    <t>SAP-8007995 - 1</t>
  </si>
  <si>
    <t>SAP Content Stream by Skillsoft, leadership and digital transformation edition</t>
  </si>
  <si>
    <t>SAP-8007995 - 2</t>
  </si>
  <si>
    <t>SAP-8007995 - 3</t>
  </si>
  <si>
    <t>SAP-8007995 - 4</t>
  </si>
  <si>
    <t>SAP-8007995 - 5</t>
  </si>
  <si>
    <t>SAP-8007995 - 6</t>
  </si>
  <si>
    <t>SAP-8007995 - 7</t>
  </si>
  <si>
    <t>SAP-8007995 - 8</t>
  </si>
  <si>
    <t>SAP-8007995 - 9</t>
  </si>
  <si>
    <t>SAP-8007996 - 1</t>
  </si>
  <si>
    <t>SAP Content Stream by Skillsoft, technology and developer edition</t>
  </si>
  <si>
    <t>SAP-8007996 - 2</t>
  </si>
  <si>
    <t>SAP-8007996 - 3</t>
  </si>
  <si>
    <t>SAP-8007996 - 4</t>
  </si>
  <si>
    <t>SAP-8007996 - 5</t>
  </si>
  <si>
    <t>SAP-8007996 - 6</t>
  </si>
  <si>
    <t>SAP-8007996 - 7</t>
  </si>
  <si>
    <t>SAP-8007996 - 8</t>
  </si>
  <si>
    <t>SAP-8007996 - 9</t>
  </si>
  <si>
    <t>SAP-8008014 - 1</t>
  </si>
  <si>
    <t>SAP U.S. Benefits Administration by Benefitfocus, full benefits option</t>
  </si>
  <si>
    <t>SAP-8008014 - 2</t>
  </si>
  <si>
    <t>SAP-8008014 - 3</t>
  </si>
  <si>
    <t>SAP-8008014 - 4</t>
  </si>
  <si>
    <t>SAP-8008014 - 5</t>
  </si>
  <si>
    <t>SAP-8008014 - 6</t>
  </si>
  <si>
    <t>SAP-8008014 - 7</t>
  </si>
  <si>
    <t>SAP-8008014 - 8</t>
  </si>
  <si>
    <t>SAP-8008014 - 9</t>
  </si>
  <si>
    <t>SAP-8008015 - 1</t>
  </si>
  <si>
    <t>SAP U.S. Benefits Administration by Benefitfocus, voluntary benefits option</t>
  </si>
  <si>
    <t>SAP-8008015 - 2</t>
  </si>
  <si>
    <t>SAP-8008015 - 3</t>
  </si>
  <si>
    <t>SAP-8008015 - 4</t>
  </si>
  <si>
    <t>SAP-8008015 - 5</t>
  </si>
  <si>
    <t>SAP-8008015 - 6</t>
  </si>
  <si>
    <t>SAP-8008015 - 7</t>
  </si>
  <si>
    <t>SAP-8008015 - 8</t>
  </si>
  <si>
    <t>SAP-8008015 - 9</t>
  </si>
  <si>
    <t>SAP-8008016</t>
  </si>
  <si>
    <t>SAP U.S. Benefits Administration by Benefitfocus, interface add-on</t>
  </si>
  <si>
    <t>SAP-8008033 - 1</t>
  </si>
  <si>
    <t>SAP Signature Management by DocuSign, premium edition for SAP SuccessFactors</t>
  </si>
  <si>
    <t>SAP-8008033 - 2</t>
  </si>
  <si>
    <t>SAP-8008033 - 3</t>
  </si>
  <si>
    <t>SAP-8008033 - 4</t>
  </si>
  <si>
    <t>SAP-8008145</t>
  </si>
  <si>
    <t>SAP-8008384 - 1</t>
  </si>
  <si>
    <t>SAP Time and Attendance Management by WorkForce Software</t>
  </si>
  <si>
    <t>SAP-8008384 - 2</t>
  </si>
  <si>
    <t>SAP-8008384 - 3</t>
  </si>
  <si>
    <t>SAP-8008384 - 4</t>
  </si>
  <si>
    <t>SAP-8008384 - 5</t>
  </si>
  <si>
    <t>SAP-8008384 - 6</t>
  </si>
  <si>
    <t>SAP-8008384 - 7</t>
  </si>
  <si>
    <t>SAP-8008384 - 8</t>
  </si>
  <si>
    <t>SAP-8008384 - 9</t>
  </si>
  <si>
    <t>SAP-8008385 - 1</t>
  </si>
  <si>
    <t>SAP Workforce Forecasting and Scheduling by WorkForce Software</t>
  </si>
  <si>
    <t>SAP-8008385 - 2</t>
  </si>
  <si>
    <t>SAP-8008385 - 3</t>
  </si>
  <si>
    <t>SAP-8008385 - 4</t>
  </si>
  <si>
    <t>SAP-8008385 - 5</t>
  </si>
  <si>
    <t>SAP-8008385 - 6</t>
  </si>
  <si>
    <t>SAP-8008385 - 7</t>
  </si>
  <si>
    <t>SAP-8008385 - 8</t>
  </si>
  <si>
    <t>SAP-8008385 - 9</t>
  </si>
  <si>
    <t>SAP-8008386</t>
  </si>
  <si>
    <t>SAP Time &amp; Attendance by WFS Adnl Instance</t>
  </si>
  <si>
    <t>SAP-8008387 - 1</t>
  </si>
  <si>
    <t>SAP Absence and Leave Management by WorkForce Software</t>
  </si>
  <si>
    <t>SAP-8008387 - 2</t>
  </si>
  <si>
    <t>SAP-8008387 - 3</t>
  </si>
  <si>
    <t>SAP-8008387 - 4</t>
  </si>
  <si>
    <t>SAP-8008387 - 5</t>
  </si>
  <si>
    <t>SAP-8008387 - 6</t>
  </si>
  <si>
    <t>SAP-8008387 - 7</t>
  </si>
  <si>
    <t>SAP-8008387 - 8</t>
  </si>
  <si>
    <t>SAP-8008387 - 9</t>
  </si>
  <si>
    <t>SAP-8008428 - 1</t>
  </si>
  <si>
    <t>SAP-8008428 - 2</t>
  </si>
  <si>
    <t>SAP-8008428 - 3</t>
  </si>
  <si>
    <t>SAP-8008428 - 4</t>
  </si>
  <si>
    <t>SAP-8008428 - 5</t>
  </si>
  <si>
    <t>SAP-8008428 - 6</t>
  </si>
  <si>
    <t>SAP-8008428 - 7</t>
  </si>
  <si>
    <t>SAP-8008428 - 8</t>
  </si>
  <si>
    <t>SAP-8008428 - 9</t>
  </si>
  <si>
    <t>SAP-8008642 - 1</t>
  </si>
  <si>
    <t>SAP SuccessFactors Employee Central Payroll</t>
  </si>
  <si>
    <t>SAP-8008642 - 2</t>
  </si>
  <si>
    <t>SAP-8008642 - 3</t>
  </si>
  <si>
    <t>SAP-8008642 - 4</t>
  </si>
  <si>
    <t>SAP-8008642 - 5</t>
  </si>
  <si>
    <t>SAP-8008642 - 6</t>
  </si>
  <si>
    <t>SAP-8008642 - 7</t>
  </si>
  <si>
    <t>SAP-8008642 - 8</t>
  </si>
  <si>
    <t>SAP-8008642 - 9</t>
  </si>
  <si>
    <t>SAP-8008645 - 1</t>
  </si>
  <si>
    <t>SAP SuccessFactors Employee Central Payroll, additional nonproductive tenant</t>
  </si>
  <si>
    <t>SAP-8008645 - 2</t>
  </si>
  <si>
    <t>SAP-8008645 - 3</t>
  </si>
  <si>
    <t>SAP-8008645 - 4</t>
  </si>
  <si>
    <t>SAP-8008645 - 5</t>
  </si>
  <si>
    <t>SAP-8008645 - 6</t>
  </si>
  <si>
    <t>SAP-8008645 - 7</t>
  </si>
  <si>
    <t>SAP-8008645 - 8</t>
  </si>
  <si>
    <t>SAP-8008645 - 9</t>
  </si>
  <si>
    <t>SAP-8008646</t>
  </si>
  <si>
    <t>SAP-8008975 - 1</t>
  </si>
  <si>
    <t>SAP-8008975 - 2</t>
  </si>
  <si>
    <t>SAP-8008975 - 3</t>
  </si>
  <si>
    <t>SAP-8008975 - 4</t>
  </si>
  <si>
    <t>SAP-8008975 - 5</t>
  </si>
  <si>
    <t>SAP-8008975 - 6</t>
  </si>
  <si>
    <t>SAP-8008975 - 7</t>
  </si>
  <si>
    <t>SAP-8008975 - 8</t>
  </si>
  <si>
    <t>SAP-8008975 - 9</t>
  </si>
  <si>
    <t>SAP-8009345</t>
  </si>
  <si>
    <t>SAP-8011079 - 1</t>
  </si>
  <si>
    <t>SAP Agent Lifecycle Management</t>
  </si>
  <si>
    <t>SAP-8011079 - 2</t>
  </si>
  <si>
    <t>SAP-8011079 - 3</t>
  </si>
  <si>
    <t>SAP-8011079 - 4</t>
  </si>
  <si>
    <t>SAP-8011079 - 5</t>
  </si>
  <si>
    <t>SAP-8011079 - 6</t>
  </si>
  <si>
    <t>SAP-8011079 - 7</t>
  </si>
  <si>
    <t>SAP-8011079 - 8</t>
  </si>
  <si>
    <t>SAP-8011079 - 9</t>
  </si>
  <si>
    <t>SAP-8011080 - 1</t>
  </si>
  <si>
    <t>SAP-8011080 - 2</t>
  </si>
  <si>
    <t>SAP-8011080 - 3</t>
  </si>
  <si>
    <t>SAP-8011080 - 4</t>
  </si>
  <si>
    <t>SAP-8011080 - 5</t>
  </si>
  <si>
    <t>SAP-8011080 - 6</t>
  </si>
  <si>
    <t>SAP-8011080 - 7</t>
  </si>
  <si>
    <t>SAP-8011080 - 8</t>
  </si>
  <si>
    <t>SAP-8011080 - 9</t>
  </si>
  <si>
    <t>SAP-8011272 - 1</t>
  </si>
  <si>
    <t>SAP-8011272 - 2</t>
  </si>
  <si>
    <t>SAP-8011272 - 3</t>
  </si>
  <si>
    <t>SAP-8011272 - 4</t>
  </si>
  <si>
    <t>SAP-8011272 - 5</t>
  </si>
  <si>
    <t>SAP-8011272 - 6</t>
  </si>
  <si>
    <t>SAP-8011272 - 7</t>
  </si>
  <si>
    <t>SAP-8011272 - 8</t>
  </si>
  <si>
    <t>SAP-8011272 - 9</t>
  </si>
  <si>
    <t>SAP-8011273 - 1</t>
  </si>
  <si>
    <t>SAP-8011273 - 2</t>
  </si>
  <si>
    <t>SAP-8011273 - 3</t>
  </si>
  <si>
    <t>SAP-8011273 - 4</t>
  </si>
  <si>
    <t>SAP-8011273 - 5</t>
  </si>
  <si>
    <t>SAP-8011273 - 6</t>
  </si>
  <si>
    <t>SAP-8011273 - 7</t>
  </si>
  <si>
    <t>SAP-8011273 - 8</t>
  </si>
  <si>
    <t>SAP-8011273 - 9</t>
  </si>
  <si>
    <t>SAP-8011313 - 1</t>
  </si>
  <si>
    <t>SAP-8011313 - 2</t>
  </si>
  <si>
    <t>SAP-8011313 - 3</t>
  </si>
  <si>
    <t>SAP-8011313 - 4</t>
  </si>
  <si>
    <t>SAP-8011313 - 5</t>
  </si>
  <si>
    <t>SAP-8011313 - 6</t>
  </si>
  <si>
    <t>SAP-8011313 - 7</t>
  </si>
  <si>
    <t>SAP-8011313 - 8</t>
  </si>
  <si>
    <t>SAP-8011313 - 9</t>
  </si>
  <si>
    <t>SAP-8011493 - 1</t>
  </si>
  <si>
    <t>SAP Content Stream by Skillsoft, business expert edition</t>
  </si>
  <si>
    <t>SAP-8011493 - 2</t>
  </si>
  <si>
    <t>SAP-8011493 - 3</t>
  </si>
  <si>
    <t>SAP-8011493 - 4</t>
  </si>
  <si>
    <t>SAP-8011493 - 5</t>
  </si>
  <si>
    <t>SAP-8011493 - 6</t>
  </si>
  <si>
    <t>SAP-8011493 - 7</t>
  </si>
  <si>
    <t>SAP-8011493 - 8</t>
  </si>
  <si>
    <t>SAP-8011493 - 9</t>
  </si>
  <si>
    <t>SAP-8011494 - 1</t>
  </si>
  <si>
    <t>SAP Content Stream by Skillsoft, legal compliance edition</t>
  </si>
  <si>
    <t>SAP-8011494 - 2</t>
  </si>
  <si>
    <t>SAP-8011494 - 3</t>
  </si>
  <si>
    <t>SAP-8011494 - 4</t>
  </si>
  <si>
    <t>SAP-8011494 - 5</t>
  </si>
  <si>
    <t>SAP-8011494 - 6</t>
  </si>
  <si>
    <t>SAP-8011494 - 7</t>
  </si>
  <si>
    <t>SAP-8011494 - 8</t>
  </si>
  <si>
    <t>SAP-8011494 - 9</t>
  </si>
  <si>
    <t>SAP-8011495 - 1</t>
  </si>
  <si>
    <t>SAP Content Stream by Skillsoft, EHS edition</t>
  </si>
  <si>
    <t>SAP-8011495 - 2</t>
  </si>
  <si>
    <t>SAP-8011495 - 3</t>
  </si>
  <si>
    <t>SAP-8011495 - 4</t>
  </si>
  <si>
    <t>SAP-8011495 - 5</t>
  </si>
  <si>
    <t>SAP-8011495 - 6</t>
  </si>
  <si>
    <t>SAP-8011495 - 7</t>
  </si>
  <si>
    <t>SAP-8011495 - 8</t>
  </si>
  <si>
    <t>SAP-8011495 - 9</t>
  </si>
  <si>
    <t>SAP-8011503 - 1</t>
  </si>
  <si>
    <t>SAP U.S. Payroll Tax Calculation by BSI</t>
  </si>
  <si>
    <t>SAP-8011503 - 2</t>
  </si>
  <si>
    <t>SAP-8011503 - 3</t>
  </si>
  <si>
    <t>SAP-8011503 - 4</t>
  </si>
  <si>
    <t>SAP-8011503 - 5</t>
  </si>
  <si>
    <t>SAP-8011503 - 6</t>
  </si>
  <si>
    <t>SAP-8011503 - 7</t>
  </si>
  <si>
    <t>SAP-8011503 - 8</t>
  </si>
  <si>
    <t>SAP-8011503 - 9</t>
  </si>
  <si>
    <t>SAP-8011504 - 1</t>
  </si>
  <si>
    <t>SAP U.S. Payroll Tax Calculation by BSI, private cloud edition</t>
  </si>
  <si>
    <t>SAP-8011504 - 2</t>
  </si>
  <si>
    <t>SAP-8011504 - 3</t>
  </si>
  <si>
    <t>SAP-8011504 - 4</t>
  </si>
  <si>
    <t>SAP-8011504 - 5</t>
  </si>
  <si>
    <t>SAP-8011504 - 6</t>
  </si>
  <si>
    <t>SAP-8011504 - 7</t>
  </si>
  <si>
    <t>SAP-8011504 - 8</t>
  </si>
  <si>
    <t>SAP-8011504 - 9</t>
  </si>
  <si>
    <t>SAP-8011514 - 1</t>
  </si>
  <si>
    <t>SAP-8011514 - 2</t>
  </si>
  <si>
    <t>SAP-8011514 - 3</t>
  </si>
  <si>
    <t>SAP-8011514 - 4</t>
  </si>
  <si>
    <t>SAP-8011514 - 5</t>
  </si>
  <si>
    <t>SAP-8011514 - 6</t>
  </si>
  <si>
    <t>SAP-8011514 - 7</t>
  </si>
  <si>
    <t>SAP-8011514 - 8</t>
  </si>
  <si>
    <t>SAP-8011514 - 9</t>
  </si>
  <si>
    <t>SAP-8011631 - 1</t>
  </si>
  <si>
    <t>SAP Signature Management by DocuSign, basic edition for SAP SuccessFactors solutions</t>
  </si>
  <si>
    <t>SAP-8011631 - 2</t>
  </si>
  <si>
    <t>SAP-8011631 - 3</t>
  </si>
  <si>
    <t>SAP-8011631 - 4</t>
  </si>
  <si>
    <t>SAP-8011733 - 1</t>
  </si>
  <si>
    <t>SAP-8011733 - 2</t>
  </si>
  <si>
    <t>SAP-8011733 - 3</t>
  </si>
  <si>
    <t>SAP-8011733 - 4</t>
  </si>
  <si>
    <t>SAP-8011733 - 5</t>
  </si>
  <si>
    <t>SAP-8011733 - 6</t>
  </si>
  <si>
    <t>SAP-8011733 - 7</t>
  </si>
  <si>
    <t>SAP-8011733 - 8</t>
  </si>
  <si>
    <t>SAP-8011733 - 9</t>
  </si>
  <si>
    <t>SAP-8011734 - 1</t>
  </si>
  <si>
    <t>SAP-8011734 - 2</t>
  </si>
  <si>
    <t>SAP-8011734 - 3</t>
  </si>
  <si>
    <t>SAP-8011734 - 4</t>
  </si>
  <si>
    <t>SAP-8011734 - 5</t>
  </si>
  <si>
    <t>SAP-8011734 - 6</t>
  </si>
  <si>
    <t>SAP-8011734 - 7</t>
  </si>
  <si>
    <t>SAP-8011734 - 8</t>
  </si>
  <si>
    <t>SAP-8011734 - 9</t>
  </si>
  <si>
    <t>SAP-8011735 - 1</t>
  </si>
  <si>
    <t>SAP-8011735 - 2</t>
  </si>
  <si>
    <t>SAP-8011735 - 3</t>
  </si>
  <si>
    <t>SAP-8011735 - 4</t>
  </si>
  <si>
    <t>SAP-8011735 - 5</t>
  </si>
  <si>
    <t>SAP-8011735 - 6</t>
  </si>
  <si>
    <t>SAP-8011735 - 7</t>
  </si>
  <si>
    <t>SAP-8011735 - 8</t>
  </si>
  <si>
    <t>SAP-8011735 - 9</t>
  </si>
  <si>
    <t>SAP-8011736 - 1</t>
  </si>
  <si>
    <t>SAP-8011736 - 2</t>
  </si>
  <si>
    <t>SAP-8011736 - 3</t>
  </si>
  <si>
    <t>SAP-8011736 - 4</t>
  </si>
  <si>
    <t>SAP-8011736 - 5</t>
  </si>
  <si>
    <t>SAP-8011736 - 6</t>
  </si>
  <si>
    <t>SAP-8011736 - 7</t>
  </si>
  <si>
    <t>SAP-8011736 - 8</t>
  </si>
  <si>
    <t>SAP-8011736 - 9</t>
  </si>
  <si>
    <t>SAP-8011737 - 1</t>
  </si>
  <si>
    <t>SAP-8011737 - 2</t>
  </si>
  <si>
    <t>SAP-8011737 - 3</t>
  </si>
  <si>
    <t>SAP-8011737 - 4</t>
  </si>
  <si>
    <t>SAP-8011737 - 5</t>
  </si>
  <si>
    <t>SAP-8011737 - 6</t>
  </si>
  <si>
    <t>SAP-8011737 - 7</t>
  </si>
  <si>
    <t>SAP-8011737 - 8</t>
  </si>
  <si>
    <t>SAP-8011737 - 9</t>
  </si>
  <si>
    <t>SAP-8011738 - 1</t>
  </si>
  <si>
    <t>SAP-8011738 - 2</t>
  </si>
  <si>
    <t>SAP-8011738 - 3</t>
  </si>
  <si>
    <t>SAP-8011738 - 4</t>
  </si>
  <si>
    <t>SAP-8011738 - 5</t>
  </si>
  <si>
    <t>SAP-8011738 - 6</t>
  </si>
  <si>
    <t>SAP-8011738 - 7</t>
  </si>
  <si>
    <t>SAP-8011738 - 8</t>
  </si>
  <si>
    <t>SAP-8011738 - 9</t>
  </si>
  <si>
    <t>SAP-8011739 - 1</t>
  </si>
  <si>
    <t>SAP-8011739 - 2</t>
  </si>
  <si>
    <t>SAP-8011739 - 3</t>
  </si>
  <si>
    <t>SAP-8011739 - 4</t>
  </si>
  <si>
    <t>SAP-8011739 - 5</t>
  </si>
  <si>
    <t>SAP-8011739 - 6</t>
  </si>
  <si>
    <t>SAP-8011739 - 7</t>
  </si>
  <si>
    <t>SAP-8011739 - 8</t>
  </si>
  <si>
    <t>SAP-8011739 - 9</t>
  </si>
  <si>
    <t>SAP-8011740 - 1</t>
  </si>
  <si>
    <t>SAP-8011740 - 2</t>
  </si>
  <si>
    <t>SAP-8011740 - 3</t>
  </si>
  <si>
    <t>SAP-8011740 - 4</t>
  </si>
  <si>
    <t>SAP-8011740 - 5</t>
  </si>
  <si>
    <t>SAP-8011740 - 6</t>
  </si>
  <si>
    <t>SAP-8011740 - 7</t>
  </si>
  <si>
    <t>SAP-8011740 - 8</t>
  </si>
  <si>
    <t>SAP-8011740 - 9</t>
  </si>
  <si>
    <t>SAP-8011741 - 1</t>
  </si>
  <si>
    <t>SAP-8011741 - 2</t>
  </si>
  <si>
    <t>SAP-8011741 - 3</t>
  </si>
  <si>
    <t>SAP-8011741 - 4</t>
  </si>
  <si>
    <t>SAP-8011741 - 5</t>
  </si>
  <si>
    <t>SAP-8011741 - 6</t>
  </si>
  <si>
    <t>SAP-8011741 - 7</t>
  </si>
  <si>
    <t>SAP-8011741 - 8</t>
  </si>
  <si>
    <t>SAP-8011741 - 9</t>
  </si>
  <si>
    <t>SAP-8011742 - 1</t>
  </si>
  <si>
    <t>SAP-8011742 - 2</t>
  </si>
  <si>
    <t>SAP-8011742 - 3</t>
  </si>
  <si>
    <t>SAP-8011742 - 4</t>
  </si>
  <si>
    <t>SAP-8011742 - 5</t>
  </si>
  <si>
    <t>SAP-8011742 - 6</t>
  </si>
  <si>
    <t>SAP-8011742 - 7</t>
  </si>
  <si>
    <t>SAP-8011742 - 8</t>
  </si>
  <si>
    <t>SAP-8011742 - 9</t>
  </si>
  <si>
    <t>SAP-8011743 - 1</t>
  </si>
  <si>
    <t>SAP-8011743 - 2</t>
  </si>
  <si>
    <t>SAP-8011743 - 3</t>
  </si>
  <si>
    <t>SAP-8011743 - 4</t>
  </si>
  <si>
    <t>SAP-8011743 - 5</t>
  </si>
  <si>
    <t>SAP-8011743 - 6</t>
  </si>
  <si>
    <t>SAP-8011743 - 7</t>
  </si>
  <si>
    <t>SAP-8011743 - 8</t>
  </si>
  <si>
    <t>SAP-8011743 - 9</t>
  </si>
  <si>
    <t>SAP-8011744 - 1</t>
  </si>
  <si>
    <t>SAP-8011744 - 2</t>
  </si>
  <si>
    <t>SAP-8011744 - 3</t>
  </si>
  <si>
    <t>SAP-8011744 - 4</t>
  </si>
  <si>
    <t>SAP-8011744 - 5</t>
  </si>
  <si>
    <t>SAP-8011744 - 6</t>
  </si>
  <si>
    <t>SAP-8011744 - 7</t>
  </si>
  <si>
    <t>SAP-8011744 - 8</t>
  </si>
  <si>
    <t>SAP-8011744 - 9</t>
  </si>
  <si>
    <t>SAP-8011745 - 1</t>
  </si>
  <si>
    <t>SAP-8011745 - 2</t>
  </si>
  <si>
    <t>SAP-8011745 - 3</t>
  </si>
  <si>
    <t>SAP-8011745 - 4</t>
  </si>
  <si>
    <t>SAP-8011745 - 5</t>
  </si>
  <si>
    <t>SAP-8011745 - 6</t>
  </si>
  <si>
    <t>SAP-8011745 - 7</t>
  </si>
  <si>
    <t>SAP-8011745 - 8</t>
  </si>
  <si>
    <t>SAP-8011745 - 9</t>
  </si>
  <si>
    <t>SAP-8012128 - 1</t>
  </si>
  <si>
    <t>SAP U.S. Benefits Administration by Benefitfocus, healthcare spend insights option</t>
  </si>
  <si>
    <t>SAP-8012128 - 2</t>
  </si>
  <si>
    <t>SAP-8012128 - 3</t>
  </si>
  <si>
    <t>SAP-8012128 - 4</t>
  </si>
  <si>
    <t>SAP-8012128 - 5</t>
  </si>
  <si>
    <t>SAP-8012128 - 6</t>
  </si>
  <si>
    <t>SAP-8012128 - 7</t>
  </si>
  <si>
    <t>SAP-8012128 - 8</t>
  </si>
  <si>
    <t>SAP-8012128 - 9</t>
  </si>
  <si>
    <t>SAP-8013377 - 1</t>
  </si>
  <si>
    <t>SAP U.S. Benefits Administration by Benefitfocus, reporting option for the Affordable Care Act (ACA)</t>
  </si>
  <si>
    <t>SAP-8013377 - 2</t>
  </si>
  <si>
    <t>SAP-8013377 - 3</t>
  </si>
  <si>
    <t>SAP-8013377 - 4</t>
  </si>
  <si>
    <t>SAP-8013377 - 5</t>
  </si>
  <si>
    <t>SAP-8013377 - 6</t>
  </si>
  <si>
    <t>SAP-8013377 - 7</t>
  </si>
  <si>
    <t>SAP-8013377 - 8</t>
  </si>
  <si>
    <t>SAP-8013377 - 9</t>
  </si>
  <si>
    <t>SAP-8014171 - 1</t>
  </si>
  <si>
    <t>premium content management service for SAP SuccessFactors Learning</t>
  </si>
  <si>
    <t>SAP-8014171 - 2</t>
  </si>
  <si>
    <t>SAP-8014171 - 3</t>
  </si>
  <si>
    <t>SAP-8014171 - 4</t>
  </si>
  <si>
    <t>SAP-8014171 - 5</t>
  </si>
  <si>
    <t>SAP-8014171 - 6</t>
  </si>
  <si>
    <t>SAP-8014171 - 7</t>
  </si>
  <si>
    <t>SAP-8014263</t>
  </si>
  <si>
    <t>SAP Agent Lifecycle Management, additional nonproduction tenant</t>
  </si>
  <si>
    <t>SAP-8014293 - 9</t>
  </si>
  <si>
    <t>SAP Agent Connection, additional nonproduction tenant</t>
  </si>
  <si>
    <t>SAP-8014306</t>
  </si>
  <si>
    <t>SAP Commissions, additional nonproduction tenant</t>
  </si>
  <si>
    <t>SAP-8014315</t>
  </si>
  <si>
    <t>SAP Agent Performance Management Enterprise, additional nonproduction tenant</t>
  </si>
  <si>
    <t>SAP-8014323</t>
  </si>
  <si>
    <t>SAP Territory and Quota, additional nonproduction tenant</t>
  </si>
  <si>
    <t>SAP-8004799</t>
  </si>
  <si>
    <t>SAP-8004800</t>
  </si>
  <si>
    <t>SAP-8005289 - 1</t>
  </si>
  <si>
    <t>SAP-8005289 - 2</t>
  </si>
  <si>
    <t>SAP-8005289 - 3</t>
  </si>
  <si>
    <t>SAP-8005289 - 4</t>
  </si>
  <si>
    <t>SAP-8005289 - 5</t>
  </si>
  <si>
    <t>SAP-8007077 - 1</t>
  </si>
  <si>
    <t>SAP-8007077 - 2</t>
  </si>
  <si>
    <t>SAP-8007077 - 3</t>
  </si>
  <si>
    <t>SAP-8007077 - 4</t>
  </si>
  <si>
    <t>SAP-8007077 - 5</t>
  </si>
  <si>
    <t>SAP-8007689 - 1</t>
  </si>
  <si>
    <t>SAP-8007689 - 2</t>
  </si>
  <si>
    <t>SAP-8007689 - 3</t>
  </si>
  <si>
    <t>SAP-8007689 - 4</t>
  </si>
  <si>
    <t>SAP-8007696 - 1</t>
  </si>
  <si>
    <t>SAP-8007696 - 2</t>
  </si>
  <si>
    <t>SAP-8007696 - 3</t>
  </si>
  <si>
    <t>SAP-8007696 - 4</t>
  </si>
  <si>
    <t>SAP-8007696 - 5</t>
  </si>
  <si>
    <t>SAP-8008118</t>
  </si>
  <si>
    <t>SAP Access Violation Management by Pathlock, cloud edition for system integration</t>
  </si>
  <si>
    <t>SAP-8008173</t>
  </si>
  <si>
    <t>SAP-8008231 - 1</t>
  </si>
  <si>
    <t>SAP-8008231 - 2</t>
  </si>
  <si>
    <t>SAP-8008231 - 3</t>
  </si>
  <si>
    <t>SAP-8008231 - 4</t>
  </si>
  <si>
    <t>SAP-8008231 - 5</t>
  </si>
  <si>
    <t>SAP-8008231 - 6</t>
  </si>
  <si>
    <t>SAP-8008254</t>
  </si>
  <si>
    <t>SAP-8008260 - 1</t>
  </si>
  <si>
    <t>SAP-8008260 - 2</t>
  </si>
  <si>
    <t>SAP-8008260 - 3</t>
  </si>
  <si>
    <t>SAP-8008260 - 4</t>
  </si>
  <si>
    <t>SAP-8008260 - 5</t>
  </si>
  <si>
    <t>SAP-8008260 - 6</t>
  </si>
  <si>
    <t>SAP-8008350 - 1</t>
  </si>
  <si>
    <t>SAP-8008350 - 2</t>
  </si>
  <si>
    <t>SAP-8008350 - 3</t>
  </si>
  <si>
    <t>SAP-8008350 - 4</t>
  </si>
  <si>
    <t>SAP-8008350 - 5</t>
  </si>
  <si>
    <t>SAP-8008352 - 1</t>
  </si>
  <si>
    <t>SAP-8008352 - 2</t>
  </si>
  <si>
    <t>SAP-8008352 - 3</t>
  </si>
  <si>
    <t>SAP-8008352 - 4</t>
  </si>
  <si>
    <t>SAP-8008352 - 5</t>
  </si>
  <si>
    <t>SAP-8008505 - 1</t>
  </si>
  <si>
    <t>SAP Document and Reporting Compliance, inbound invoicing option for Brazil (nota fiscal eletrônica)</t>
  </si>
  <si>
    <t>SAP-8008505 - 2</t>
  </si>
  <si>
    <t>SAP-8008505 - 3</t>
  </si>
  <si>
    <t>SAP-8008505 - 4</t>
  </si>
  <si>
    <t>SAP-8008505 - 5</t>
  </si>
  <si>
    <t>SAP-8008888 - 1</t>
  </si>
  <si>
    <t>SAP Document and Reporting Compliance, outbound invoicing option for Brazil (nota fiscal eletrônica)</t>
  </si>
  <si>
    <t>SAP-8008888 - 2</t>
  </si>
  <si>
    <t>SAP-8008888 - 3</t>
  </si>
  <si>
    <t>SAP-8008888 - 4</t>
  </si>
  <si>
    <t>SAP-8008888 - 5</t>
  </si>
  <si>
    <t>SAP-8008888 - 6</t>
  </si>
  <si>
    <t>SAP-8009206 - 1</t>
  </si>
  <si>
    <t>SAP-8009206 - 2</t>
  </si>
  <si>
    <t>SAP-8009206 - 3</t>
  </si>
  <si>
    <t>SAP-8009206 - 4</t>
  </si>
  <si>
    <t>SAP-8009206 - 5</t>
  </si>
  <si>
    <t>SAP-8009334</t>
  </si>
  <si>
    <t>SAP-8010787 - 1</t>
  </si>
  <si>
    <t>SAP-8010787 - 2</t>
  </si>
  <si>
    <t>SAP-8010787 - 3</t>
  </si>
  <si>
    <t>SAP-8010787 - 4</t>
  </si>
  <si>
    <t>SAP-8010787 - 5</t>
  </si>
  <si>
    <t>SAP-8010893</t>
  </si>
  <si>
    <t>SAP-8010987 - 1</t>
  </si>
  <si>
    <t>SAP-8010987 - 2</t>
  </si>
  <si>
    <t>SAP-8010987 - 3</t>
  </si>
  <si>
    <t>SAP-8010987 - 4</t>
  </si>
  <si>
    <t>SAP-8010987 - 5</t>
  </si>
  <si>
    <t>SAP-8011055</t>
  </si>
  <si>
    <t>SAP Account Substantiation and Automation by BlackLine, test tenant</t>
  </si>
  <si>
    <t>SAP-8011319 - 1</t>
  </si>
  <si>
    <t>SAP-8011319 - 2</t>
  </si>
  <si>
    <t>SAP-8011319 - 3</t>
  </si>
  <si>
    <t>SAP-8011319 - 4</t>
  </si>
  <si>
    <t>SAP-8011319 - 5</t>
  </si>
  <si>
    <t>SAP-8011320 - 1</t>
  </si>
  <si>
    <t>SAP-8011320 - 2</t>
  </si>
  <si>
    <t>SAP-8011320 - 3</t>
  </si>
  <si>
    <t>SAP-8011320 - 4</t>
  </si>
  <si>
    <t>SAP-8011320 - 5</t>
  </si>
  <si>
    <t>SAP-8011321 - 1</t>
  </si>
  <si>
    <t>SAP-8011321 - 2</t>
  </si>
  <si>
    <t>SAP-8011321 - 3</t>
  </si>
  <si>
    <t>SAP-8011321 - 4</t>
  </si>
  <si>
    <t>SAP-8011321 - 5</t>
  </si>
  <si>
    <t>SAP-8011426 - 1</t>
  </si>
  <si>
    <t>SAP-8011426 - 2</t>
  </si>
  <si>
    <t>SAP-8011426 - 3</t>
  </si>
  <si>
    <t>SAP-8011426 - 4</t>
  </si>
  <si>
    <t>SAP-8011567</t>
  </si>
  <si>
    <t>SAP Convergent Mediation Cloud, additional prod tier, private edition, (S)</t>
  </si>
  <si>
    <t>SAP-8011614</t>
  </si>
  <si>
    <t>SAP Convergent Mediation Cloud, additional prod tier, private edition, (M)</t>
  </si>
  <si>
    <t>SAP-8011615</t>
  </si>
  <si>
    <t>SAP Convergent Mediation Cloud, additional prod tier, private edition, (L)</t>
  </si>
  <si>
    <t>SAP-8011616</t>
  </si>
  <si>
    <t>SAP Convergent Mediation Cloud, additional prod tier, private edition, (XL)</t>
  </si>
  <si>
    <t>SAP-8011617</t>
  </si>
  <si>
    <t>SAP Convergent Mediation Cloud, additional non prod tier, private edition, (S)</t>
  </si>
  <si>
    <t>SAP-8011618</t>
  </si>
  <si>
    <t>SAP Convergent Mediation Cloud, additional non prod tier, private edition, (M)</t>
  </si>
  <si>
    <t>SAP-8011619</t>
  </si>
  <si>
    <t>SAP Convergent Mediation Cloud, additional non prod tier, private edition, (L)</t>
  </si>
  <si>
    <t>SAP-8011620</t>
  </si>
  <si>
    <t>SAP Convergent Mediation Cloud, additional non prod tier, private edition, (XL)</t>
  </si>
  <si>
    <t>SAP-8011621</t>
  </si>
  <si>
    <t>SAP-8011622</t>
  </si>
  <si>
    <t>SAP-8011623</t>
  </si>
  <si>
    <t>SAP-8011624</t>
  </si>
  <si>
    <t>SAP-8011625</t>
  </si>
  <si>
    <t>SAP-8011626</t>
  </si>
  <si>
    <t>SAP-8011627</t>
  </si>
  <si>
    <t>SAP-8011628</t>
  </si>
  <si>
    <t>SAP-8012134 - 1</t>
  </si>
  <si>
    <t>SAP trading platform integration</t>
  </si>
  <si>
    <t>SAP-8012134 - 2</t>
  </si>
  <si>
    <t>SAP-8012134 - 3</t>
  </si>
  <si>
    <t>SAP-8012559 - 1</t>
  </si>
  <si>
    <t>SAP Account Substantiation and Automation by BlackLine</t>
  </si>
  <si>
    <t>SAP-8012559 - 2</t>
  </si>
  <si>
    <t>SAP-8012559 - 3</t>
  </si>
  <si>
    <t>SAP-8012559 - 4</t>
  </si>
  <si>
    <t>SAP-8012559 - 5</t>
  </si>
  <si>
    <t>SAP-8012560 - 1</t>
  </si>
  <si>
    <t>SAP Account Substantiation and Automation by BlackLine, variance and compliance option</t>
  </si>
  <si>
    <t>SAP-8012560 - 2</t>
  </si>
  <si>
    <t>SAP-8012560 - 3</t>
  </si>
  <si>
    <t>SAP-8012560 - 4</t>
  </si>
  <si>
    <t>SAP-8012560 - 5</t>
  </si>
  <si>
    <t>SAP-8012561 - 1</t>
  </si>
  <si>
    <t>SAP Account Substantiation and Automation by BlackLine, transaction matching option</t>
  </si>
  <si>
    <t>SAP-8012561 - 3</t>
  </si>
  <si>
    <t>SAP-8012561 - 4</t>
  </si>
  <si>
    <t>SAP-8012561 - 5</t>
  </si>
  <si>
    <t>SAP-8012561 - 6</t>
  </si>
  <si>
    <t>SAP-8012561 - 7</t>
  </si>
  <si>
    <t>SAP-8012561 - 8</t>
  </si>
  <si>
    <t>SAP-8012562 - 1</t>
  </si>
  <si>
    <t>SAP Account Substantiation and Automation by BlackLine, journal entry option</t>
  </si>
  <si>
    <t>SAP-8012562 - 2</t>
  </si>
  <si>
    <t>SAP-8012562 - 3</t>
  </si>
  <si>
    <t>SAP-8012562 - 4</t>
  </si>
  <si>
    <t>SAP-8012562 - 5</t>
  </si>
  <si>
    <t>SAP-8012562 - 6</t>
  </si>
  <si>
    <t>SAP-8012562 - 7</t>
  </si>
  <si>
    <t>SAP-8012565 - 1</t>
  </si>
  <si>
    <t>SAP Intercompany Governance by BlackLine, account settlement option</t>
  </si>
  <si>
    <t>SAP-8012565 - 2</t>
  </si>
  <si>
    <t>SAP-8012565 - 3</t>
  </si>
  <si>
    <t>SAP-8012565 - 4</t>
  </si>
  <si>
    <t>SAP-8012565 - 5</t>
  </si>
  <si>
    <t>SAP-8012568</t>
  </si>
  <si>
    <t>SAP Account Substantiation and Automation by BlackLine, base edition</t>
  </si>
  <si>
    <t>SAP-8012570</t>
  </si>
  <si>
    <t>SAP-8012647</t>
  </si>
  <si>
    <t>SAP-8013376 - 1</t>
  </si>
  <si>
    <t>SAP-8013376 - 2</t>
  </si>
  <si>
    <t>SAP-8013376 - 3</t>
  </si>
  <si>
    <t>SAP-8013376 - 4</t>
  </si>
  <si>
    <t>SAP-8013376 - 5</t>
  </si>
  <si>
    <t>SAP-8013509 - 1</t>
  </si>
  <si>
    <t>SAP-8013509 - 2</t>
  </si>
  <si>
    <t>SAP-8013509 - 3</t>
  </si>
  <si>
    <t>SAP-8013509 - 4</t>
  </si>
  <si>
    <t>SAP-8013558 - 1</t>
  </si>
  <si>
    <t>SAP-8013558 - 2</t>
  </si>
  <si>
    <t>SAP-8013558 - 3</t>
  </si>
  <si>
    <t>SAP-8013558 - 4</t>
  </si>
  <si>
    <t>SAP-8013558 - 5</t>
  </si>
  <si>
    <t>SAP-8013558 - 6</t>
  </si>
  <si>
    <t>SAP-8013665 - 1</t>
  </si>
  <si>
    <t>SAP-8013665 - 2</t>
  </si>
  <si>
    <t>SAP-8013665 - 3</t>
  </si>
  <si>
    <t>SAP-8013675 - 1</t>
  </si>
  <si>
    <t>SAP-8013675 - 2</t>
  </si>
  <si>
    <t>SAP-8013675 - 3</t>
  </si>
  <si>
    <t>SAP-8013675 - 4</t>
  </si>
  <si>
    <t>SAP-8013675 - 5</t>
  </si>
  <si>
    <t>SAP-8013676 - 1</t>
  </si>
  <si>
    <t>SAP Access Violation Management by Pathlock, risk assessment cloud edition</t>
  </si>
  <si>
    <t>SAP-8013676 - 2</t>
  </si>
  <si>
    <t>SAP-8013676 - 3</t>
  </si>
  <si>
    <t>SAP-8013711 - 1</t>
  </si>
  <si>
    <t>SAP-8013711 - 2</t>
  </si>
  <si>
    <t>SAP-8013711 - 3</t>
  </si>
  <si>
    <t>SAP-8013711 - 4</t>
  </si>
  <si>
    <t>SAP-8013711 - 5</t>
  </si>
  <si>
    <t>SAP-8013722 - 1</t>
  </si>
  <si>
    <t>SAP-8013722 - 2</t>
  </si>
  <si>
    <t>SAP-8013722 - 3</t>
  </si>
  <si>
    <t>SAP-8013743 - 1</t>
  </si>
  <si>
    <t>SAP-8013743 - 2</t>
  </si>
  <si>
    <t>SAP-8013743 - 3</t>
  </si>
  <si>
    <t>SAP-8013743 - 4</t>
  </si>
  <si>
    <t>SAP-8013761 - 1</t>
  </si>
  <si>
    <t>SAP-8013761 - 2</t>
  </si>
  <si>
    <t>SAP-8013761 - 3</t>
  </si>
  <si>
    <t>SAP-8013761 - 4</t>
  </si>
  <si>
    <t>SAP-8013761 - 5</t>
  </si>
  <si>
    <t>SAP-8014071 - 1</t>
  </si>
  <si>
    <t>SAP Convergent Mediation by DigitalRoute Cloud, private edition</t>
  </si>
  <si>
    <t>SAP-8014071 - 2</t>
  </si>
  <si>
    <t>SAP-8014071 - 3</t>
  </si>
  <si>
    <t>SAP-8014071 - 4</t>
  </si>
  <si>
    <t>SAP-8014071 - 5</t>
  </si>
  <si>
    <t>SAP-8014307 - 1</t>
  </si>
  <si>
    <t>SAP-8014307 - 2</t>
  </si>
  <si>
    <t>SAP-8014307 - 3</t>
  </si>
  <si>
    <t>SAP-8014307 - 4</t>
  </si>
  <si>
    <t>SAP-8014307 - 5</t>
  </si>
  <si>
    <t>SAP-8014322 - 1</t>
  </si>
  <si>
    <t>SAP Intercompany Governance by BlackLine, origination option</t>
  </si>
  <si>
    <t>SAP-8014322 - 2</t>
  </si>
  <si>
    <t>SAP-8014322 - 3</t>
  </si>
  <si>
    <t>SAP-8014322 - 4</t>
  </si>
  <si>
    <t>SAP-8014322 - 5</t>
  </si>
  <si>
    <t>SAP-8014555</t>
  </si>
  <si>
    <t>SAP Access Control Cloud, extra stack, additional productive tier, private edition (S)</t>
  </si>
  <si>
    <t>SAP-8014592</t>
  </si>
  <si>
    <t>SAP Access Control Cloud, extra stack, additional productive tier, private edition (XXL)</t>
  </si>
  <si>
    <t>SAP-8014593</t>
  </si>
  <si>
    <t>SAP Access Control Cloud, extra stack, additional non-productive tier, private edition (XS)</t>
  </si>
  <si>
    <t>SAP-8014594</t>
  </si>
  <si>
    <t>SAP Access Control Cloud, extra stack, additional non-productive tier, private edition (M)</t>
  </si>
  <si>
    <t>SAP-8014601</t>
  </si>
  <si>
    <t>SAP Access Control Cloud, extra stack, additional productive tier, private edition (XS)</t>
  </si>
  <si>
    <t>SAP-8014602</t>
  </si>
  <si>
    <t>SAP Access Control Cloud, extra stack, additional non-productive tier, private edition (S)</t>
  </si>
  <si>
    <t>SAP-8014603</t>
  </si>
  <si>
    <t>SAP Access Control Cloud, extra stack, additional non-productive tier, private edition (L)</t>
  </si>
  <si>
    <t>SAP-8014611</t>
  </si>
  <si>
    <t>SAP Access Control Cloud, extra stack, additional productive tier, private edition (M)</t>
  </si>
  <si>
    <t>SAP-8014612</t>
  </si>
  <si>
    <t>SAP Access Control Cloud, extra stack, additional non-productive tier, private edition (XL)</t>
  </si>
  <si>
    <t>SAP-8014621</t>
  </si>
  <si>
    <t>SAP Access Control Cloud, extra stack, additional productive tier, private edition (L)</t>
  </si>
  <si>
    <t>SAP-8014622</t>
  </si>
  <si>
    <t>SAP Access Control Cloud, extra stack, additional productive tier, private edition (XL)</t>
  </si>
  <si>
    <t>SAP-8014631</t>
  </si>
  <si>
    <t>SAP Access Control Cloud, extra stack, additional non-productive tier, private edition (XXL)</t>
  </si>
  <si>
    <t>SAP-8005246</t>
  </si>
  <si>
    <t>SAP-8002460</t>
  </si>
  <si>
    <t>SAP-8002461</t>
  </si>
  <si>
    <t>SAP-8002471</t>
  </si>
  <si>
    <t>SAP-8003795 - 1</t>
  </si>
  <si>
    <t>SAP-8003795 - 2</t>
  </si>
  <si>
    <t>SAP-8003795 - 3</t>
  </si>
  <si>
    <t>SAP-8003795 - 4</t>
  </si>
  <si>
    <t>SAP-8003795 - 5</t>
  </si>
  <si>
    <t>SAP-8003795 - 6</t>
  </si>
  <si>
    <t>SAP-8003796 - 1</t>
  </si>
  <si>
    <t>SAP-8003796 - 2</t>
  </si>
  <si>
    <t>SAP-8003796 - 3</t>
  </si>
  <si>
    <t>SAP-8003796 - 4</t>
  </si>
  <si>
    <t>SAP-8003796 - 5</t>
  </si>
  <si>
    <t>SAP-8003796 - 6</t>
  </si>
  <si>
    <t>SAP-8005967</t>
  </si>
  <si>
    <t>SAP Business Network Commerce Automation, buyer paid supplier fees option</t>
  </si>
  <si>
    <t>SAP-8007883 - 1</t>
  </si>
  <si>
    <t>SAP-8007883 - 2</t>
  </si>
  <si>
    <t>SAP-8007883 - 3</t>
  </si>
  <si>
    <t>SAP-8007883 - 4</t>
  </si>
  <si>
    <t>SAP-8007883 - 5</t>
  </si>
  <si>
    <t>SAP-8007885 - 1</t>
  </si>
  <si>
    <t>SAP-8007885 - 2</t>
  </si>
  <si>
    <t>SAP-8007885 - 3</t>
  </si>
  <si>
    <t>SAP-8007885 - 4</t>
  </si>
  <si>
    <t>SAP-8007885 - 5</t>
  </si>
  <si>
    <t>SAP-8007886 - 1</t>
  </si>
  <si>
    <t>SAP-8007886 - 2</t>
  </si>
  <si>
    <t>SAP-8007886 - 3</t>
  </si>
  <si>
    <t>SAP-8007886 - 4</t>
  </si>
  <si>
    <t>SAP-8007886 - 5</t>
  </si>
  <si>
    <t>SAP-8007887 - 1</t>
  </si>
  <si>
    <t>SAP-8007887 - 2</t>
  </si>
  <si>
    <t>SAP-8007887 - 3</t>
  </si>
  <si>
    <t>SAP-8007887 - 4</t>
  </si>
  <si>
    <t>SAP-8007888</t>
  </si>
  <si>
    <t>SAP Business Network Commerce Automation</t>
  </si>
  <si>
    <t>SAP-8007889 - 1</t>
  </si>
  <si>
    <t>SAP-8007889 - 2</t>
  </si>
  <si>
    <t>SAP-8007889 - 3</t>
  </si>
  <si>
    <t>SAP-8007889 - 4</t>
  </si>
  <si>
    <t>SAP-8007889 - 5</t>
  </si>
  <si>
    <t>SAP-8007890 - 1</t>
  </si>
  <si>
    <t>SAP-8007890 - 2</t>
  </si>
  <si>
    <t>SAP-8007890 - 3</t>
  </si>
  <si>
    <t>SAP-8007890 - 4</t>
  </si>
  <si>
    <t>SAP-8007890 - 5</t>
  </si>
  <si>
    <t>SAP-8007891 - 1</t>
  </si>
  <si>
    <t>SAP-8007891 - 2</t>
  </si>
  <si>
    <t>SAP-8007891 - 3</t>
  </si>
  <si>
    <t>SAP-8007891 - 4</t>
  </si>
  <si>
    <t>SAP-8007891 - 5</t>
  </si>
  <si>
    <t>SAP-8007891 - 6</t>
  </si>
  <si>
    <t>SAP-8007892 - 1</t>
  </si>
  <si>
    <t>SAP-8007892 - 2</t>
  </si>
  <si>
    <t>SAP-8007892 - 3</t>
  </si>
  <si>
    <t>SAP-8007892 - 4</t>
  </si>
  <si>
    <t>SAP-8007892 - 5</t>
  </si>
  <si>
    <t>SAP-8007892 - 6</t>
  </si>
  <si>
    <t>SAP-8007894 - 1</t>
  </si>
  <si>
    <t>SAP-8007894 - 2</t>
  </si>
  <si>
    <t>SAP-8007894 - 3</t>
  </si>
  <si>
    <t>SAP-8007894 - 4</t>
  </si>
  <si>
    <t>SAP-8007894 - 5</t>
  </si>
  <si>
    <t>SAP-8007894 - 6</t>
  </si>
  <si>
    <t>SAP-8007896 - 1</t>
  </si>
  <si>
    <t>SAP Business Network Supply Chain Collaboration</t>
  </si>
  <si>
    <t>SAP-8007896 - 2</t>
  </si>
  <si>
    <t>SAP-8007896 - 3</t>
  </si>
  <si>
    <t>SAP-8007896 - 4</t>
  </si>
  <si>
    <t>SAP-8007896 - 5</t>
  </si>
  <si>
    <t>SAP-8007896 - 6</t>
  </si>
  <si>
    <t>SAP-8007898</t>
  </si>
  <si>
    <t>SAP Business Network Supply Chain Collaboration, quality add-on</t>
  </si>
  <si>
    <t>SAP-8007899</t>
  </si>
  <si>
    <t>SAP Business Network Supply Chain Collaboration, inventory add-on</t>
  </si>
  <si>
    <t>SAP-8007900 - 1</t>
  </si>
  <si>
    <t>SAP-8007900 - 2</t>
  </si>
  <si>
    <t>SAP-8007900 - 3</t>
  </si>
  <si>
    <t>SAP-8007900 - 4</t>
  </si>
  <si>
    <t>SAP-8007902 - 1</t>
  </si>
  <si>
    <t>SAP-8007902 - 2</t>
  </si>
  <si>
    <t>SAP-8007902 - 3</t>
  </si>
  <si>
    <t>SAP-8007902 - 4</t>
  </si>
  <si>
    <t>SAP-8007902 - 5</t>
  </si>
  <si>
    <t>SAP-8007902 - 6</t>
  </si>
  <si>
    <t>SAP-8007903</t>
  </si>
  <si>
    <t>SAP-8008032 - 1</t>
  </si>
  <si>
    <t>SAP Signature Management by DocuSign, premium edition for spend management</t>
  </si>
  <si>
    <t>SAP-8008032 - 2</t>
  </si>
  <si>
    <t>SAP-8008032 - 3</t>
  </si>
  <si>
    <t>SAP-8008032 - 4</t>
  </si>
  <si>
    <t>SAP-8008113</t>
  </si>
  <si>
    <t>SAP Business Network Commerce Automation, foundation option</t>
  </si>
  <si>
    <t>SAP-8008513 - 1</t>
  </si>
  <si>
    <t>SAP-8008513 - 2</t>
  </si>
  <si>
    <t>SAP-8008513 - 3</t>
  </si>
  <si>
    <t>SAP-8008513 - 4</t>
  </si>
  <si>
    <t>SAP-8008513 - 5</t>
  </si>
  <si>
    <t>SAP-8008513 - 6</t>
  </si>
  <si>
    <t>SAP-8008514 - 1</t>
  </si>
  <si>
    <t>SAP-8008514 - 2</t>
  </si>
  <si>
    <t>SAP-8008514 - 3</t>
  </si>
  <si>
    <t>SAP-8008514 - 4</t>
  </si>
  <si>
    <t>SAP-8008514 - 5</t>
  </si>
  <si>
    <t>SAP-8008514 - 6</t>
  </si>
  <si>
    <t>SAP-8008867</t>
  </si>
  <si>
    <t>SAP-8009006 - 1</t>
  </si>
  <si>
    <t>SAP-8009006 - 2</t>
  </si>
  <si>
    <t>SAP-8009006 - 3</t>
  </si>
  <si>
    <t>SAP-8009006 - 4</t>
  </si>
  <si>
    <t>SAP-8009006 - 5</t>
  </si>
  <si>
    <t>SAP-8009006 - 6</t>
  </si>
  <si>
    <t>SAP-8009006 - 7</t>
  </si>
  <si>
    <t>SAP-8009006 - 8</t>
  </si>
  <si>
    <t>SAP-8009012 - 1</t>
  </si>
  <si>
    <t>SAP-8009012 - 2</t>
  </si>
  <si>
    <t>SAP-8009012 - 3</t>
  </si>
  <si>
    <t>SAP-8009012 - 4</t>
  </si>
  <si>
    <t>SAP-8009012 - 5</t>
  </si>
  <si>
    <t>SAP-8009012 - 6</t>
  </si>
  <si>
    <t>SAP-8009012 - 7</t>
  </si>
  <si>
    <t>SAP-8009012 - 8</t>
  </si>
  <si>
    <t>SAP-8010847 - 1</t>
  </si>
  <si>
    <t>SAP-8010847 - 2</t>
  </si>
  <si>
    <t>SAP-8010847 - 3</t>
  </si>
  <si>
    <t>SAP-8010847 - 4</t>
  </si>
  <si>
    <t>SAP-8010847 - 5</t>
  </si>
  <si>
    <t>SAP-8010848</t>
  </si>
  <si>
    <t>SAP-8010849 - 1</t>
  </si>
  <si>
    <t>SAP-8010849 - 2</t>
  </si>
  <si>
    <t>SAP-8010849 - 3</t>
  </si>
  <si>
    <t>SAP-8010849 - 4</t>
  </si>
  <si>
    <t>SAP-8010849 - 5</t>
  </si>
  <si>
    <t>SAP-8010849 - 6</t>
  </si>
  <si>
    <t>SAP-8011034</t>
  </si>
  <si>
    <t>SAP-8011035</t>
  </si>
  <si>
    <t>SAP-8011078 - 1</t>
  </si>
  <si>
    <t>SAP-8011078 - 2</t>
  </si>
  <si>
    <t>SAP-8011078 - 3</t>
  </si>
  <si>
    <t>SAP-8011078 - 4</t>
  </si>
  <si>
    <t>SAP-8011078 - 5</t>
  </si>
  <si>
    <t>SAP-8011337 - 6</t>
  </si>
  <si>
    <t>SAP-8011337 - 1</t>
  </si>
  <si>
    <t>SAP-8011337 - 2</t>
  </si>
  <si>
    <t>SAP-8011337 - 3</t>
  </si>
  <si>
    <t>SAP-8011337 - 4</t>
  </si>
  <si>
    <t>SAP-8011337 - 5</t>
  </si>
  <si>
    <t>SAP-8011337 - 7</t>
  </si>
  <si>
    <t>SAP-8011337 - 8</t>
  </si>
  <si>
    <t>SAP-8011337 - 9</t>
  </si>
  <si>
    <t>SAP-8011338</t>
  </si>
  <si>
    <t>SAP Business Network Supply Chain Collaboration, foundation option</t>
  </si>
  <si>
    <t>SAP-8011488</t>
  </si>
  <si>
    <t>SAP-8011511</t>
  </si>
  <si>
    <t>SAP-8011512 - 1</t>
  </si>
  <si>
    <t>SAP-8011512 - 2</t>
  </si>
  <si>
    <t>SAP-8011512 - 3</t>
  </si>
  <si>
    <t>SAP-8011512 - 4</t>
  </si>
  <si>
    <t>SAP-8011512 - 5</t>
  </si>
  <si>
    <t>SAP-8011512 - 6</t>
  </si>
  <si>
    <t>SAP-8011513 - 1</t>
  </si>
  <si>
    <t>SAP-8011513 - 2</t>
  </si>
  <si>
    <t>SAP-8011513 - 3</t>
  </si>
  <si>
    <t>SAP-8011513 - 4</t>
  </si>
  <si>
    <t>SAP-8011513 - 5</t>
  </si>
  <si>
    <t>SAP-8011513 - 6</t>
  </si>
  <si>
    <t>SAP-8011630 - 1</t>
  </si>
  <si>
    <t>SAP Signature Management by DocuSign, basic edition for spend management</t>
  </si>
  <si>
    <t>SAP-8011630 - 2</t>
  </si>
  <si>
    <t>SAP-8011630 - 3</t>
  </si>
  <si>
    <t>SAP-8011630 - 4</t>
  </si>
  <si>
    <t>SAP-8012540</t>
  </si>
  <si>
    <t>SAP Business Network Planning Collaboration</t>
  </si>
  <si>
    <t>SAP-8012656 - 1</t>
  </si>
  <si>
    <t>SAP-8012656 - 2</t>
  </si>
  <si>
    <t>SAP-8012656 - 3</t>
  </si>
  <si>
    <t>SAP-8012656 - 4</t>
  </si>
  <si>
    <t>SAP-8012656 - 5</t>
  </si>
  <si>
    <t>SAP-8012656 - 6</t>
  </si>
  <si>
    <t>SAP-8012656 - 7</t>
  </si>
  <si>
    <t>SAP-8012656 - 8</t>
  </si>
  <si>
    <t>SAP-8012657 - 1</t>
  </si>
  <si>
    <t>SAP-8012657 - 2</t>
  </si>
  <si>
    <t>SAP-8012657 - 3</t>
  </si>
  <si>
    <t>SAP-8012657 - 4</t>
  </si>
  <si>
    <t>SAP-8012657 - 5</t>
  </si>
  <si>
    <t>SAP-8012657 - 6</t>
  </si>
  <si>
    <t>SAP-8012657 - 7</t>
  </si>
  <si>
    <t>SAP-8012657 - 8</t>
  </si>
  <si>
    <t>SAP-8013687 - 1</t>
  </si>
  <si>
    <t>SAP-8013687 - 2</t>
  </si>
  <si>
    <t>SAP-8013687 - 3</t>
  </si>
  <si>
    <t>SAP-8013687 - 4</t>
  </si>
  <si>
    <t>SAP-8013687 - 5</t>
  </si>
  <si>
    <t>SAP-8014111</t>
  </si>
  <si>
    <t>SAP Ariba Connector for iCertis</t>
  </si>
  <si>
    <t>SAP-8014432 - 1</t>
  </si>
  <si>
    <t>SAP Ariba Supplier Risk, base edition</t>
  </si>
  <si>
    <t>SAP-8014432 - 2</t>
  </si>
  <si>
    <t>SAP-8014432 - 3</t>
  </si>
  <si>
    <t>SAP-8014432 - 4</t>
  </si>
  <si>
    <t>SAP-8014432 - 5</t>
  </si>
  <si>
    <t>SAP-8014551</t>
  </si>
  <si>
    <t>SAP Business Network Supplier Portal</t>
  </si>
  <si>
    <t>SAP-8014573 - 1</t>
  </si>
  <si>
    <t>SAP-8014573 - 2</t>
  </si>
  <si>
    <t>SAP-8014573 - 3</t>
  </si>
  <si>
    <t>SAP-8013635 - 1</t>
  </si>
  <si>
    <t>SAP-8013635 - 2</t>
  </si>
  <si>
    <t>SAP-8013635 - 3</t>
  </si>
  <si>
    <t>SAP-8009290</t>
  </si>
  <si>
    <t>SAP Multi-Bank Connectivity, financial services institution membership</t>
  </si>
  <si>
    <t>SAP-8013514</t>
  </si>
  <si>
    <t>SAP Multi-Bank Connectivity, corporate base connection package</t>
  </si>
  <si>
    <t>SAP-8013525</t>
  </si>
  <si>
    <t>SAP Multi-Bank Connectivity, corporate advanced connection package</t>
  </si>
  <si>
    <t>SAP-8013543 - 1</t>
  </si>
  <si>
    <t>SAP Multi-Bank Connectivity, transactions</t>
  </si>
  <si>
    <t>SAP-8013543 - 2</t>
  </si>
  <si>
    <t>SAP-8013543 - 3</t>
  </si>
  <si>
    <t>SAP-8013543 - 4</t>
  </si>
  <si>
    <t>SAP-8013543 - 5</t>
  </si>
  <si>
    <t>SAP-8013543 - 6</t>
  </si>
  <si>
    <t>SAP-8011274 - 1</t>
  </si>
  <si>
    <t>SAP Channel Program Management by Vistex</t>
  </si>
  <si>
    <t>SAP-8011274 - 2</t>
  </si>
  <si>
    <t>SAP-8011274 - 3</t>
  </si>
  <si>
    <t>SAP-8011274 - 4</t>
  </si>
  <si>
    <t>SAP-8011274 - 5</t>
  </si>
  <si>
    <t>SAP-8011274 - 6</t>
  </si>
  <si>
    <t>SAP-8011275 - 1</t>
  </si>
  <si>
    <t>SAP Vendor Program Management by Vistex</t>
  </si>
  <si>
    <t>SAP-8011275 - 2</t>
  </si>
  <si>
    <t>SAP-8011275 - 3</t>
  </si>
  <si>
    <t>SAP-8011275 - 4</t>
  </si>
  <si>
    <t>SAP-8011275 - 5</t>
  </si>
  <si>
    <t>SAP-8011275 - 6</t>
  </si>
  <si>
    <t>SAP-8011276 - 1</t>
  </si>
  <si>
    <t>SAP Extended Price Management by Vistex</t>
  </si>
  <si>
    <t>SAP-8011276 - 2</t>
  </si>
  <si>
    <t>SAP-8011276 - 3</t>
  </si>
  <si>
    <t>SAP-8011276 - 4</t>
  </si>
  <si>
    <t>SAP-8011276 - 5</t>
  </si>
  <si>
    <t>SAP-8011276 - 6</t>
  </si>
  <si>
    <t>SAP-8011728 - 1</t>
  </si>
  <si>
    <t>SAP-8011728 - 2</t>
  </si>
  <si>
    <t>SAP-8011728 - 3</t>
  </si>
  <si>
    <t>SAP-8011728 - 4</t>
  </si>
  <si>
    <t>SAP-8011728 - 5</t>
  </si>
  <si>
    <t>SAP-8012345 - 1</t>
  </si>
  <si>
    <t>SAP-8012345 - 2</t>
  </si>
  <si>
    <t>SAP-8012345 - 3</t>
  </si>
  <si>
    <t>SAP-8012345 - 4</t>
  </si>
  <si>
    <t>SAP-8012345 - 5</t>
  </si>
  <si>
    <t>SAP-8013511 - 1</t>
  </si>
  <si>
    <t>SAP Revenue Growth Optimization</t>
  </si>
  <si>
    <t>SAP-8013511 - 2</t>
  </si>
  <si>
    <t>SAP-8013511 - 3</t>
  </si>
  <si>
    <t>SAP-8013511 - 4</t>
  </si>
  <si>
    <t>SAP-8013511 - 5</t>
  </si>
  <si>
    <t>SAP-8013511 - 6</t>
  </si>
  <si>
    <t>SAP-8013512 - 1</t>
  </si>
  <si>
    <t>SAP-8013512 - 2</t>
  </si>
  <si>
    <t>SAP-8013512 - 3</t>
  </si>
  <si>
    <t>SAP-8013512 - 4</t>
  </si>
  <si>
    <t>SAP-8013512 - 5</t>
  </si>
  <si>
    <t>SAP-8009295 - 1</t>
  </si>
  <si>
    <t>SAP-8009295 - 2</t>
  </si>
  <si>
    <t>SAP-8009295 - 3</t>
  </si>
  <si>
    <t>SAP-8009295 - 4</t>
  </si>
  <si>
    <t>SAP-8012365 - 1</t>
  </si>
  <si>
    <t>SAP Cell and Gene Therapy Orchestration</t>
  </si>
  <si>
    <t>SAP-8012365 - 2</t>
  </si>
  <si>
    <t>SAP-8012365 - 3</t>
  </si>
  <si>
    <t>SAP-8012365 - 4</t>
  </si>
  <si>
    <t>SAP-8012365 - 5</t>
  </si>
  <si>
    <t>SAP-8012522 - 1</t>
  </si>
  <si>
    <t>SAP-8012522 - 2</t>
  </si>
  <si>
    <t>SAP-8012522 - 3</t>
  </si>
  <si>
    <t>SAP-8012522 - 4</t>
  </si>
  <si>
    <t>SAP-8013434 - 1</t>
  </si>
  <si>
    <t>SAP Batch Release Hub for Life Sciences</t>
  </si>
  <si>
    <t>SAP-8013434 - 2</t>
  </si>
  <si>
    <t>SAP-8013434 - 3</t>
  </si>
  <si>
    <t>SAP-8013434 - 4</t>
  </si>
  <si>
    <t>SAP-8013434 - 5</t>
  </si>
  <si>
    <t>SAP-8013747 - 1</t>
  </si>
  <si>
    <t>SAP-8013747 - 2</t>
  </si>
  <si>
    <t>SAP-8013747 - 3</t>
  </si>
  <si>
    <t>SAP-8013747 - 4</t>
  </si>
  <si>
    <t>SAP-8013747 - 5</t>
  </si>
  <si>
    <t>SAP-8013747 - 6</t>
  </si>
  <si>
    <t>SAP-8014264</t>
  </si>
  <si>
    <t>SAP Batch Release Hub for Life Sciences, test tenant</t>
  </si>
  <si>
    <t>SAP-8011264 - 1</t>
  </si>
  <si>
    <t>SAP Rights and Royalty Management by Vistex, cloud edition</t>
  </si>
  <si>
    <t>SAP-8011264 - 2</t>
  </si>
  <si>
    <t>SAP-8011264 - 3</t>
  </si>
  <si>
    <t>SAP-8011264 - 4</t>
  </si>
  <si>
    <t>SAP-8011264 - 5</t>
  </si>
  <si>
    <t>SAP-8011264 - 6</t>
  </si>
  <si>
    <t>SAP-8007820 - 1</t>
  </si>
  <si>
    <t>SAP Dynamic Pricing by GK</t>
  </si>
  <si>
    <t>SAP-8007820 - 2</t>
  </si>
  <si>
    <t>SAP-8007820 - 3</t>
  </si>
  <si>
    <t>SAP-8007820 - 4</t>
  </si>
  <si>
    <t>SAP-8008103</t>
  </si>
  <si>
    <t>SAP Omnichannel Point-of-Sale by GK, cloud edition, storage</t>
  </si>
  <si>
    <t>SAP-8010749 - 1</t>
  </si>
  <si>
    <t>SAP Omnichannel Point-of-Sale by GK, cloud edition, additional devices</t>
  </si>
  <si>
    <t>SAP-8010749 - 2</t>
  </si>
  <si>
    <t>SAP-8010749 - 3</t>
  </si>
  <si>
    <t>SAP-8010749 - 4</t>
  </si>
  <si>
    <t>SAP-8010749 - 5</t>
  </si>
  <si>
    <t>SAP-8011328</t>
  </si>
  <si>
    <t>SAP-8011329</t>
  </si>
  <si>
    <t>SAP-8011330</t>
  </si>
  <si>
    <t>SAP-8011331</t>
  </si>
  <si>
    <t>SAP-8011332</t>
  </si>
  <si>
    <t>SAP-8011333</t>
  </si>
  <si>
    <t>SAP-8011342 - 1</t>
  </si>
  <si>
    <t>SAP-8011342 - 2</t>
  </si>
  <si>
    <t>SAP-8011342 - 3</t>
  </si>
  <si>
    <t>SAP-8011342 - 4</t>
  </si>
  <si>
    <t>SAP-8011342 - 5</t>
  </si>
  <si>
    <t>SAP-8011342 - 6</t>
  </si>
  <si>
    <t>SAP-8011407</t>
  </si>
  <si>
    <t>SAP-8011408</t>
  </si>
  <si>
    <t>SAP-8011409</t>
  </si>
  <si>
    <t>SAP-8011410</t>
  </si>
  <si>
    <t>SAP-8011411</t>
  </si>
  <si>
    <t>SAP-8011412</t>
  </si>
  <si>
    <t>SAP-8011431 - 1</t>
  </si>
  <si>
    <t>SAP-8011431 - 2</t>
  </si>
  <si>
    <t>SAP-8011431 - 3</t>
  </si>
  <si>
    <t>SAP-8011431 - 4</t>
  </si>
  <si>
    <t>SAP-8011432 - 1</t>
  </si>
  <si>
    <t>SAP-8011432 - 2</t>
  </si>
  <si>
    <t>SAP-8011432 - 3</t>
  </si>
  <si>
    <t>SAP-8011432 - 4</t>
  </si>
  <si>
    <t>SAP-8011433 - 1</t>
  </si>
  <si>
    <t>SAP-8011433 - 2</t>
  </si>
  <si>
    <t>SAP-8011433 - 3</t>
  </si>
  <si>
    <t>SAP-8011433 - 4</t>
  </si>
  <si>
    <t>SAP-8011474 - 1</t>
  </si>
  <si>
    <t>SAP-8011474 - 2</t>
  </si>
  <si>
    <t>SAP-8011474 - 3</t>
  </si>
  <si>
    <t>SAP-8011474 - 4</t>
  </si>
  <si>
    <t>SAP-8011474 - 5</t>
  </si>
  <si>
    <t>SAP-8011474 - 6</t>
  </si>
  <si>
    <t>SAP-8011496 - 1</t>
  </si>
  <si>
    <t>SAP-8011496 - 2</t>
  </si>
  <si>
    <t>SAP-8011496 - 3</t>
  </si>
  <si>
    <t>SAP-8011496 - 4</t>
  </si>
  <si>
    <t>SAP-8011496 - 5</t>
  </si>
  <si>
    <t>SAP-8011496 - 6</t>
  </si>
  <si>
    <t>SAP-8012189</t>
  </si>
  <si>
    <t>SAP-8012190</t>
  </si>
  <si>
    <t>SAP-8012191</t>
  </si>
  <si>
    <t>SAP-8012192</t>
  </si>
  <si>
    <t>SAP-8012193</t>
  </si>
  <si>
    <t>SAP-8012194</t>
  </si>
  <si>
    <t>SAP-8012195</t>
  </si>
  <si>
    <t>SAP-8012196</t>
  </si>
  <si>
    <t>SAP-8012197</t>
  </si>
  <si>
    <t>SAP-8012198</t>
  </si>
  <si>
    <t>SAP-8012199</t>
  </si>
  <si>
    <t>SAP-8012200</t>
  </si>
  <si>
    <t>SAP-8012210 - 1</t>
  </si>
  <si>
    <t>SAP-8012210 - 2</t>
  </si>
  <si>
    <t>SAP-8012210 - 3</t>
  </si>
  <si>
    <t>SAP-8012210 - 4</t>
  </si>
  <si>
    <t>SAP-8012210 - 5</t>
  </si>
  <si>
    <t>SAP-8012210 - 6</t>
  </si>
  <si>
    <t>SAP-8012634</t>
  </si>
  <si>
    <t>SAP-8012635</t>
  </si>
  <si>
    <t>SAP-8012636 - 1</t>
  </si>
  <si>
    <t>SAP-8012636 - 2</t>
  </si>
  <si>
    <t>SAP-8012636 - 3</t>
  </si>
  <si>
    <t>SAP-8012636 - 4</t>
  </si>
  <si>
    <t>SAP-8012636 - 5</t>
  </si>
  <si>
    <t>SAP-8012636 - 6</t>
  </si>
  <si>
    <t>SAP-8012645 - 1</t>
  </si>
  <si>
    <t>SAP Omnichannel Point-of-Sale by GK, cloud edition, add-on for self-scanning</t>
  </si>
  <si>
    <t>SAP-8012645 - 2</t>
  </si>
  <si>
    <t>SAP-8012645 - 3</t>
  </si>
  <si>
    <t>SAP-8012645 - 4</t>
  </si>
  <si>
    <t>SAP-8012645 - 5</t>
  </si>
  <si>
    <t>SAP-8012646 - 1</t>
  </si>
  <si>
    <t>SAP Omnichannel Point-of-Sale by GK, cloud edition, additional documents</t>
  </si>
  <si>
    <t>SAP-8012646 - 2</t>
  </si>
  <si>
    <t>SAP-8012646 - 3</t>
  </si>
  <si>
    <t>SAP-8012646 - 4</t>
  </si>
  <si>
    <t>SAP-8012646 - 5</t>
  </si>
  <si>
    <t>SAP-8012655 - 1</t>
  </si>
  <si>
    <t>SAP-8012655 - 2</t>
  </si>
  <si>
    <t>SAP-8012655 - 3</t>
  </si>
  <si>
    <t>SAP-8012655 - 4</t>
  </si>
  <si>
    <t>SAP-8012655 - 5</t>
  </si>
  <si>
    <t>SAP-8012655 - 6</t>
  </si>
  <si>
    <t>SAP-8013433</t>
  </si>
  <si>
    <t>SAP Omnichannel Point-of-Sale by GK, cloud edition</t>
  </si>
  <si>
    <t>SAP-8013541 - 1</t>
  </si>
  <si>
    <t>SAP Order and Delivery Scheduling</t>
  </si>
  <si>
    <t>SAP-8013541 - 2</t>
  </si>
  <si>
    <t>SAP-8013541 - 3</t>
  </si>
  <si>
    <t>SAP-8013541 - 4</t>
  </si>
  <si>
    <t>SAP-8013541 - 5</t>
  </si>
  <si>
    <t>SAP-8013541 - 6</t>
  </si>
  <si>
    <t>SAP-8013551 - 1</t>
  </si>
  <si>
    <t>SAP-8013551 - 2</t>
  </si>
  <si>
    <t>SAP-8013551 - 3</t>
  </si>
  <si>
    <t>SAP-8013551 - 4</t>
  </si>
  <si>
    <t>SAP-8013551 - 5</t>
  </si>
  <si>
    <t>SAP-8013551 - 6</t>
  </si>
  <si>
    <t>SAP-8013666 - 1</t>
  </si>
  <si>
    <t>SAP-8013666 - 2</t>
  </si>
  <si>
    <t>SAP-8013666 - 3</t>
  </si>
  <si>
    <t>SAP-8013666 - 4</t>
  </si>
  <si>
    <t>SAP-8013666 - 5</t>
  </si>
  <si>
    <t>SAP-8013666 - 6</t>
  </si>
  <si>
    <t>SAP-8013680 - 1</t>
  </si>
  <si>
    <t>SAP-8013680 - 2</t>
  </si>
  <si>
    <t>SAP-8013680 - 3</t>
  </si>
  <si>
    <t>SAP-8013680 - 4</t>
  </si>
  <si>
    <t>SAP-8013680 - 5</t>
  </si>
  <si>
    <t>SAP-8013680 - 6</t>
  </si>
  <si>
    <t>SAP-8013716 - 1</t>
  </si>
  <si>
    <t>SAP-8013716 - 2</t>
  </si>
  <si>
    <t>SAP-8013716 - 3</t>
  </si>
  <si>
    <t>SAP-8013716 - 4</t>
  </si>
  <si>
    <t>SAP-8013716 - 5</t>
  </si>
  <si>
    <t>SAP-8013716 - 6</t>
  </si>
  <si>
    <t>SAP-8013717 - 1</t>
  </si>
  <si>
    <t>SAP-8013717 - 2</t>
  </si>
  <si>
    <t>SAP-8013717 - 3</t>
  </si>
  <si>
    <t>SAP-8013717 - 4</t>
  </si>
  <si>
    <t>SAP-8013717 - 5</t>
  </si>
  <si>
    <t>SAP-8013717 - 6</t>
  </si>
  <si>
    <t>SAP-8014211</t>
  </si>
  <si>
    <t>SAP Predictive Replenishment, base package</t>
  </si>
  <si>
    <t>SAP-8014251 - 1</t>
  </si>
  <si>
    <t>SAP Predictive Replenishment, additional documents</t>
  </si>
  <si>
    <t>SAP-8014251 - 2</t>
  </si>
  <si>
    <t>SAP-8014251 - 3</t>
  </si>
  <si>
    <t>SAP-8014251 - 4</t>
  </si>
  <si>
    <t>SAP-8014251 - 5</t>
  </si>
  <si>
    <t>SAP-8014286 - 1</t>
  </si>
  <si>
    <t>SAP-8014286 - 2</t>
  </si>
  <si>
    <t>SAP-8014286 - 3</t>
  </si>
  <si>
    <t>SAP-8008225</t>
  </si>
  <si>
    <t>SAP Sports One, gold edition</t>
  </si>
  <si>
    <t>SAP-8007856 - 1</t>
  </si>
  <si>
    <t>SAP-8007856 - 2</t>
  </si>
  <si>
    <t>SAP-8007856 - 3</t>
  </si>
  <si>
    <t>SAP-8008912 - 1</t>
  </si>
  <si>
    <t>SAP Waste and Recycling, automated route planning option by PROLOGA</t>
  </si>
  <si>
    <t>SAP-8008912 - 2</t>
  </si>
  <si>
    <t>SAP-8008912 - 3</t>
  </si>
  <si>
    <t>SAP-8008912 - 4</t>
  </si>
  <si>
    <t>SAP-8008912 - 5</t>
  </si>
  <si>
    <t>SAP-8009300 - 1</t>
  </si>
  <si>
    <t>SAP-8009300 - 2</t>
  </si>
  <si>
    <t>SAP-8009300 - 3</t>
  </si>
  <si>
    <t>SAP-8009301 - 1</t>
  </si>
  <si>
    <t>SAP-8009301 - 2</t>
  </si>
  <si>
    <t>SAP-8009301 - 3</t>
  </si>
  <si>
    <t>SAP-8011265 - 1</t>
  </si>
  <si>
    <t>SAP-8011265 - 2</t>
  </si>
  <si>
    <t>SAP-8011265 - 3</t>
  </si>
  <si>
    <t>SAP-8011265 - 4</t>
  </si>
  <si>
    <t>SAP-8013670 - 1</t>
  </si>
  <si>
    <t>SAP Utilities Core for Germany</t>
  </si>
  <si>
    <t>SAP-8013670 - 2</t>
  </si>
  <si>
    <t>SAP-8013670 - 3</t>
  </si>
  <si>
    <t>SAP-8013670 - 4</t>
  </si>
  <si>
    <t>SAP-8013670 - 5</t>
  </si>
  <si>
    <t>SAP-8013690 - 1</t>
  </si>
  <si>
    <t>SAP-8013690 - 2</t>
  </si>
  <si>
    <t>SAP-8013690 - 3</t>
  </si>
  <si>
    <t>SAP-8013690 - 4</t>
  </si>
  <si>
    <t>SAP-8013727 - 1</t>
  </si>
  <si>
    <t>SAP Utilities Core</t>
  </si>
  <si>
    <t>SAP-8013727 - 2</t>
  </si>
  <si>
    <t>SAP-8013727 - 3</t>
  </si>
  <si>
    <t>SAP-8013727 - 4</t>
  </si>
  <si>
    <t>SAP-8013727 - 5</t>
  </si>
  <si>
    <t>SAP-8002535 - 1</t>
  </si>
  <si>
    <t>SAP Assessment Mgmt by Questionmark</t>
  </si>
  <si>
    <t>SAP-8002535 - 2</t>
  </si>
  <si>
    <t>SAP-8002535 - 3</t>
  </si>
  <si>
    <t>SAP-8002535 - 4</t>
  </si>
  <si>
    <t>SAP-8002535 - 5</t>
  </si>
  <si>
    <t>SAP-8002535 - 6</t>
  </si>
  <si>
    <t>SAP-8002535 - 7</t>
  </si>
  <si>
    <t>SAP-8002535 - 8</t>
  </si>
  <si>
    <t>SAP-8002535 - 9</t>
  </si>
  <si>
    <t>SAP-8002535 - 10</t>
  </si>
  <si>
    <t>SAP-8002535 - 11</t>
  </si>
  <si>
    <t>SAP-8004458 - 1</t>
  </si>
  <si>
    <t>SAP-8004458 - 2</t>
  </si>
  <si>
    <t>SAP-8004458 - 3</t>
  </si>
  <si>
    <t>SAP-8004458 - 4</t>
  </si>
  <si>
    <t>SAP-8004458 - 5</t>
  </si>
  <si>
    <t>SAP-8004458 - 6</t>
  </si>
  <si>
    <t>SAP-8004458 - 7</t>
  </si>
  <si>
    <t>SAP-8004458 - 8</t>
  </si>
  <si>
    <t>SAP-8004458 - 9</t>
  </si>
  <si>
    <t>SAP-8004458 - 10</t>
  </si>
  <si>
    <t>SAP-8004458 - 11</t>
  </si>
  <si>
    <t>SAP-8004458 - 12</t>
  </si>
  <si>
    <t>SAP-8004458 - 13</t>
  </si>
  <si>
    <t>SAP-8004458 - 14</t>
  </si>
  <si>
    <t>SAP-8004459 - 1</t>
  </si>
  <si>
    <t>SAP-8004459 - 2</t>
  </si>
  <si>
    <t>SAP-8004459 - 3</t>
  </si>
  <si>
    <t>SAP-8004459 - 4</t>
  </si>
  <si>
    <t>SAP-8004459 - 5</t>
  </si>
  <si>
    <t>SAP-8004459 - 6</t>
  </si>
  <si>
    <t>SAP-8004459 - 7</t>
  </si>
  <si>
    <t>SAP-8004459 - 8</t>
  </si>
  <si>
    <t>SAP-8004459 - 9</t>
  </si>
  <si>
    <t>SAP-8004459 - 10</t>
  </si>
  <si>
    <t>SAP-8004459 - 11</t>
  </si>
  <si>
    <t>SAP-8004459 - 12</t>
  </si>
  <si>
    <t>SAP-8004460 - 1</t>
  </si>
  <si>
    <t>SAP-8004460 - 2</t>
  </si>
  <si>
    <t>SAP-8004460 - 3</t>
  </si>
  <si>
    <t>SAP-8004460 - 4</t>
  </si>
  <si>
    <t>SAP-8004460 - 5</t>
  </si>
  <si>
    <t>SAP-8004460 - 6</t>
  </si>
  <si>
    <t>SAP-8004460 - 7</t>
  </si>
  <si>
    <t>SAP-8004460 - 8</t>
  </si>
  <si>
    <t>SAP-8004460 - 9</t>
  </si>
  <si>
    <t>SAP-8004460 - 10</t>
  </si>
  <si>
    <t>SAP-8004460 - 11</t>
  </si>
  <si>
    <t>SAP-8004460 - 12</t>
  </si>
  <si>
    <t>SAP-8004460 - 13</t>
  </si>
  <si>
    <t>SAP-8004460 - 14</t>
  </si>
  <si>
    <t>SAP-8004461 - 1</t>
  </si>
  <si>
    <t>SAP-8004461 - 2</t>
  </si>
  <si>
    <t>SAP-8004461 - 3</t>
  </si>
  <si>
    <t>SAP-8004461 - 4</t>
  </si>
  <si>
    <t>SAP-8004461 - 5</t>
  </si>
  <si>
    <t>SAP-8004461 - 6</t>
  </si>
  <si>
    <t>SAP-8004461 - 7</t>
  </si>
  <si>
    <t>SAP-8004461 - 8</t>
  </si>
  <si>
    <t>SAP-8004461 - 9</t>
  </si>
  <si>
    <t>SAP-8004461 - 10</t>
  </si>
  <si>
    <t>SAP-8004466</t>
  </si>
  <si>
    <t>SAP-8005805</t>
  </si>
  <si>
    <t>SAP-8005806</t>
  </si>
  <si>
    <t>SAP-8005807</t>
  </si>
  <si>
    <t>SAP-8005808</t>
  </si>
  <si>
    <t>SAP-8005809</t>
  </si>
  <si>
    <t>SAP-8005810</t>
  </si>
  <si>
    <t>SAP-8005811</t>
  </si>
  <si>
    <t>SAP-8006100 - 1</t>
  </si>
  <si>
    <t>SAP-8006100 - 2</t>
  </si>
  <si>
    <t>SAP-8006100 - 3</t>
  </si>
  <si>
    <t>SAP-8006100 - 4</t>
  </si>
  <si>
    <t>SAP-8006100 - 5</t>
  </si>
  <si>
    <t>SAP-8006100 - 6</t>
  </si>
  <si>
    <t>SAP-8006100 - 7</t>
  </si>
  <si>
    <t>SAP-8006100 - 8</t>
  </si>
  <si>
    <t>SAP-8006100 - 9</t>
  </si>
  <si>
    <t>SAP-8008251 - 1</t>
  </si>
  <si>
    <t>SAP-8008251 - 2</t>
  </si>
  <si>
    <t>SAP-8008251 - 3</t>
  </si>
  <si>
    <t>SAP-8008251 - 4</t>
  </si>
  <si>
    <t>SAP-8008251 - 5</t>
  </si>
  <si>
    <t>SAP-8008251 - 6</t>
  </si>
  <si>
    <t>SAP-8013372 - 1</t>
  </si>
  <si>
    <t>SAP Enable Now, consumption option for external workers</t>
  </si>
  <si>
    <t>SAP-8013372 - 2</t>
  </si>
  <si>
    <t>SAP-8013372 - 3</t>
  </si>
  <si>
    <t>SAP-8013372 - 4</t>
  </si>
  <si>
    <t>SAP-8013655 - 1</t>
  </si>
  <si>
    <t>SAP User Experience Management by Knoa, cloud edition</t>
  </si>
  <si>
    <t>SAP-8013655 - 2</t>
  </si>
  <si>
    <t>SAP-8013655 - 3</t>
  </si>
  <si>
    <t>SAP-8013655 - 4</t>
  </si>
  <si>
    <t>SAP-8013655 - 5</t>
  </si>
  <si>
    <t>SAP-8013655 - 6</t>
  </si>
  <si>
    <t>SAP-8013655 - 7</t>
  </si>
  <si>
    <t>SAP-8013655 - 8</t>
  </si>
  <si>
    <t>SAP-8005855 - 1</t>
  </si>
  <si>
    <t>SAP Signature Management by DocuSign, add-on part 11</t>
  </si>
  <si>
    <t>SAP-8005855 - 2</t>
  </si>
  <si>
    <t>SAP-8005855 - 3</t>
  </si>
  <si>
    <t>SAP-8005855 - 4</t>
  </si>
  <si>
    <t>SAP-8005856 - 1</t>
  </si>
  <si>
    <t>SAP Signature Management by DocuSign, add-on sbs</t>
  </si>
  <si>
    <t>SAP-8005856 - 2</t>
  </si>
  <si>
    <t>SAP-8005856 - 3</t>
  </si>
  <si>
    <t>SAP-8005856 - 4</t>
  </si>
  <si>
    <t>SAP-8005605</t>
  </si>
  <si>
    <t>SAP-8007848</t>
  </si>
  <si>
    <t>SAP-8008183</t>
  </si>
  <si>
    <t>SAP-8008411</t>
  </si>
  <si>
    <t>SAP-8008412</t>
  </si>
  <si>
    <t>SAP-8008413</t>
  </si>
  <si>
    <t>SAP-8008466 - 1</t>
  </si>
  <si>
    <t>SAP Build Work Zone, standard edition</t>
  </si>
  <si>
    <t>SAP-8008466 - 2</t>
  </si>
  <si>
    <t>SAP-8008466 - 3</t>
  </si>
  <si>
    <t>SAP-8008466 - 4</t>
  </si>
  <si>
    <t>SAP-8008466 - 5</t>
  </si>
  <si>
    <t>SAP-8008466 - 6</t>
  </si>
  <si>
    <t>SAP-8008466 - 7</t>
  </si>
  <si>
    <t>SAP-8008837</t>
  </si>
  <si>
    <t>SAP-8009273 - 1</t>
  </si>
  <si>
    <t>SAP-8009273 - 2</t>
  </si>
  <si>
    <t>SAP-8009273 - 3</t>
  </si>
  <si>
    <t>SAP-8009273 - 4</t>
  </si>
  <si>
    <t>SAP-8009273 - 5</t>
  </si>
  <si>
    <t>SAP-8009455</t>
  </si>
  <si>
    <t>SAP-8010886</t>
  </si>
  <si>
    <t>SAP-8010888</t>
  </si>
  <si>
    <t>SAP-8011306</t>
  </si>
  <si>
    <t>SAP-8011307</t>
  </si>
  <si>
    <t>SAP-8011308</t>
  </si>
  <si>
    <t>SAP-8011309</t>
  </si>
  <si>
    <t>SAP-8011310</t>
  </si>
  <si>
    <t>SAP-8011311</t>
  </si>
  <si>
    <t>SAP-8011317</t>
  </si>
  <si>
    <t>SAP-8011367</t>
  </si>
  <si>
    <t>SAP-8011542 - 1</t>
  </si>
  <si>
    <t>SAP-8011542 - 2</t>
  </si>
  <si>
    <t>SAP-8011542 - 3</t>
  </si>
  <si>
    <t>SAP-8011542 - 4</t>
  </si>
  <si>
    <t>SAP-8011542 - 5</t>
  </si>
  <si>
    <t>SAP-8011542 - 6</t>
  </si>
  <si>
    <t>SAP-8011542 - 7</t>
  </si>
  <si>
    <t>SAP-8012231</t>
  </si>
  <si>
    <t>SAP-8012251 - 1</t>
  </si>
  <si>
    <t>SAP Build Process Automation, unattended automations</t>
  </si>
  <si>
    <t>SAP-8012251 - 2</t>
  </si>
  <si>
    <t>SAP-8012251 - 3</t>
  </si>
  <si>
    <t>SAP-8012251 - 4</t>
  </si>
  <si>
    <t>SAP-8012252 - 1</t>
  </si>
  <si>
    <t>SAP Build Process Automation, attended automations</t>
  </si>
  <si>
    <t>SAP-8012252 - 2</t>
  </si>
  <si>
    <t>SAP-8012252 - 3</t>
  </si>
  <si>
    <t>SAP-8012252 - 4</t>
  </si>
  <si>
    <t>SAP-8012264 - 1</t>
  </si>
  <si>
    <t>SAP Build Process Automation, standard</t>
  </si>
  <si>
    <t>SAP-8012264 - 2</t>
  </si>
  <si>
    <t>SAP-8012264 - 3</t>
  </si>
  <si>
    <t>SAP-8012264 - 4</t>
  </si>
  <si>
    <t>SAP-8012264 - 5</t>
  </si>
  <si>
    <t>SAP-8012264 - 6</t>
  </si>
  <si>
    <t>SAP-8012264 - 7</t>
  </si>
  <si>
    <t>SAP-8012265</t>
  </si>
  <si>
    <t>SAP Build Process Automation, advanced</t>
  </si>
  <si>
    <t>SAP-8012266</t>
  </si>
  <si>
    <t>SAP Build Process Automation, additional storage</t>
  </si>
  <si>
    <t>SAP-8012267</t>
  </si>
  <si>
    <t>SAP Build Process Automation, additional API</t>
  </si>
  <si>
    <t>SAP-8013624 - 1</t>
  </si>
  <si>
    <t>SAP-8013624 - 2</t>
  </si>
  <si>
    <t>SAP-8013624 - 3</t>
  </si>
  <si>
    <t>SAP-8013624 - 4</t>
  </si>
  <si>
    <t>SAP-8013624 - 5</t>
  </si>
  <si>
    <t>SAP-8013624 - 6</t>
  </si>
  <si>
    <t>SAP-8013660</t>
  </si>
  <si>
    <t>SAP Build Apps, enterprise edition, base package</t>
  </si>
  <si>
    <t>SAP-8013754 - 1</t>
  </si>
  <si>
    <t>SAP Build Apps, enterprise edition, additional user</t>
  </si>
  <si>
    <t>SAP-8013754 - 2</t>
  </si>
  <si>
    <t>SAP-8013754 - 3</t>
  </si>
  <si>
    <t>SAP-8013754 - 4</t>
  </si>
  <si>
    <t>SAP-8013754 - 5</t>
  </si>
  <si>
    <t>SAP-8013754 - 6</t>
  </si>
  <si>
    <t>SAP-8013754 - 7</t>
  </si>
  <si>
    <t>SAP-8013773</t>
  </si>
  <si>
    <t>SAP Build Apps, enterprise edition, additional capacity unit</t>
  </si>
  <si>
    <t>SAP-8014358</t>
  </si>
  <si>
    <t>SAP IQ cold store Cloud, private edition (3XL, 30 TB)</t>
  </si>
  <si>
    <t>SAP-8014359</t>
  </si>
  <si>
    <t>SAP IQ cold store Cloud, additional non-productive tier, private edition (XXL, 20 TB)</t>
  </si>
  <si>
    <t>SAP-8014394</t>
  </si>
  <si>
    <t>SAP IQ cold store Cloud, additional non-productive tier, private edition (M, 3 TB)</t>
  </si>
  <si>
    <t>SAP-8014395</t>
  </si>
  <si>
    <t>SAP IQ cold store Cloud, additional non-productive tier, private edition (XL, 10 TB)</t>
  </si>
  <si>
    <t>SAP-8014417</t>
  </si>
  <si>
    <t>SAP IQ cold store Cloud, additional non-productive tier, private edition (S, 1 TB)</t>
  </si>
  <si>
    <t>SAP-8014418</t>
  </si>
  <si>
    <t>SAP IQ cold store Cloud, additional non-productive tier, private edition (L, 5 TB)</t>
  </si>
  <si>
    <t>SAP-8014433</t>
  </si>
  <si>
    <t>SAP IQ cold store Cloud, additional non-productive tier, private edition (3XL, 30 TB)</t>
  </si>
  <si>
    <t>SAP-8014445</t>
  </si>
  <si>
    <t>SAP IQ cold store Cloud, additional non-productive tier, private edition (XS, 512 GB)</t>
  </si>
  <si>
    <t>SAP-8014813 - 1</t>
  </si>
  <si>
    <t>SAP Build Work Zone, standard edition, external access option</t>
  </si>
  <si>
    <t>SAP-8014813 - 2</t>
  </si>
  <si>
    <t>SAP-8014813 - 3</t>
  </si>
  <si>
    <t>SAP-8014813 - 4</t>
  </si>
  <si>
    <t>SAP-8014813 - 5</t>
  </si>
  <si>
    <t>SAP-8014813 - 6</t>
  </si>
  <si>
    <t>SAP-8014813 - 7</t>
  </si>
  <si>
    <t>SAP-8014821</t>
  </si>
  <si>
    <t>SAP Alert Notification service for SAP BTP</t>
  </si>
  <si>
    <t>SAP-8006115 - 1</t>
  </si>
  <si>
    <t>SAP-8006115 - 2</t>
  </si>
  <si>
    <t>SAP-8006115 - 3</t>
  </si>
  <si>
    <t>SAP-8006115 - 4</t>
  </si>
  <si>
    <t>SAP-8006116</t>
  </si>
  <si>
    <t>SAP-8006118 - 1</t>
  </si>
  <si>
    <t>SAP-8006118 - 2</t>
  </si>
  <si>
    <t>SAP-8006118 - 3</t>
  </si>
  <si>
    <t>SAP-8006118 - 4</t>
  </si>
  <si>
    <t>SAP-8006118 - 5</t>
  </si>
  <si>
    <t>SAP-8006118 - 6</t>
  </si>
  <si>
    <t>SAP-8006119</t>
  </si>
  <si>
    <t>SAP-8006125</t>
  </si>
  <si>
    <t>SAP-8006126</t>
  </si>
  <si>
    <t>SAP-8006127</t>
  </si>
  <si>
    <t>SAP-8006146</t>
  </si>
  <si>
    <t>SAP-8006147</t>
  </si>
  <si>
    <t>SAP-8008395</t>
  </si>
  <si>
    <t>SAP-8008396</t>
  </si>
  <si>
    <t>SAP-8008735</t>
  </si>
  <si>
    <t>SAP-8008836</t>
  </si>
  <si>
    <t>SAP-8008941 - 1</t>
  </si>
  <si>
    <t>SAP-8008941 - 2</t>
  </si>
  <si>
    <t>SAP-8008941 - 3</t>
  </si>
  <si>
    <t>SAP-8008941 - 4</t>
  </si>
  <si>
    <t>SAP-8008941 - 5</t>
  </si>
  <si>
    <t>SAP-8008941 - 6</t>
  </si>
  <si>
    <t>SAP-8008942 - 1</t>
  </si>
  <si>
    <t>SAP-8008942 - 2</t>
  </si>
  <si>
    <t>SAP-8008942 - 3</t>
  </si>
  <si>
    <t>SAP-8008942 - 4</t>
  </si>
  <si>
    <t>SAP-8008942 - 5</t>
  </si>
  <si>
    <t>SAP-8008942 - 6</t>
  </si>
  <si>
    <t>SAP-8008980</t>
  </si>
  <si>
    <t>SAP-8010762</t>
  </si>
  <si>
    <t>SAP-8010763 - 1</t>
  </si>
  <si>
    <t>SAP-8010763 - 2</t>
  </si>
  <si>
    <t>SAP-8010763 - 3</t>
  </si>
  <si>
    <t>SAP-8010763 - 4</t>
  </si>
  <si>
    <t>SAP-8010764</t>
  </si>
  <si>
    <t>SAP-8010765 - 1</t>
  </si>
  <si>
    <t>SAP-8010765 - 2</t>
  </si>
  <si>
    <t>SAP-8010765 - 3</t>
  </si>
  <si>
    <t>SAP-8010765 - 4</t>
  </si>
  <si>
    <t>SAP-8010936</t>
  </si>
  <si>
    <t>SAP-8010941</t>
  </si>
  <si>
    <t>SAP-8011026 - 1</t>
  </si>
  <si>
    <t>SAP-8011026 - 2</t>
  </si>
  <si>
    <t>SAP-8011026 - 3</t>
  </si>
  <si>
    <t>SAP-8011026 - 4</t>
  </si>
  <si>
    <t>SAP-8011030</t>
  </si>
  <si>
    <t>SAP-8011031</t>
  </si>
  <si>
    <t>SAP-8011032</t>
  </si>
  <si>
    <t>SAP-8011033</t>
  </si>
  <si>
    <t>SAP-8011039</t>
  </si>
  <si>
    <t>SAP BI Java Server Cloud, private edition (8 cores)</t>
  </si>
  <si>
    <t>SAP-8011040</t>
  </si>
  <si>
    <t>SAP BI Java Server Cloud, private edition (16 cores)</t>
  </si>
  <si>
    <t>SAP-8011041</t>
  </si>
  <si>
    <t>SAP BI Java Server Cloud, private edition (24 cores)</t>
  </si>
  <si>
    <t>SAP-8011119</t>
  </si>
  <si>
    <t>SAP-8011261</t>
  </si>
  <si>
    <t>SAP BI Java Server Cloud, additional non-productive, private edition (8 cores)</t>
  </si>
  <si>
    <t>SAP-8011262</t>
  </si>
  <si>
    <t>SAP BI Java Server Cloud, additional non-productive, private edition (16 cores)</t>
  </si>
  <si>
    <t>SAP-8011263</t>
  </si>
  <si>
    <t>SAP BI Java Server Cloud, additional non-productive, private edition (24 cores)</t>
  </si>
  <si>
    <t>SAP-8012208</t>
  </si>
  <si>
    <t>SAP-8013641 - 1</t>
  </si>
  <si>
    <t>SAP-8013641 - 2</t>
  </si>
  <si>
    <t>SAP-8013641 - 3</t>
  </si>
  <si>
    <t>SAP-8013641 - 4</t>
  </si>
  <si>
    <t>SAP-8014354 - 1</t>
  </si>
  <si>
    <t>SAP Sustainability Control Tower</t>
  </si>
  <si>
    <t>SAP-8014354 - 2</t>
  </si>
  <si>
    <t>SAP-8014354 - 3</t>
  </si>
  <si>
    <t>SAP-8011057</t>
  </si>
  <si>
    <t>SAP-8011182 - 1</t>
  </si>
  <si>
    <t>SAP-8011182 - 2</t>
  </si>
  <si>
    <t>SAP-8011182 - 3</t>
  </si>
  <si>
    <t>SAP-8011182 - 4</t>
  </si>
  <si>
    <t>SAP-8011637 - 1</t>
  </si>
  <si>
    <t>SAP-8011637 - 2</t>
  </si>
  <si>
    <t>SAP-8011637 - 3</t>
  </si>
  <si>
    <t>SAP-8014246 - 1</t>
  </si>
  <si>
    <t>SAP Advanced Data Migration and Management by Syniti, database storage option</t>
  </si>
  <si>
    <t>SAP-8014246 - 2</t>
  </si>
  <si>
    <t>SAP-8014246 - 3</t>
  </si>
  <si>
    <t>SAP-8014246 - 4</t>
  </si>
  <si>
    <t>SAP-8014313 - 1</t>
  </si>
  <si>
    <t>SAP Advanced Data Migration and Management by Syniti</t>
  </si>
  <si>
    <t>SAP-8014313 - 2</t>
  </si>
  <si>
    <t>SAP-8014313 - 3</t>
  </si>
  <si>
    <t>SAP-8014313 - 4</t>
  </si>
  <si>
    <t>SAP-8009283 - 1</t>
  </si>
  <si>
    <t>SAP-8009283 - 2</t>
  </si>
  <si>
    <t>SAP-8009283 - 3</t>
  </si>
  <si>
    <t>SAP-8009283 - 4</t>
  </si>
  <si>
    <t>SAP-8009283 - 5</t>
  </si>
  <si>
    <t>SAP-8005457</t>
  </si>
  <si>
    <t>SAP-8005650</t>
  </si>
  <si>
    <t>SAP-8005986</t>
  </si>
  <si>
    <t>SAP-8006196</t>
  </si>
  <si>
    <t>SAP-8006197</t>
  </si>
  <si>
    <t>SAP-8006265</t>
  </si>
  <si>
    <t>SAP-8007646</t>
  </si>
  <si>
    <t>SAP-8007977</t>
  </si>
  <si>
    <t>SAP-8009027</t>
  </si>
  <si>
    <t>SAP Preferred Success for SAP Ariba solutions</t>
  </si>
  <si>
    <t>SAP-8012489</t>
  </si>
  <si>
    <t>SAP-8013634</t>
  </si>
  <si>
    <t>SAP Preferred Success for SAP Ariba Solutions, expanded edition</t>
  </si>
  <si>
    <t>SAP-8000275</t>
  </si>
  <si>
    <t>SAP Business ByDesign, additional productive tenant</t>
  </si>
  <si>
    <t>SAP-8002712</t>
  </si>
  <si>
    <t>SAP Business ByDesign, localization fee</t>
  </si>
  <si>
    <t>SAP-8002713</t>
  </si>
  <si>
    <t>SAP Business ByDesign, test tenant</t>
  </si>
  <si>
    <t>SAP-8007643</t>
  </si>
  <si>
    <t>SAP-8007644</t>
  </si>
  <si>
    <t>SAP-8007645</t>
  </si>
  <si>
    <t>SAP-8008018</t>
  </si>
  <si>
    <t>SAP-8014401</t>
  </si>
  <si>
    <t>SAP Business ByDesign, enterprise private edition</t>
  </si>
  <si>
    <t>SAP-8013364 - 1</t>
  </si>
  <si>
    <t>SAP Product Footprint Management for clean operations</t>
  </si>
  <si>
    <t>SAP-8013364 - 2</t>
  </si>
  <si>
    <t>SAP-8013364 - 3</t>
  </si>
  <si>
    <t>SAP-8013364 - 4</t>
  </si>
  <si>
    <t>SAP-8008788</t>
  </si>
  <si>
    <t>SAP-8008789 - 1</t>
  </si>
  <si>
    <t>SAP S/4HANA Cloud for invoice management by OpenText, private edition</t>
  </si>
  <si>
    <t>SAP-8008789 - 2</t>
  </si>
  <si>
    <t>SAP-8008789 - 3</t>
  </si>
  <si>
    <t>SAP-8008789 - 4</t>
  </si>
  <si>
    <t>SAP-8008789 - 5</t>
  </si>
  <si>
    <t>SAP-8009451 - 1</t>
  </si>
  <si>
    <t>SAP ERP for invoice management by OpenText, private cloud edition</t>
  </si>
  <si>
    <t>SAP-8009451 - 2</t>
  </si>
  <si>
    <t>SAP-8009451 - 3</t>
  </si>
  <si>
    <t>SAP-8009451 - 4</t>
  </si>
  <si>
    <t>SAP-8009451 - 5</t>
  </si>
  <si>
    <t>SAP-8011419 - 1</t>
  </si>
  <si>
    <t>SAP Digital Asset Management Cloud by OpenText</t>
  </si>
  <si>
    <t>SAP-8011419 - 2</t>
  </si>
  <si>
    <t>SAP-8011419 - 3</t>
  </si>
  <si>
    <t>SAP-8011419 - 4</t>
  </si>
  <si>
    <t>SAP-8011419 - 5</t>
  </si>
  <si>
    <t>SAP-8011420</t>
  </si>
  <si>
    <t>SAP Digital Asset Management Cloud by OpenText, limited access option</t>
  </si>
  <si>
    <t>SAP-8011421</t>
  </si>
  <si>
    <t>SAP Digital Asset Management Cloud by OpenText, additional storage</t>
  </si>
  <si>
    <t>SAP-8007703 - 1</t>
  </si>
  <si>
    <t>SAP SuccessFactors Extended Enterprise Content Management by OpenText</t>
  </si>
  <si>
    <t>SAP-8007703 - 2</t>
  </si>
  <si>
    <t>SAP-8007703 - 3</t>
  </si>
  <si>
    <t>SAP-8007703 - 4</t>
  </si>
  <si>
    <t>SAP-8007703 - 5</t>
  </si>
  <si>
    <t>SAP-8007703 - 6</t>
  </si>
  <si>
    <t>SAP-8007703 - 7</t>
  </si>
  <si>
    <t>SAP-8007704 - 1</t>
  </si>
  <si>
    <t>SAP SuccessFactors Document Management Core by OpenText</t>
  </si>
  <si>
    <t>SAP-8007704 - 2</t>
  </si>
  <si>
    <t>SAP-8007704 - 3</t>
  </si>
  <si>
    <t>SAP-8007704 - 4</t>
  </si>
  <si>
    <t>SAP-8007704 - 5</t>
  </si>
  <si>
    <t>SAP-8007704 - 6</t>
  </si>
  <si>
    <t>SAP-8007704 - 7</t>
  </si>
  <si>
    <t>SAP-8007704 - 8</t>
  </si>
  <si>
    <t>SAP-8007704 - 9</t>
  </si>
  <si>
    <t>SAP-8007775</t>
  </si>
  <si>
    <t>SAP SuccessFactors Managed Storage by OpenText</t>
  </si>
  <si>
    <t>SAP-8005971</t>
  </si>
  <si>
    <t>SAP Extended Enterprise Content Management by OpenText, cloud edition, additional storage</t>
  </si>
  <si>
    <t>SAP-8005972</t>
  </si>
  <si>
    <t>SAP-8005979 - 1</t>
  </si>
  <si>
    <t>SAP Extended Enterprise Content Management by OpenText, cloud edition</t>
  </si>
  <si>
    <t>SAP-8005979 - 2</t>
  </si>
  <si>
    <t>SAP-8005979 - 3</t>
  </si>
  <si>
    <t>SAP-8005979 - 4</t>
  </si>
  <si>
    <t>SAP-8005979 - 5</t>
  </si>
  <si>
    <t>SAP-8005980 - 1</t>
  </si>
  <si>
    <t>SAP Extended Enterprise Content Management by OpenText, cloud edition, limited access option</t>
  </si>
  <si>
    <t>SAP-8005980 - 2</t>
  </si>
  <si>
    <t>SAP-8005980 - 3</t>
  </si>
  <si>
    <t>SAP-8005980 - 4</t>
  </si>
  <si>
    <t>SAP-8005980 - 5</t>
  </si>
  <si>
    <t>SAP-8007695 - 1</t>
  </si>
  <si>
    <t>SAP Extended Enterprise Content Management by OpenText, add-on for Microsoft Office 365</t>
  </si>
  <si>
    <t>SAP-8007695 - 2</t>
  </si>
  <si>
    <t>SAP-8007695 - 3</t>
  </si>
  <si>
    <t>SAP-8007695 - 4</t>
  </si>
  <si>
    <t>SAP-8007695 - 5</t>
  </si>
  <si>
    <t>SAP-8007812 - 1</t>
  </si>
  <si>
    <t>SAP-8007812 - 2</t>
  </si>
  <si>
    <t>SAP-8007812 - 3</t>
  </si>
  <si>
    <t>SAP-8007812 - 4</t>
  </si>
  <si>
    <t>SAP-8007812 - 5</t>
  </si>
  <si>
    <t>SAP-8008266 - 1</t>
  </si>
  <si>
    <t>SAP-8008266 - 2</t>
  </si>
  <si>
    <t>SAP-8008266 - 3</t>
  </si>
  <si>
    <t>SAP-8008266 - 4</t>
  </si>
  <si>
    <t>SAP-8008266 - 5</t>
  </si>
  <si>
    <t>SAP-8008267 - 1</t>
  </si>
  <si>
    <t>SAP-8008267 - 2</t>
  </si>
  <si>
    <t>SAP-8008267 - 3</t>
  </si>
  <si>
    <t>SAP-8008267 - 4</t>
  </si>
  <si>
    <t>SAP-8008267 - 5</t>
  </si>
  <si>
    <t>SAP-8008426 - 1</t>
  </si>
  <si>
    <t>SAP-8008426 - 2</t>
  </si>
  <si>
    <t>SAP-8008426 - 3</t>
  </si>
  <si>
    <t>SAP-8008426 - 4</t>
  </si>
  <si>
    <t>SAP-8008426 - 5</t>
  </si>
  <si>
    <t>High Tech Software S.A.S - NUVU</t>
  </si>
  <si>
    <t>Houndoc Solution</t>
  </si>
  <si>
    <t>Cobro mensual con base en la cantidad capacitaciones efectuadas al mes</t>
  </si>
  <si>
    <t>NUV-HOU-01-02</t>
  </si>
  <si>
    <t>NUV-HOU-01-03</t>
  </si>
  <si>
    <t>NUV-HOU-01-04</t>
  </si>
  <si>
    <t>NUV-HOU-01-05</t>
  </si>
  <si>
    <t>NUV-HOU-01-06</t>
  </si>
  <si>
    <t>NUV-HOU-01-13</t>
  </si>
  <si>
    <t>NUV-HOU-01-14</t>
  </si>
  <si>
    <t>NUV-HOU-01-15</t>
  </si>
  <si>
    <t>NUV-HOU-01-16</t>
  </si>
  <si>
    <t>NUV-HOU-01-17</t>
  </si>
  <si>
    <t>NUV-HOU-01-18</t>
  </si>
  <si>
    <t>NUV-HOU-02-01</t>
  </si>
  <si>
    <t>Configuración y parametrización de los Houndoc Core  Estándar</t>
  </si>
  <si>
    <t>Por demanda - cobro mensual por horas ejecutadas en configuración  y parametrización</t>
  </si>
  <si>
    <t>NUV-HOU-02-02</t>
  </si>
  <si>
    <t>NUV-HOU-02-03</t>
  </si>
  <si>
    <t>NUV-HOU-02-04</t>
  </si>
  <si>
    <t>NUV-HOU-02-05</t>
  </si>
  <si>
    <t>NUV-HOU-02-06</t>
  </si>
  <si>
    <t>NUV-HOU-02-12</t>
  </si>
  <si>
    <t>Mensual de acuerdo al volumen de GB procesados</t>
  </si>
  <si>
    <t>NUV-HOU-02-13</t>
  </si>
  <si>
    <t>NUV-HOU-02-14</t>
  </si>
  <si>
    <t>NUV-HOU-02-15</t>
  </si>
  <si>
    <t>NUV-HOU-02-16</t>
  </si>
  <si>
    <t>NUV-HOU-02-17</t>
  </si>
  <si>
    <t>NUV-HOU-03-01</t>
  </si>
  <si>
    <t>NUV-HOU-03-02</t>
  </si>
  <si>
    <t>NUV-HOU-03-03</t>
  </si>
  <si>
    <t>NUV-HOU-03-04</t>
  </si>
  <si>
    <t>Cobro mensual por horas de evolución adquiridas</t>
  </si>
  <si>
    <t>NUV-HOU-03-05</t>
  </si>
  <si>
    <t>NUV-HOU-03-06</t>
  </si>
  <si>
    <t>NUV-HOU-03-07</t>
  </si>
  <si>
    <t>NUV-HOU-03-08</t>
  </si>
  <si>
    <t>NUV-HOU-03-09</t>
  </si>
  <si>
    <t>NUV-HOU-03-10</t>
  </si>
  <si>
    <t>NUV-HOU-03-11</t>
  </si>
  <si>
    <t>NUV-HOU-03-12</t>
  </si>
  <si>
    <t>NUV-HOU-03-13</t>
  </si>
  <si>
    <t>NUV-HOU-03-14</t>
  </si>
  <si>
    <t>NUV-HOU-03-15</t>
  </si>
  <si>
    <t>NUV-HOU-04-01</t>
  </si>
  <si>
    <t>Configuración y parametrización de los Modelos de Analitica &amp; AI - Cientifico de Datos</t>
  </si>
  <si>
    <t>NUV-HOU-04-02</t>
  </si>
  <si>
    <t>Configuración y parametrización de los Modelos de Analitica &amp; AI - Arquitecto</t>
  </si>
  <si>
    <t>NUV-HOU-04-03</t>
  </si>
  <si>
    <t>Configuración y parametrización de los Modelos de Analitica &amp; AI - Gerente de Proyecto</t>
  </si>
  <si>
    <t>NUV-HOU-04-04</t>
  </si>
  <si>
    <t>Configuración y parametrización de los Modelos de Analitica &amp; AI - Analista de Negocio</t>
  </si>
  <si>
    <t>NUV-HOU-04-05</t>
  </si>
  <si>
    <t>Configuración y parametrización de los Modelos de Analitica &amp; AI - Especialista de Datos</t>
  </si>
  <si>
    <t>NUV-HOU-04-06</t>
  </si>
  <si>
    <t>Configuración y parametrización de los Modelos de Analitica &amp; AI - Especialista Cloud</t>
  </si>
  <si>
    <t>NUV-HOU-04-07</t>
  </si>
  <si>
    <t>Configuración y parametrización de los Modelos de Analitica &amp; AI - Especialista Seguridad</t>
  </si>
  <si>
    <t>NUV-HOU-04-08</t>
  </si>
  <si>
    <t>Configuración y parametrización de los Modelos de Analitica &amp; AI - Desarrollador integración</t>
  </si>
  <si>
    <t>NUV-HOU-04-09</t>
  </si>
  <si>
    <t>Configuración y parametrización de los Modelos de Analitica &amp; AI - CX designer</t>
  </si>
  <si>
    <t>NUV-HOU-04-10</t>
  </si>
  <si>
    <t>NUV-HOU-04-11</t>
  </si>
  <si>
    <t>NUV-HOU-04-12</t>
  </si>
  <si>
    <t>NUV-HOU-04-13</t>
  </si>
  <si>
    <t>NUV-HOU-04-14</t>
  </si>
  <si>
    <t>NUV-HOU-04-15</t>
  </si>
  <si>
    <t>NUV-HOU-04-16</t>
  </si>
  <si>
    <t>NUV-HOU-04-17</t>
  </si>
  <si>
    <t>NUV-HOU-04-18</t>
  </si>
  <si>
    <t>NUV-HOU-05-01</t>
  </si>
  <si>
    <t>Houndoc  - Plataforma Core  - OnPremises - Usuario Nombrado</t>
  </si>
  <si>
    <t>Usuario Nombrado</t>
  </si>
  <si>
    <t>NUV-HOU-05-02</t>
  </si>
  <si>
    <t xml:space="preserve">Houndoc  - Plataforma Core  - OnPremises - Usuario Concurrente </t>
  </si>
  <si>
    <t>Usuario Concurrente</t>
  </si>
  <si>
    <t>NUV-HOU-05-03</t>
  </si>
  <si>
    <t>Houndoc  - Plataforma Core  -On-Premises Appliance OR-REM3UIH</t>
  </si>
  <si>
    <t>NUV-HOU-05-04</t>
  </si>
  <si>
    <t>Houndoc  - Plataforma Core  - On-Premises Appliance OR-P7M7Y0S</t>
  </si>
  <si>
    <t>NUV-HOU-05-05</t>
  </si>
  <si>
    <t>Houndoc  - Plataforma Core  -On-Premises Appliance OR-ODKC70D</t>
  </si>
  <si>
    <t>NUV-HOU-06-01</t>
  </si>
  <si>
    <t>Houndoc  - Datalake  -On-Premises Appliance Storage 26TB Datalake</t>
  </si>
  <si>
    <t>NUV-HOU-06-02</t>
  </si>
  <si>
    <t>Houndoc  - Datalake  -On-Premises Appliance Storage 96TB Datalake</t>
  </si>
  <si>
    <t>NUV-HOU-06-03</t>
  </si>
  <si>
    <t>Houndoc  - Datalake  -On-Premises Appliance Storage 240TB Datalake</t>
  </si>
  <si>
    <t>NUV-HOU-06-04</t>
  </si>
  <si>
    <t>Houndoc - Plataforma Core en la Nube - SAAS. (1-10 Usuarios nombrados)</t>
  </si>
  <si>
    <t>SAAS</t>
  </si>
  <si>
    <t>NUV-HOU-06-05</t>
  </si>
  <si>
    <t>Houndoc - Plataforma Core en la Nube - SAAS. (11-50 Usuarios nombrados)</t>
  </si>
  <si>
    <t>NUV-HOU-06-06</t>
  </si>
  <si>
    <t>Houndoc - Plataforma Core en la Nube - SAAS. (51-100 Usuarios nombrados)</t>
  </si>
  <si>
    <t>NUV-HOU-06-07</t>
  </si>
  <si>
    <t>Houndoc - Plataforma Core en la Nube - SAAS. (100-500 Usuarios nombrados)</t>
  </si>
  <si>
    <t>NUV-HOU-06-08</t>
  </si>
  <si>
    <t>Houndoc - Plataforma Core en la Nube - SAAS. (501 - 1000 Usuarios Nombrados)</t>
  </si>
  <si>
    <t>NUV-HOU-07-01</t>
  </si>
  <si>
    <t>Houndoc  - Datalake  Nube 6TB Datalake</t>
  </si>
  <si>
    <t>NUV-HOU-07-02</t>
  </si>
  <si>
    <t>Houndoc  - Datalake  Nube 20TB Datalake</t>
  </si>
  <si>
    <t>NUV-HOU-07-03</t>
  </si>
  <si>
    <t>Houndoc  - Datalake  Nube 100TB Datalake</t>
  </si>
  <si>
    <t>NUV-HOU-07-04</t>
  </si>
  <si>
    <t>Houndoc  - Datalake  Nube 240TB Datalake</t>
  </si>
  <si>
    <t>NUV-HOU-07-05</t>
  </si>
  <si>
    <t>Houndoc  - Datalake  Nube 360TB Datalake</t>
  </si>
  <si>
    <t>NUV-HOU-07-06</t>
  </si>
  <si>
    <t>Houndoc  - Datalake  Nube 500TB Datalake</t>
  </si>
  <si>
    <t>NUV-HOU-07-07</t>
  </si>
  <si>
    <t>Houndoc  - Datalake  Nube 1PB Datalake</t>
  </si>
  <si>
    <t>NUV-HOU-07-08</t>
  </si>
  <si>
    <t>Houndoc  - Datalake  Nube 2PB Datalake</t>
  </si>
  <si>
    <t>NUV-HOU-07-09</t>
  </si>
  <si>
    <t>Houndoc  - Datalake  Nube Por Demanda</t>
  </si>
  <si>
    <t>NUV-HOU-08-01</t>
  </si>
  <si>
    <t>Houndoc - Indexación Busqueda por Lenguaje Natural Cluster Nube 2xc4.large.search hasta 20TB</t>
  </si>
  <si>
    <t>NUV-HOU-08-02</t>
  </si>
  <si>
    <t>Houndoc - Indexación Busqueda por Lenguaje Natural Cluster Nube 4xc4.large.search hasta 20TB</t>
  </si>
  <si>
    <t>NUV-HOU-08-03</t>
  </si>
  <si>
    <t>Houndoc - Indexación Busqueda por Lenguaje Natural Cluster Nube 8xc4.large.search hasta 20TB</t>
  </si>
  <si>
    <t>NUV-HOU-08-04</t>
  </si>
  <si>
    <t>Houndoc - Indexación Busqueda por Lenguaje Natural Cluster Nube 2xc4.large.search hasta 200TB</t>
  </si>
  <si>
    <t>NUV-HOU-08-05</t>
  </si>
  <si>
    <t>Houndoc - Indexación Busqueda por Lenguaje Natural Cluster Nube 4xc4.large.search hasta 200TB</t>
  </si>
  <si>
    <t>NUV-HOU-08-06</t>
  </si>
  <si>
    <t>Houndoc - Indexación Busqueda por Lenguaje Natural Cluster Nube 8xc4.large.search hasta 200TB</t>
  </si>
  <si>
    <t>NUV-HOU-09-01</t>
  </si>
  <si>
    <t>Houndoc - Modulo de Vision Artificial  Documentos PDF NLP</t>
  </si>
  <si>
    <t>Pagina</t>
  </si>
  <si>
    <t>NUV-HOU-09-02</t>
  </si>
  <si>
    <t>Houndoc - Modulo de Vision Artificial Fotos  Reconocimiento</t>
  </si>
  <si>
    <t>Imagen</t>
  </si>
  <si>
    <t>NUV-HOU-10-01</t>
  </si>
  <si>
    <t>Houndoc - Modulo de Transcripcion Artificial Videos NLP</t>
  </si>
  <si>
    <t>Minuto</t>
  </si>
  <si>
    <t>NUV-HOU-10-02</t>
  </si>
  <si>
    <t>Houndoc - Modulo de Transcripcion Artificial Audios  NLP</t>
  </si>
  <si>
    <t>NUV-HOU-11-01</t>
  </si>
  <si>
    <t>Houndoc - Modulo de Traducción Texto 29 idiomas</t>
  </si>
  <si>
    <t>100 Caracteres Traducidos</t>
  </si>
  <si>
    <t>NUV-HOU-12-01</t>
  </si>
  <si>
    <t>Houndoc - Modulo de Comprension ENR Ontología Salud</t>
  </si>
  <si>
    <t>100 Caracteres UTF-8</t>
  </si>
  <si>
    <t>NUV-HOU-12-02</t>
  </si>
  <si>
    <t>Houndoc - Modulo de Comprension ENR Ontología Defensa y Jurídico</t>
  </si>
  <si>
    <t>NUV-HOU-13-01</t>
  </si>
  <si>
    <t>Houndoc - Modulo de Redacción de Texto IA</t>
  </si>
  <si>
    <t>100 Palabras</t>
  </si>
  <si>
    <t>NUV-HOU-14-01</t>
  </si>
  <si>
    <t>Houndoc - Modulo de Composición de imagen IA</t>
  </si>
  <si>
    <t>NUV-HOU-15-01</t>
  </si>
  <si>
    <t>Houndoc - Modulo de Preguntas y Respuestas IA NLP</t>
  </si>
  <si>
    <t>NUV-HOU-15-02</t>
  </si>
  <si>
    <t>Houndoc - Modulo de Preguntas y Respuestas IA NLP procesamiento 8000 Querys/día adicionales</t>
  </si>
  <si>
    <t>NUV-HOU-16-01</t>
  </si>
  <si>
    <t>Houndoc- Modulo de Procesos (Houndoc Snaptask)</t>
  </si>
  <si>
    <t>NUV-HOU-16-02</t>
  </si>
  <si>
    <t>Houndoc- Modulo de Procesos (Houndoc Snaptask) Proceso Automatizado</t>
  </si>
  <si>
    <t>NUV-HOU-17-01</t>
  </si>
  <si>
    <t>Houndoc- Modulo IA Biometria (Houndoc Signapp)</t>
  </si>
  <si>
    <t>NUV-HOU-17-02</t>
  </si>
  <si>
    <t>Houndoc- Modulo IA Biometria  Enrolamiento (Houndoc Signapp)</t>
  </si>
  <si>
    <t>Enrolamiento</t>
  </si>
  <si>
    <t>NUV-HOU-17-03</t>
  </si>
  <si>
    <t>Houndoc- Modulo IA Biometria Autenticación (Houndoc Signapp)</t>
  </si>
  <si>
    <t>Autenticación</t>
  </si>
  <si>
    <t>NUV-HOU-18-01</t>
  </si>
  <si>
    <t>Houndoc Advanced Support 1 US Dollar Overage</t>
  </si>
  <si>
    <t>Dolar</t>
  </si>
  <si>
    <t>NUV-HOU-18-02</t>
  </si>
  <si>
    <t>Houndoc Advanced Support 1 US Dollar per Month</t>
  </si>
  <si>
    <t>NUV-HOU-19-01</t>
  </si>
  <si>
    <t>Houndoc 1 US Dolar Procesamiento Nube</t>
  </si>
  <si>
    <t>GLOBAL TECHNOLOGY SERVICES GTS SA</t>
  </si>
  <si>
    <t>300130-001</t>
  </si>
  <si>
    <t>Apps-Silver Peak</t>
  </si>
  <si>
    <t>Unity EdgeConnect Boost License, 100Mbps Application Acceleration, Fabric-wide Aggregate Bandwidth, 1 Year</t>
  </si>
  <si>
    <t>USD)</t>
  </si>
  <si>
    <t>300130-002</t>
  </si>
  <si>
    <t>Unity EdgeConnect Boost License, 100Mbps Application Acceleration, Fabric-wide Aggregate Bandwidth, 2 Year</t>
  </si>
  <si>
    <t>300130-003</t>
  </si>
  <si>
    <t>Unity EdgeConnect Boost License, 100Mbps Application Acceleration, Fabric-wide Aggregate Bandwidth, 3 Years</t>
  </si>
  <si>
    <t>300130-004</t>
  </si>
  <si>
    <t>Unity EdgeConnect Boost License, 100Mbps Application Acceleration, Fabric-wide Aggregate Bandwidth, 5 Years</t>
  </si>
  <si>
    <t>300130-005</t>
  </si>
  <si>
    <t>Unity EdgeConnect Boost License, 100Mbps Application Acceleration, Fabric-wide Aggregate Bandwidth, 7 Years</t>
  </si>
  <si>
    <t>300130-006</t>
  </si>
  <si>
    <t>Unity EdgeConnect Boost License, 100Mbps Application Acceleration, Fabric-wide Aggregate Bandwidth, 4 Year</t>
  </si>
  <si>
    <t>300130-007</t>
  </si>
  <si>
    <t>Unity EdgeConnect Boost License, 100Mbps Application Acceleration, Fabric-wide Aggregate Bandwidth, 1 Month</t>
  </si>
  <si>
    <t>300130-007R</t>
  </si>
  <si>
    <t>Unity EdgeConnect Boost License, 100Mbps Application Acceleration, Fabric-wide Aggregate Bandwidth, 1 Month Renewal</t>
  </si>
  <si>
    <t>300250-001</t>
  </si>
  <si>
    <t>Unity EdgeConnect Boost High Availability License, 100Mbps Application Acceleration, Fabric-wide Aggregate Bandwidth, 1 Year</t>
  </si>
  <si>
    <t>300250-002</t>
  </si>
  <si>
    <t>Unity EdgeConnect Boost High Availability License, 100Mbps Application Acceleration, Fabric-wide Aggregate Bandwidth, 2 Years</t>
  </si>
  <si>
    <t>300250-003</t>
  </si>
  <si>
    <t>Unity EdgeConnect Boost High Availability License, 100Mbps Application Acceleration, Fabric-wide Aggregate Bandwidth, 3 Years</t>
  </si>
  <si>
    <t>300250-004</t>
  </si>
  <si>
    <t>Unity EdgeConnect Boost High Availability License, 100Mbps Application Acceleration, Fabric-wide Aggregate Bandwidth, 5 Years</t>
  </si>
  <si>
    <t>300250-005</t>
  </si>
  <si>
    <t>Unity EdgeConnect Boost High Availability License, 100Mbps Application Acceleration, Fabric-wide Aggregate Bandwidth, 7 Years</t>
  </si>
  <si>
    <t>300250-006</t>
  </si>
  <si>
    <t>Unity EdgeConnect Boost High Availability License, 100Mbps Application Acceleration, Fabric-wide Aggregate Bandwidth, 4 Years</t>
  </si>
  <si>
    <t>300250-007</t>
  </si>
  <si>
    <t>Unity EdgeConnect Boost High Availability License, 100Mbps Application Acceleration, Fabric-wide Aggregate Bandwidth, 1 Month</t>
  </si>
  <si>
    <t>300250-007R</t>
  </si>
  <si>
    <t>Unity EdgeConnect Boost High Availability License, 100Mbps Application Acceleration, Fabric-wide Aggregate Bandwidth, 1 Month Renewal</t>
  </si>
  <si>
    <t>300251-001</t>
  </si>
  <si>
    <t>Unity EdgeConnect Boost License, 10Gbps Application Acceleration, Fabric-wide Aggregate Bandwidth, 1 Year</t>
  </si>
  <si>
    <t>300251-002</t>
  </si>
  <si>
    <t>Unity EdgeConnect Boost License, 10Gbps Application Acceleration, Fabric-wide Aggregate Bandwidth, 2 Years</t>
  </si>
  <si>
    <t>300251-003</t>
  </si>
  <si>
    <t>Unity EdgeConnect Boost License, 10Gbps Application Acceleration, Fabric-wide Aggregate Bandwidth, 3 Years</t>
  </si>
  <si>
    <t>300251-004</t>
  </si>
  <si>
    <t>Unity EdgeConnect Boost License, 10Gbps Application Acceleration, Fabric-wide Aggregate Bandwidth, 5 Years</t>
  </si>
  <si>
    <t>300251-005</t>
  </si>
  <si>
    <t>Unity EdgeConnect Boost License, 10Gbps Application Acceleration, Fabric-wide Aggregate Bandwidth, 7 Years</t>
  </si>
  <si>
    <t>300251-006</t>
  </si>
  <si>
    <t>Unity EdgeConnect Boost License, 10Gbps Application Acceleration, Fabric-wide Aggregate Bandwidth, 4 Years</t>
  </si>
  <si>
    <t>300251-007</t>
  </si>
  <si>
    <t>Unity EdgeConnect Boost License, 10Gbps Application Acceleration, Fabric-wide Aggregate Bandwidth, 1 Month</t>
  </si>
  <si>
    <t>300251-007R</t>
  </si>
  <si>
    <t>Unity EdgeConnect Boost License, 10Gbps Application Acceleration, Fabric-wide Aggregate Bandwidth, 1 Month Renewal</t>
  </si>
  <si>
    <t>300252-001</t>
  </si>
  <si>
    <t>Unity EdgeConnect Boost High Availability License, 10Gbps Application Acceleration, Fabric-wide Aggregate Bandwidth, 1 Year</t>
  </si>
  <si>
    <t>300252-002</t>
  </si>
  <si>
    <t>Unity EdgeConnect Boost High Availability License, 10Gbps Application Acceleration, Fabric-wide Aggregate Bandwidth, 2 Years</t>
  </si>
  <si>
    <t>300252-003</t>
  </si>
  <si>
    <t>Unity EdgeConnect Boost High AvailabilityLicense, 10Gbps Application Acceleration, Fabric-wide Aggregate Bandwidth, 3 Years</t>
  </si>
  <si>
    <t>300252-004</t>
  </si>
  <si>
    <t>Unity EdgeConnect Boost High Availability License, 10Gbps Application Acceleration, Fabric-wide Aggregate Bandwidth, 5 Years</t>
  </si>
  <si>
    <t>300252-005</t>
  </si>
  <si>
    <t>Unity EdgeConnect Boost High Availability License, 10Gbps Application Acceleration, Fabric-wide Aggregate Bandwidth, 7 Years</t>
  </si>
  <si>
    <t>300252-006</t>
  </si>
  <si>
    <t>Unity EdgeConnect Boost High Availability License, 10Gbps Application Acceleration, Fabric-wide Aggregate Bandwidth, 4 Years</t>
  </si>
  <si>
    <t>300252-007</t>
  </si>
  <si>
    <t>Unity EdgeConnect Boost High Availability License, 10Gbps Application Acceleration, Fabric-wide Aggregate Bandwidth, 1 Month</t>
  </si>
  <si>
    <t>300252-007R</t>
  </si>
  <si>
    <t>Unity EdgeConnect Boost High Availability License, 10Gbps Application Acceleration, Fabric-wide Aggregate Bandwidth, 1 Month Renewal</t>
  </si>
  <si>
    <t>300254-001</t>
  </si>
  <si>
    <t>Unity EdgeConnect Boost License, 100Mbps Application Acceleration, Fabric-wide Aggregate Bandwidth, 1 Month Promo</t>
  </si>
  <si>
    <t>300255-001</t>
  </si>
  <si>
    <t>Unity EdgeConnect Boost High Availability License, 100Mbps Application Acceleration, Fabric-wide Aggregate Bandwidth, 1 Month Promo</t>
  </si>
  <si>
    <t>300256-001</t>
  </si>
  <si>
    <t>Unity EdgeConnect Boost License, 10Gbps Application Acceleration, Fabric-wide Aggregate Bandwidth, 1 Month Promo</t>
  </si>
  <si>
    <t>300257-001</t>
  </si>
  <si>
    <t>Unity EdgeConnect Boost High Availability License, 10Gbps Application Acceleration, Fabric-wide Aggregate Bandwidth, 1 Month Promo</t>
  </si>
  <si>
    <t>300434-001</t>
  </si>
  <si>
    <t>Unity EdgeConnect BW License, 50Mbps Bandwidth, Per EC Instance, 1 Year</t>
  </si>
  <si>
    <t>300434-901</t>
  </si>
  <si>
    <t>Unity EdgeConnect BW High Availability License, 50Mbps Bandwidth, Per EC Instance, 1 Year</t>
  </si>
  <si>
    <t>300435-001</t>
  </si>
  <si>
    <t>Unity EdgeConnect BW License, 200Mbps Bandwidth, Per EC Instance, 1 Year</t>
  </si>
  <si>
    <t>300435-901</t>
  </si>
  <si>
    <t>Unity EdgeConnect BW High Availability License, 200Mbps Bandwidth, Per EC Instance, 1 Year</t>
  </si>
  <si>
    <t>300436-001</t>
  </si>
  <si>
    <t>Unity EdgeConnect BW License, 500Mbps Bandwidth, Per EC Instance, 1 Year</t>
  </si>
  <si>
    <t>300436-901</t>
  </si>
  <si>
    <t>Unity EdgeConnect BW High Availability License, 500Mbps Bandwidth, Per EC Instance, 1 Year</t>
  </si>
  <si>
    <t>300437-001</t>
  </si>
  <si>
    <t>Unity EdgeConnect BW License, 1G Bandwidth, Per EC Instance, 1 Year</t>
  </si>
  <si>
    <t>300437-901</t>
  </si>
  <si>
    <t>Unity EdgeConnect BW High Availability License, 1G Bandwidth, Per EC Instance, 1 Year</t>
  </si>
  <si>
    <t>300438-001</t>
  </si>
  <si>
    <t>Unity EdgeConnect BW License, 2G Bandwidth, Per EC Instance, 1 Year</t>
  </si>
  <si>
    <t>300438-901</t>
  </si>
  <si>
    <t>Unity EdgeConnect BW High Availability License, 2G Bandwidth, Per EC Instance, 1 Year</t>
  </si>
  <si>
    <t>300439-001</t>
  </si>
  <si>
    <t>Unity EdgeConnect BW License, Unlimited Bandwidth, Per EC Instance, 1 Year</t>
  </si>
  <si>
    <t>300439-901</t>
  </si>
  <si>
    <t>Unity EdgeConnect BW High Availability License, Unlimited Bandwidth, Per EC Instance, 1 Year</t>
  </si>
  <si>
    <t>300440-001</t>
  </si>
  <si>
    <t>Unity EdgeConnect BW License, 50Mbps Bandwidth, Per EC Instance, 1 Month</t>
  </si>
  <si>
    <t>300440-901</t>
  </si>
  <si>
    <t>Unity EdgeConnect BW High Availability License, 50Mbps Bandwidth, Per EC Instance, 1 Month</t>
  </si>
  <si>
    <t>300441-001</t>
  </si>
  <si>
    <t>Unity EdgeConnect BW License, 200Mbps Bandwidth, Per EC Instance, 1 Month</t>
  </si>
  <si>
    <t>300441-901</t>
  </si>
  <si>
    <t>Unity EdgeConnect BW High Availability License, 200Mbps Bandwidth, Per EC Instance, 1 Month</t>
  </si>
  <si>
    <t>300442-001</t>
  </si>
  <si>
    <t>Unity EdgeConnect BW License, 500Mbps Bandwidth, Per EC Instance, 1 Month</t>
  </si>
  <si>
    <t>300442-901</t>
  </si>
  <si>
    <t>Unity EdgeConnect BW High Availability License, 500Mbps Bandwidth, Per EC Instance, 1 Month</t>
  </si>
  <si>
    <t>300443-001</t>
  </si>
  <si>
    <t>Unity EdgeConnect BW License, 1G Bandwidth, Per EC Instance, 1 Month</t>
  </si>
  <si>
    <t>300443-901</t>
  </si>
  <si>
    <t>Unity EdgeConnect BW High Availability License, 1G Bandwidth, Per EC Instance, 1 Month</t>
  </si>
  <si>
    <t>300444-001</t>
  </si>
  <si>
    <t>Unity EdgeConnect BW License, 2G Bandwidth, Per EC Instance, 1 Month</t>
  </si>
  <si>
    <t>300444-901</t>
  </si>
  <si>
    <t>Unity EdgeConnect BW High Availability License, 2G Bandwidth, Per EC Instance, 1 Month</t>
  </si>
  <si>
    <t>300445-001</t>
  </si>
  <si>
    <t>Unity EdgeConnect BW License, Unlimited Bandwidth, Per EC Instance, 1 Month</t>
  </si>
  <si>
    <t>300445-901</t>
  </si>
  <si>
    <t>Unity EdgeConnect BW High Availability License, Unlimited Bandwidth, Per EC Instance, 1 Month</t>
  </si>
  <si>
    <t>300446-001R</t>
  </si>
  <si>
    <t>Unity EdgeConnect BW License, 50Mbps Bandwidth, Per EC Instance, 1 Month Renewal</t>
  </si>
  <si>
    <t>300446-901R</t>
  </si>
  <si>
    <t>Unity EdgeConnect BW High Availability License, 50Mbps Bandwidth, Per EC Instance, 1 Month Renewal</t>
  </si>
  <si>
    <t>300447-001R</t>
  </si>
  <si>
    <t>Unity EdgeConnect BW License, 200Mbps Bandwidth, Per EC Instance, 1 Month Renewal</t>
  </si>
  <si>
    <t>300447-901R</t>
  </si>
  <si>
    <t>Unity EdgeConnect BW High Availability License, 200Mbps Bandwidth, Per EC Instance, 1 Month Renewal</t>
  </si>
  <si>
    <t>300448-001R</t>
  </si>
  <si>
    <t>Unity EdgeConnect BW License, 500Mbps Bandwidth, Per EC Instance, 1 Month Renewal</t>
  </si>
  <si>
    <t>300448-901R</t>
  </si>
  <si>
    <t>Unity EdgeConnect BW High Availability License, 500Mbps Bandwidth, Per EC Instance, 1 Month Renewal</t>
  </si>
  <si>
    <t>300449-001R</t>
  </si>
  <si>
    <t>Unity EdgeConnect BW License, 1G Bandwidth, Per EC Instance, 1 Month Renewal</t>
  </si>
  <si>
    <t>300449-901R</t>
  </si>
  <si>
    <t>Unity EdgeConnect BW High Availability License, 1G Bandwidth, Per EC Instance, 1 Month Renewal</t>
  </si>
  <si>
    <t>300450-001R</t>
  </si>
  <si>
    <t>Unity EdgeConnect BW License, 2G Bandwidth, Per EC Instance, 1 Month Renewal</t>
  </si>
  <si>
    <t>300450-901R</t>
  </si>
  <si>
    <t>Unity EdgeConnect BW High Availability License, 2G Bandwidth, Per EC Instance, 1 Month Renewal</t>
  </si>
  <si>
    <t>300451-001R</t>
  </si>
  <si>
    <t>Unity EdgeConnect BW License, Unlimited Bandwidth, Per EC Instance, 1 Month Renewal</t>
  </si>
  <si>
    <t>300451-901R</t>
  </si>
  <si>
    <t>Unity EdgeConnect BW High Availability License, Unlimited Bandwidth, Per EC Instance, 1 Month Renewal</t>
  </si>
  <si>
    <t>300452-001</t>
  </si>
  <si>
    <t>Unity EdgeConnect BW License, 50Mbps Bandwidth, Per EC Instance, 1 Month PROMO</t>
  </si>
  <si>
    <t>300452-901</t>
  </si>
  <si>
    <t>Unity EdgeConnect BW High Availability License, 50Mbps Bandwidth, Per EC Instance, 1 Month PROMO</t>
  </si>
  <si>
    <t>300453-001</t>
  </si>
  <si>
    <t>Unity EdgeConnect BW License, 200Mbps Bandwidth, Per EC Instance, 1 Month PROMO</t>
  </si>
  <si>
    <t>300453-901</t>
  </si>
  <si>
    <t>Unity EdgeConnect BW High Availability License, 200Mbps Bandwidth, Per EC Instance, 1 Month PROMO</t>
  </si>
  <si>
    <t>300454-001</t>
  </si>
  <si>
    <t>Unity EdgeConnect BW License, 500Mbps Bandwidth, Per EC Instance, 1 Month PROMO</t>
  </si>
  <si>
    <t>300454-901</t>
  </si>
  <si>
    <t>Unity EdgeConnect BW High Availability License, 500Mbps Bandwidth, Per EC Instance, 1 Month PROMO</t>
  </si>
  <si>
    <t>300455-001</t>
  </si>
  <si>
    <t>Unity EdgeConnect BW License, 1G Bandwidth, Per EC Instance, 1 Month PROMO</t>
  </si>
  <si>
    <t>300455-901</t>
  </si>
  <si>
    <t>Unity EdgeConnect BW High Availability License, 1G Bandwidth, Per EC Instance, 1 Month PROMO</t>
  </si>
  <si>
    <t>300456-001</t>
  </si>
  <si>
    <t>Unity EdgeConnect BW License, 2G Bandwidth, Per EC Instance, 1 Month PROMO</t>
  </si>
  <si>
    <t>300456-901</t>
  </si>
  <si>
    <t>Unity EdgeConnect BW High Availability License, 2G Bandwidth, Per EC Instance, 1 Month PROMO</t>
  </si>
  <si>
    <t>300457-001</t>
  </si>
  <si>
    <t>Unity EdgeConnect BW License, Unlimited Bandwidth, Per EC Instance, 1 Month PROMO</t>
  </si>
  <si>
    <t>300457-901</t>
  </si>
  <si>
    <t>Unity EdgeConnect BW High Availability License, Unlimited Bandwidth, Per EC Instance, 1 Month PROMO</t>
  </si>
  <si>
    <t>300458-001</t>
  </si>
  <si>
    <t>Unity EdgeConnect BW License, 50Mbps Bandwidth, Per EC Instance, 2 Years</t>
  </si>
  <si>
    <t>300458-901</t>
  </si>
  <si>
    <t>Unity EdgeConnect BW High Availability License, 50Mbps Bandwidth, Per EC Instance, 2 Years</t>
  </si>
  <si>
    <t>300459-001</t>
  </si>
  <si>
    <t>Unity EdgeConnect BW License, 200Mbps Bandwidth, Per EC Instance, 2 Years</t>
  </si>
  <si>
    <t>300459-901</t>
  </si>
  <si>
    <t>Unity EdgeConnect BW High Availability License, 200Mbps Bandwidth, Per EC Instance, 2 Years</t>
  </si>
  <si>
    <t>300460-001</t>
  </si>
  <si>
    <t>Unity EdgeConnect BW License, 500Mbps Bandwidth, Per EC Instance, 2 Years</t>
  </si>
  <si>
    <t>300460-901</t>
  </si>
  <si>
    <t>Unity EdgeConnect BW High Availability License, 500Mbps Bandwidth, Per EC Instance, 2 Years</t>
  </si>
  <si>
    <t>300461-001</t>
  </si>
  <si>
    <t>Unity EdgeConnect BW License, 1G Bandwidth, Per EC Instance, 2 Years</t>
  </si>
  <si>
    <t>300461-901</t>
  </si>
  <si>
    <t>Unity EdgeConnect BW High Availability License, 1G Bandwidth, Per EC Instance, 2 Years</t>
  </si>
  <si>
    <t>300462-001</t>
  </si>
  <si>
    <t>Unity EdgeConnect BW License, 2G Bandwidth, Per EC Instance, 2 Years</t>
  </si>
  <si>
    <t>300462-901</t>
  </si>
  <si>
    <t>Unity EdgeConnect BW High Availability License, 2G Bandwidth, Per EC Instance, 2 Years</t>
  </si>
  <si>
    <t>300463-001</t>
  </si>
  <si>
    <t>Unity EdgeConnect BW License, Unlimited Bandwidth, Per EC Instance, 2 Years</t>
  </si>
  <si>
    <t>300463-901</t>
  </si>
  <si>
    <t>Unity EdgeConnect BW High Availability License, Unlimited Bandwidth, Per EC Instance, 2 Years</t>
  </si>
  <si>
    <t>300464-001</t>
  </si>
  <si>
    <t>Unity EdgeConnect BW License, 50Mbps Bandwidth, Per EC Instance, 3 Years</t>
  </si>
  <si>
    <t>300464-901</t>
  </si>
  <si>
    <t>Unity EdgeConnect BW High Availability License, 50Mbps Bandwidth, Per EC Instance, 3 Years</t>
  </si>
  <si>
    <t>300465-001</t>
  </si>
  <si>
    <t>Unity EdgeConnect BW License, 200Mbps Bandwidth, Per EC Instance, 3 Years</t>
  </si>
  <si>
    <t>300465-901</t>
  </si>
  <si>
    <t>Unity EdgeConnect BW High Availability License, 200Mbps Bandwidth, Per EC Instance, 3 Years</t>
  </si>
  <si>
    <t>300466-001</t>
  </si>
  <si>
    <t>Unity EdgeConnect BW License, 500Mbps Bandwidth, Per EC Instance, 3 Years</t>
  </si>
  <si>
    <t>300466-901</t>
  </si>
  <si>
    <t>Unity EdgeConnect BW High Availability License, 500Mbps Bandwidth, Per EC Instance, 3 Years</t>
  </si>
  <si>
    <t>300467-001</t>
  </si>
  <si>
    <t>Unity EdgeConnect BW License, 1G Bandwidth, Per EC Instance, 3 Years</t>
  </si>
  <si>
    <t>300467-901</t>
  </si>
  <si>
    <t>Unity EdgeConnect BW High Availability License, 1G Bandwidth, Per EC Instance, 3 Years</t>
  </si>
  <si>
    <t>300468-001</t>
  </si>
  <si>
    <t>Unity EdgeConnect BW License, 2G Bandwidth, Per EC Instance, 3 Years</t>
  </si>
  <si>
    <t>300468-901</t>
  </si>
  <si>
    <t>Unity EdgeConnect BW High Availability License, 2G Bandwidth, Per EC Instance, 3 Years</t>
  </si>
  <si>
    <t>300469-001</t>
  </si>
  <si>
    <t>Unity EdgeConnect BW License, Unlimited Bandwidth, Per EC Instance, 3 Years</t>
  </si>
  <si>
    <t>300469-901</t>
  </si>
  <si>
    <t>Unity EdgeConnect BW High Availability License, Unlimited Bandwidth, Per EC Instance, 3 Years</t>
  </si>
  <si>
    <t>300470-001</t>
  </si>
  <si>
    <t>Unity EdgeConnect BW License, 50Mbps Bandwidth, Per EC Instance, 4 Years</t>
  </si>
  <si>
    <t>300470-901</t>
  </si>
  <si>
    <t>Unity EdgeConnect BW High Availability License, 50Mbps Bandwidth, Per EC Instance, 4 Years</t>
  </si>
  <si>
    <t>300471-001</t>
  </si>
  <si>
    <t>Unity EdgeConnect BW License, 200Mbps Bandwidth, Per EC Instance, 4 Years</t>
  </si>
  <si>
    <t>300471-901</t>
  </si>
  <si>
    <t>Unity EdgeConnect BW High Availability License, 200Mbps Bandwidth, Per EC Instance, 4 Years</t>
  </si>
  <si>
    <t>300472-001</t>
  </si>
  <si>
    <t>Unity EdgeConnect BW License, 500Mbps Bandwidth, Per EC Instance, 4 Years</t>
  </si>
  <si>
    <t>300472-901</t>
  </si>
  <si>
    <t>Unity EdgeConnect BW High Availability License, 500Mbps Bandwidth, Per EC Instance, 4 Years</t>
  </si>
  <si>
    <t>300473-001</t>
  </si>
  <si>
    <t>Unity EdgeConnect BW License, 1G Bandwidth, Per EC Instance, 4 Years</t>
  </si>
  <si>
    <t>300473-901</t>
  </si>
  <si>
    <t>Unity EdgeConnect BW High Availability License, 1G Bandwidth, Per EC Instance, 4 Years</t>
  </si>
  <si>
    <t>300474-001</t>
  </si>
  <si>
    <t>Unity EdgeConnect BW License, 2G Bandwidth, Per EC Instance, 4 Years</t>
  </si>
  <si>
    <t>300474-901</t>
  </si>
  <si>
    <t>Unity EdgeConnect BW High Availability License, 2G Bandwidth, Per EC Instance, 4 Years</t>
  </si>
  <si>
    <t>300475-001</t>
  </si>
  <si>
    <t>Unity EdgeConnect BW License, Unlimited Bandwidth, Per EC Instance, 4 Years</t>
  </si>
  <si>
    <t>300475-901</t>
  </si>
  <si>
    <t>Unity EdgeConnect BW High Availability License, Unlimited Bandwidth, Per EC Instance, 4 Years</t>
  </si>
  <si>
    <t>300476-001</t>
  </si>
  <si>
    <t>Unity EdgeConnect BW License, 50Mbps Bandwidth, Per EC Instance, 5 Years</t>
  </si>
  <si>
    <t>300476-901</t>
  </si>
  <si>
    <t>Unity EdgeConnect BW High Availability License, 50Mbps Bandwidth, Per EC Instance, 5 Years</t>
  </si>
  <si>
    <t>300477-001</t>
  </si>
  <si>
    <t>Unity EdgeConnect BW License, 200Mbps Bandwidth, Per EC Instance, 5 Years</t>
  </si>
  <si>
    <t>300477-901</t>
  </si>
  <si>
    <t>Unity EdgeConnect BW High Availability License, 200Mbps Bandwidth, Per EC Instance, 5 Years</t>
  </si>
  <si>
    <t>300478-001</t>
  </si>
  <si>
    <t>Unity EdgeConnect BW License, 500Mbps Bandwidth, Per EC Instance, 5 Years</t>
  </si>
  <si>
    <t>300478-901</t>
  </si>
  <si>
    <t>Unity EdgeConnect BW High Availability License, 500Mbps Bandwidth, Per EC Instance, 5 Years</t>
  </si>
  <si>
    <t>300479-001</t>
  </si>
  <si>
    <t>Unity EdgeConnect BW License, 1G Bandwidth, Per EC Instance, 5 Years</t>
  </si>
  <si>
    <t>300479-901</t>
  </si>
  <si>
    <t>Unity EdgeConnect BW High Availability License, 1G Bandwidth, Per EC Instance, 5 Years</t>
  </si>
  <si>
    <t>300480-001</t>
  </si>
  <si>
    <t>Unity EdgeConnect BW License, 2G Bandwidth, Per EC Instance, 5 Years</t>
  </si>
  <si>
    <t>300480-901</t>
  </si>
  <si>
    <t>Unity EdgeConnect BW High Availability License, 2G Bandwidth, Per EC Instance, 5 Years</t>
  </si>
  <si>
    <t>300481-001</t>
  </si>
  <si>
    <t>Unity EdgeConnect BW License, Unlimited Bandwidth, Per EC Instance, 5 Years</t>
  </si>
  <si>
    <t>300481-901</t>
  </si>
  <si>
    <t>Unity EdgeConnect BW High Availability License, Unlimited Bandwidth, Per EC Instance, 5 Years</t>
  </si>
  <si>
    <t>300482-001</t>
  </si>
  <si>
    <t>Unity EdgeConnect BW License, Upgrade 50 to 200 Bandwidth, Per EC Instance, 1 Month</t>
  </si>
  <si>
    <t>300482-901</t>
  </si>
  <si>
    <t>Unity EdgeConnect BW High Availability License, Upgrade 50M to 200M Bandwidth, Per EC Instance, 1 Month</t>
  </si>
  <si>
    <t>300483-001</t>
  </si>
  <si>
    <t>Unity EdgeConnect BW License, Upgrade 50 to 500 Bandwidth, Per EC Instance, 1 Month</t>
  </si>
  <si>
    <t>300483-901</t>
  </si>
  <si>
    <t>Unity EdgeConnect BW High Availability License, Upgrade 50M to 500M Bandwidth, Per EC Instance, 1 Month</t>
  </si>
  <si>
    <t>300484-001</t>
  </si>
  <si>
    <t>Unity EdgeConnect BW License, Upgrade 50 to 1G Bandwidth, Per EC Instance, 1 Month</t>
  </si>
  <si>
    <t>300484-901</t>
  </si>
  <si>
    <t>Unity EdgeConnect BW High Availability License, Upgrade 50M to 1G Bandwidth, Per EC Instance, 1 Month</t>
  </si>
  <si>
    <t>300485-001</t>
  </si>
  <si>
    <t>Unity EdgeConnect BW License, Upgrade 50 to 2G Bandwidth, Per EC Instance, 1 Month</t>
  </si>
  <si>
    <t>300485-901</t>
  </si>
  <si>
    <t>Unity EdgeConnect BW High Availability License, Upgrade 50M to 2G Bandwidth, Per EC Instance, 1 Month</t>
  </si>
  <si>
    <t>300486-001</t>
  </si>
  <si>
    <t>Unity EdgeConnect BW License, Upgrade 50 to Unlimited Bandwidth, Per EC Instance, 1 Month</t>
  </si>
  <si>
    <t>300486-901</t>
  </si>
  <si>
    <t>Unity EdgeConnect BW High Availability License, Upgrade 50M to Unlimited Bandwidth, Per EC Instance, 1 Month</t>
  </si>
  <si>
    <t>300487-001</t>
  </si>
  <si>
    <t>Unity EdgeConnect BW License, Upgrade 200 to 500 Bandwidth, Per EC Instance, 1 Month</t>
  </si>
  <si>
    <t>300487-901</t>
  </si>
  <si>
    <t>Unity EdgeConnect BW High Availability License, Upgrade 200M to 500M Bandwidth, Per EC Instance, 1 Month</t>
  </si>
  <si>
    <t>300488-001</t>
  </si>
  <si>
    <t>Unity EdgeConnect BW License, Upgrade 200 to 1G Bandwidth, Per EC Instance, 1 Month</t>
  </si>
  <si>
    <t>300488-901</t>
  </si>
  <si>
    <t>Unity EdgeConnect BW High Availability License, Upgrade 200M to 1G Bandwidth, Per EC Instance, 1 Month</t>
  </si>
  <si>
    <t>300489-001</t>
  </si>
  <si>
    <t>Unity EdgeConnect BW License, Upgrade 200 to 2G Bandwidth, Per EC Instance, 1 Month</t>
  </si>
  <si>
    <t>300489-901</t>
  </si>
  <si>
    <t>Unity EdgeConnect BW High Availability License, Upgrade 200M to 2G Bandwidth, Per EC Instance, 1 Month</t>
  </si>
  <si>
    <t>300490-001</t>
  </si>
  <si>
    <t>Unity EdgeConnect BW License, Upgrade 200 to Unlimited Bandwidth, Per EC Instance, 1 Month</t>
  </si>
  <si>
    <t>300490-901</t>
  </si>
  <si>
    <t>Unity EdgeConnect BW High Availability License, Upgrade 200M to Unlimited Bandwidth, Per EC Instance, 1 Month</t>
  </si>
  <si>
    <t>300491-001</t>
  </si>
  <si>
    <t>Unity EdgeConnect BW License, Upgrade 500 to 1G Bandwidth, Per EC Instance, 1 Month</t>
  </si>
  <si>
    <t>300491-901</t>
  </si>
  <si>
    <t>Unity EdgeConnect BW High Availability License, Upgrade 500M to 1G Bandwidth, Per EC Instance, 1 Month</t>
  </si>
  <si>
    <t>300492-001</t>
  </si>
  <si>
    <t>Unity EdgeConnect BW License, Upgrade 500 to 2G Bandwidth, Per EC Instance, 1 Month</t>
  </si>
  <si>
    <t>300492-901</t>
  </si>
  <si>
    <t>Unity EdgeConnect BW High Availability License, Upgrade 500M to 2G Bandwidth, Per EC Instance, 1 Month</t>
  </si>
  <si>
    <t>300493-001</t>
  </si>
  <si>
    <t>Unity EdgeConnect BW License, Upgrade 500 to Unlimited Bandwidth, Per EC Instance, 1 Month</t>
  </si>
  <si>
    <t>300493-901</t>
  </si>
  <si>
    <t>Unity EdgeConnect BW High Availability License, Upgrade 500M to Unlimited Bandwidth, Per EC Instance, 1 Month</t>
  </si>
  <si>
    <t>300494-001</t>
  </si>
  <si>
    <t>Unity EdgeConnect BW License, Upgrade 1G to 2G Bandwidth, Per EC Instance, 1 Month</t>
  </si>
  <si>
    <t>300494-901</t>
  </si>
  <si>
    <t>Unity EdgeConnect BW High Availability License, Upgrade 1G to 2G Bandwidth, Per EC Instance, 1 Month</t>
  </si>
  <si>
    <t>300495-001</t>
  </si>
  <si>
    <t>Unity EdgeConnect BW License, Upgrade 1G to Unlimited Bandwidth, Per EC Instance, 1 Month</t>
  </si>
  <si>
    <t>300495-901</t>
  </si>
  <si>
    <t>Unity EdgeConnect BW High Availability License, Upgrade 1G to Unlimited Bandwidth, Per EC Instance, 1 Month</t>
  </si>
  <si>
    <t>300496-001</t>
  </si>
  <si>
    <t>Unity EdgeConnect BW License, Upgrade 2G to Unlimited Bandwidth, Per EC Instance, 1 Month</t>
  </si>
  <si>
    <t>300496-901</t>
  </si>
  <si>
    <t>Unity EdgeConnect BW High Availability License, Upgrade 2G to Unlimited Bandwidth, Per EC Instance, 1 Month</t>
  </si>
  <si>
    <t>300524-001</t>
  </si>
  <si>
    <t>Silver Peak Assist 30 Day License</t>
  </si>
  <si>
    <t>300546-001</t>
  </si>
  <si>
    <t>Silver Peak premium support service, 1 Year, per customer</t>
  </si>
  <si>
    <t>300546-001R</t>
  </si>
  <si>
    <t>Silver Peak premium support service, 1MO service renewal</t>
  </si>
  <si>
    <t>300547-001</t>
  </si>
  <si>
    <t>Unity EdgeConnect BW License, 100Mbps Bandwidth, Per EC Instance, 1 Year</t>
  </si>
  <si>
    <t>300547-901</t>
  </si>
  <si>
    <t>Unity EdgeConnect BW High Availability License, 100Mbps Bandwidth, Per EC Instance, 1 Year</t>
  </si>
  <si>
    <t>300548-001</t>
  </si>
  <si>
    <t>Unity EdgeConnect BW License, 100Mbps Bandwidth, Per EC Instance, 2 Years</t>
  </si>
  <si>
    <t>300548-901</t>
  </si>
  <si>
    <t>Unity EdgeConnect BW High Availability License, 100Mbps Bandwidth, Per EC Instance, 2 Years</t>
  </si>
  <si>
    <t>300549-001</t>
  </si>
  <si>
    <t>Unity EdgeConnect BW License, 100Mbps Bandwidth, Per EC Instance, 3 Years</t>
  </si>
  <si>
    <t>300549-901</t>
  </si>
  <si>
    <t>Unity EdgeConnect BW High Availability License, 100Mbps Bandwidth, Per EC Instance, 3 Years</t>
  </si>
  <si>
    <t>300550-001</t>
  </si>
  <si>
    <t>Unity EdgeConnect BW License, 100Mbps Bandwidth, Per EC Instance, 4 Years</t>
  </si>
  <si>
    <t>300550-901</t>
  </si>
  <si>
    <t>Unity EdgeConnect BW High Availability License, 100Mbps Bandwidth, Per EC Instance, 4 Years</t>
  </si>
  <si>
    <t>300551-001</t>
  </si>
  <si>
    <t>Unity EdgeConnect BW License, 100Mbps Bandwidth, Per EC Instance, 5 Years</t>
  </si>
  <si>
    <t>300551-901</t>
  </si>
  <si>
    <t>Unity EdgeConnect BW High Availability License, 100Mbps Bandwidth, Per EC Instance, 5 Years</t>
  </si>
  <si>
    <t>300552-001</t>
  </si>
  <si>
    <t>Unity EdgeConnect BW License, 100Mbps Bandwidth, Per EC Instance, 1 Month</t>
  </si>
  <si>
    <t>300552-001R</t>
  </si>
  <si>
    <t>Unity EdgeConnect BW License, 100Mbps Bandwidth, Per EC Instance, 1 Month Renewal</t>
  </si>
  <si>
    <t>300552-901</t>
  </si>
  <si>
    <t>Unity EdgeConnect BW High Availability License, 100Mbps Bandwidth, Per EC Instance, 1 Month</t>
  </si>
  <si>
    <t>300552-901R</t>
  </si>
  <si>
    <t>Unity EdgeConnect BW High Availability License, 100Mbps Bandwidth, Per EC Instance, 1 Month Renewal</t>
  </si>
  <si>
    <t>300553-001</t>
  </si>
  <si>
    <t>Unity EdgeConnect BW License, 100Mbps Bandwidth, Per EC Instance, 1 Month PROMO</t>
  </si>
  <si>
    <t>300553-901</t>
  </si>
  <si>
    <t>Unity EdgeConnect BW High Availability License, 100Mbps Bandwidth, Per EC Instance, 1 Month PROMO</t>
  </si>
  <si>
    <t>300554-001</t>
  </si>
  <si>
    <t>Unity EdgeConnect BW License, Upgrade 50M to 100M Bandwidth, Per EC Instance, 1 Month</t>
  </si>
  <si>
    <t>300554-002</t>
  </si>
  <si>
    <t>Unity EdgeConnect BW License, Upgrade 100M to 200M Bandwidth, Per EC Instance, 1 Month</t>
  </si>
  <si>
    <t>300554-003</t>
  </si>
  <si>
    <t>Unity EdgeConnect BW License, Upgrade 100M to 500M Bandwidth, Per EC Instance, 1 Month</t>
  </si>
  <si>
    <t>300554-004</t>
  </si>
  <si>
    <t>Unity EdgeConnect BW License, Upgrade 100M to 1G Bandwidth, Per EC Instance, 1 Month</t>
  </si>
  <si>
    <t>300554-005</t>
  </si>
  <si>
    <t>Unity EdgeConnect BW License, Upgrade 100M to 2G Bandwidth, Per EC Instance, 1 Month</t>
  </si>
  <si>
    <t>300554-006</t>
  </si>
  <si>
    <t>Unity EdgeConnect BW License, Upgrade 100M to Unlimited Bandwidth, Per EC Instance, 1 Month</t>
  </si>
  <si>
    <t>300554-901</t>
  </si>
  <si>
    <t>Unity EdgeConnect BW High Availability License, Upgrade 50M to 100M Bandwidth, Per EC Instance, 1 Month</t>
  </si>
  <si>
    <t>300554-902</t>
  </si>
  <si>
    <t>Unity EdgeConnect BW High Availability License, Upgrade 100M to 200M Bandwidth, Per EC Instance, 1 Month</t>
  </si>
  <si>
    <t>300554-903</t>
  </si>
  <si>
    <t>Unity EdgeConnect BW High Availability License, Upgrade 100M to 500M Bandwidth, Per EC Instance, 1 Month</t>
  </si>
  <si>
    <t>300554-904</t>
  </si>
  <si>
    <t>Unity EdgeConnect BW High Availability License, Upgrade 100M to 1G Bandwidth, Per EC Instance, 1 Month</t>
  </si>
  <si>
    <t>300554-905</t>
  </si>
  <si>
    <t>Unity EdgeConnect BW High Availability License, Upgrade 100M to 2G Bandwidth, Per EC Instance, 1 Month</t>
  </si>
  <si>
    <t>300554-906</t>
  </si>
  <si>
    <t>Unity EdgeConnect BW High Availability License, Upgrade 100M to Unlimited Bandwidth, Per EC Instance, 1 Month</t>
  </si>
  <si>
    <t>300556-001</t>
  </si>
  <si>
    <t>Unity EdgeConnect BW License, 20Mbps Bandwidth, Per EC Instance, 1 Year</t>
  </si>
  <si>
    <t>300556-901</t>
  </si>
  <si>
    <t>Unity EdgeConnect BW High Availability License, 20Mbps Bandwidth, Per EC Instance, 1 Year</t>
  </si>
  <si>
    <t>300557-001</t>
  </si>
  <si>
    <t>Unity EdgeConnect BW License, 20Mbps Bandwidth, Per EC Instance, 2 Years</t>
  </si>
  <si>
    <t>300557-901</t>
  </si>
  <si>
    <t>Unity EdgeConnect BW High Availability License, 20Mbps Bandwidth, Per EC Instance, 2 Years</t>
  </si>
  <si>
    <t>300558-001</t>
  </si>
  <si>
    <t>Unity EdgeConnect BW License, 20Mbps Bandwidth, Per EC Instance, 3 Years</t>
  </si>
  <si>
    <t>300558-901</t>
  </si>
  <si>
    <t>Unity EdgeConnect BW High Availability License, 20Mbps Bandwidth, Per EC Instance, 3 Years</t>
  </si>
  <si>
    <t>300559-001</t>
  </si>
  <si>
    <t>Unity EdgeConnect BW License, 20Mbps Bandwidth, Per EC Instance, 4 Years</t>
  </si>
  <si>
    <t>300559-901</t>
  </si>
  <si>
    <t>Unity EdgeConnect BW High Availability License, 20Mbps Bandwidth, Per EC Instance, 4 Years</t>
  </si>
  <si>
    <t>300560-001</t>
  </si>
  <si>
    <t>Unity EdgeConnect BW License, 20Mbps Bandwidth, Per EC Instance, 5 Years</t>
  </si>
  <si>
    <t>300560-901</t>
  </si>
  <si>
    <t>Unity EdgeConnect BW High Availability License, 20Mbps Bandwidth, Per EC Instance, 5 Years</t>
  </si>
  <si>
    <t>300561-001</t>
  </si>
  <si>
    <t>Unity EdgeConnect BW License, 20Mbps Bandwidth, Per EC Instance, 1 Month</t>
  </si>
  <si>
    <t>300561-001R</t>
  </si>
  <si>
    <t>Unity EdgeConnect BW License, 20Mbps Bandwidth, Per EC Instance, 1 Month Renewal</t>
  </si>
  <si>
    <t>300561-901</t>
  </si>
  <si>
    <t>Unity EdgeConnect BW High Availability License, 20Mbps Bandwidth, Per EC Instance, 1 Month</t>
  </si>
  <si>
    <t>300561-901R</t>
  </si>
  <si>
    <t>Unity EdgeConnect BW High Availability License, 20Mbps Bandwidth, Per EC Instance, 1 Month Renewal</t>
  </si>
  <si>
    <t>300562-001</t>
  </si>
  <si>
    <t>Unity EdgeConnect BW License, 20Mbps Bandwidth, Per EC Instance, 1 Month PROMO</t>
  </si>
  <si>
    <t>300562-901</t>
  </si>
  <si>
    <t>Unity EdgeConnect BW High Availability License, 20Mbps Bandwidth, Per EC Instance, 1 Month PROMO</t>
  </si>
  <si>
    <t>300563-001</t>
  </si>
  <si>
    <t>Unity EdgeConnect BW License, Upgrade 20M to 50M Bandwidth, Per EC Instance, 1 Month</t>
  </si>
  <si>
    <t>300563-002</t>
  </si>
  <si>
    <t>Unity EdgeConnect BW License, Upgrade 20M to 100M Bandwidth, Per EC Instance, 1 Month</t>
  </si>
  <si>
    <t>300563-003</t>
  </si>
  <si>
    <t>Unity EdgeConnect BW License, Upgrade 20M to 200M Bandwidth, Per EC Instance, 1 Month</t>
  </si>
  <si>
    <t>300563-004</t>
  </si>
  <si>
    <t>Unity EdgeConnect BW License, Upgrade 20M to 500M Bandwidth, Per EC Instance, 1 Month</t>
  </si>
  <si>
    <t>300563-005</t>
  </si>
  <si>
    <t>Unity EdgeConnect BW License, Upgrade 20M to 1G Bandwidth, Per EC Instance, 1 Month</t>
  </si>
  <si>
    <t>300563-006</t>
  </si>
  <si>
    <t>Unity EdgeConnect BW License, Upgrade 20M to 2G Bandwidth, Per EC Instance, 1 Month</t>
  </si>
  <si>
    <t>300563-007</t>
  </si>
  <si>
    <t>Unity EdgeConnect BW License, Upgrade 20M to Unlimited Bandwidth, Per EC Instance, 1 Month</t>
  </si>
  <si>
    <t>300563-901</t>
  </si>
  <si>
    <t>Unity EdgeConnect BW High Availability License, Upgrade 20M to 50M Bandwidth, Per EC Instance, 1 Month</t>
  </si>
  <si>
    <t>300563-902</t>
  </si>
  <si>
    <t>Unity EdgeConnect BW High Availability License, Upgrade 20M to 100M Bandwidth, Per EC Instance, 1 Month</t>
  </si>
  <si>
    <t>300563-903</t>
  </si>
  <si>
    <t>Unity EdgeConnect BW High Availability License, Upgrade 20M to 200M Bandwidth, Per EC Instance, 1 Month</t>
  </si>
  <si>
    <t>300563-904</t>
  </si>
  <si>
    <t>Unity EdgeConnect BW High Availability License, Upgrade 20M to 500M Bandwidth, Per EC Instance, 1 Month</t>
  </si>
  <si>
    <t>300563-905</t>
  </si>
  <si>
    <t>Unity EdgeConnect BW High Availability License, Upgrade 20M to 1G Bandwidth, Per EC Instance, 1 Month</t>
  </si>
  <si>
    <t>300563-906</t>
  </si>
  <si>
    <t>Unity EdgeConnect BW High Availability License, Upgrade 20M to 2G Bandwidth, Per EC Instance, 1 Month</t>
  </si>
  <si>
    <t>300563-907</t>
  </si>
  <si>
    <t>Unity EdgeConnect BW High Availability License, Upgrade 20M to Unlimited Bandwidth, Per EC Instance, 1 Month</t>
  </si>
  <si>
    <t>500332-001</t>
  </si>
  <si>
    <t>Unity Orchestrator as a Service, Small Deployment, per Enterprise Subscription License, 1 Year</t>
  </si>
  <si>
    <t>500333-001</t>
  </si>
  <si>
    <t>Unity Orchestrator as a Service, Small Deployment, per Enterprise Subscription License, 2 Years</t>
  </si>
  <si>
    <t>500334-001</t>
  </si>
  <si>
    <t>Unity Orchestrator as a Service, Small Deployment, per Enterprise Subscription License, 3 Years</t>
  </si>
  <si>
    <t>500335-001</t>
  </si>
  <si>
    <t>Unity Orchestrator as a Service, Small Deployment, per Enterprise Subscription License, 4 Years</t>
  </si>
  <si>
    <t>500336-001</t>
  </si>
  <si>
    <t>Unity Orchestrator as a Service, Small Deployment, per Enterprise Subscription License, 5 Years</t>
  </si>
  <si>
    <t>500337-001</t>
  </si>
  <si>
    <t>Unity Orchestrator as a Service, Small Deployment, per Enterprise Subscription License, 7 Years</t>
  </si>
  <si>
    <t>500338-001</t>
  </si>
  <si>
    <t>Unity Orchestrator as a Service, Medium Deployment, per Enterprise Subscription License, 1 Year</t>
  </si>
  <si>
    <t>500339-001</t>
  </si>
  <si>
    <t>Unity Orchestrator as a Service, Medium Deployment, per Enterprise Subscription License, 2 Years</t>
  </si>
  <si>
    <t>500340-001</t>
  </si>
  <si>
    <t>Unity Orchestrator as a Service, Medium Deployment, per Enterprise Subscription License, 3 Years</t>
  </si>
  <si>
    <t>500341-001</t>
  </si>
  <si>
    <t>Unity Orchestrator as a Service, Medium Deployment, per Enterprise Subscription License, 4 Years</t>
  </si>
  <si>
    <t>500342-001</t>
  </si>
  <si>
    <t>Unity Orchestrator as a Service, Medium Deployment, per Enterprise Subscription License, 5 Years</t>
  </si>
  <si>
    <t>500343-001</t>
  </si>
  <si>
    <t>Unity Orchestrator as a Service, Medium Deployment, per Enterprise Subscription License, 7 Years</t>
  </si>
  <si>
    <t>500344-001</t>
  </si>
  <si>
    <t>Unity Orchestrator as a Service, Large Deployment, per Enterprise Subscription License, 1 Year</t>
  </si>
  <si>
    <t>500345-001</t>
  </si>
  <si>
    <t>Unity Orchestrator as a Service, Large Deployment, per Enterprise Subscription License, 2 Years</t>
  </si>
  <si>
    <t>500346-001</t>
  </si>
  <si>
    <t>Unity Orchestrator as a Service, Large Deployment, per Enterprise Subscription License, 3 Years</t>
  </si>
  <si>
    <t>500347-001</t>
  </si>
  <si>
    <t>Unity Orchestrator as a Service, Large Deployment, per Enterprise Subscription License, 4 Years</t>
  </si>
  <si>
    <t>500348-001</t>
  </si>
  <si>
    <t>Unity Orchestrator as a Service, Large Deployment, per Enterprise Subscription License, 5 Years</t>
  </si>
  <si>
    <t>500349-001</t>
  </si>
  <si>
    <t>Unity Orchestrator as a Service, Large Deployment, per Enterprise Subscription License, 7 Years</t>
  </si>
  <si>
    <t>500370-001</t>
  </si>
  <si>
    <t>Unity Orchestrator as a Service, Small Deployment, per Enterprise Subscription License, 1 Month</t>
  </si>
  <si>
    <t>500370-001R</t>
  </si>
  <si>
    <t>Unity Orchestrator as a Service, Small Deployment, per Enterprise Subscription License, 1 Month Renewal</t>
  </si>
  <si>
    <t>500371-001</t>
  </si>
  <si>
    <t>Unity Orchestrator as a Service, Medium Deployment, per Enterprise Subscription License, 1 Month</t>
  </si>
  <si>
    <t>500371-001R</t>
  </si>
  <si>
    <t>Unity Orchestrator as a Service, Medium Deployment, per Enterprise Subscription License, 1 Month Renewal</t>
  </si>
  <si>
    <t>500372-001</t>
  </si>
  <si>
    <t>Unity Orchestrator as a Service, Large Deployment, per Enterprise Subscription License, 1 Month</t>
  </si>
  <si>
    <t>500372-001R</t>
  </si>
  <si>
    <t>Unity Orchestrator as a Service, Large Deployment, per Enterprise Subscription License, 1 Month Renewal</t>
  </si>
  <si>
    <t>500470-001</t>
  </si>
  <si>
    <t>Unity Orchestrator Global Enterprise Cloud, Core application, One-time. US-hosted.</t>
  </si>
  <si>
    <t>500471-001</t>
  </si>
  <si>
    <t>Unity Orchestrator Global Enterprise Cloud, Small Deployment, Per SDWAN Fabric Subscription License, 1 Year</t>
  </si>
  <si>
    <t>500472-001</t>
  </si>
  <si>
    <t>Unity Orchestrator Global Enterprise Cloud, Small Deployment, Per SDWAN Fabric Subscription License, 2 Years</t>
  </si>
  <si>
    <t>500473-001</t>
  </si>
  <si>
    <t>Unity Orchestrator Global Enterprise Cloud, Small Deployment, Per SDWAN Fabric Subscription License, 3 Years</t>
  </si>
  <si>
    <t>500474-001</t>
  </si>
  <si>
    <t>Unity Orchestrator Global Enterprise Cloud, Small Deployment, Per SDWAN Fabric Subscription License, 4 Years</t>
  </si>
  <si>
    <t>500475-001</t>
  </si>
  <si>
    <t>Unity Orchestrator Global Enterprise Cloud, Small Deployment, Per SDWAN Fabric Subscription License, 5 Years</t>
  </si>
  <si>
    <t>500476-001</t>
  </si>
  <si>
    <t>Unity Orchestrator Global Enterprise Cloud, Medium Deployment, Per SDWAN Fabric Subscription License, 1 Year</t>
  </si>
  <si>
    <t>500477-001</t>
  </si>
  <si>
    <t>Unity Orchestrator Global Enterprise Cloud, Medium Deployment, Per SDWAN Fabric Subscription License, 2 Years</t>
  </si>
  <si>
    <t>500478-001</t>
  </si>
  <si>
    <t>Unity Orchestrator Global Enterprise Cloud, Medium Deployment, Per SDWAN Fabric Subscription License, 3 Years</t>
  </si>
  <si>
    <t>500479-001</t>
  </si>
  <si>
    <t>Unity Orchestrator Global Enterprise Cloud, Medium Deployment, Per SDWAN Fabric Subscription License, 4 Years</t>
  </si>
  <si>
    <t>500480-001</t>
  </si>
  <si>
    <t>Unity Orchestrator Global Enterprise Cloud, Medium Deployment, Per SDWAN Fabric Subscription License, 5 Years</t>
  </si>
  <si>
    <t>500481-001</t>
  </si>
  <si>
    <t>Unity Orchestrator Global Enterprise Cloud, Large Deployment, Per SDWAN Fabric Subscription License, 1 Year</t>
  </si>
  <si>
    <t>500482-001</t>
  </si>
  <si>
    <t>Unity Orchestrator Global Enterprise Cloud, Large Deployment, Per SDWAN Fabric Subscription License, 2 Years</t>
  </si>
  <si>
    <t>500483-001</t>
  </si>
  <si>
    <t>Unity Orchestrator Global Enterprise Cloud, Large Deployment, Per SDWAN Fabric Subscription License, 3 Years</t>
  </si>
  <si>
    <t>500484-001</t>
  </si>
  <si>
    <t>Unity Orchestrator Global Enterprise Cloud, Large Deployment, Per SDWAN Fabric Subscription License, 4 Years</t>
  </si>
  <si>
    <t>500485-001</t>
  </si>
  <si>
    <t>Unity Orchestrator Global Enterprise Cloud, Large Deployment, Per SDWAN Fabric Subscription License, 5 Years</t>
  </si>
  <si>
    <t>500486-001</t>
  </si>
  <si>
    <t>Unity Orchestrator Global Enterprise Cloud, Small Deployment, Per SDWAN Fabric Subscription License, 1 Month</t>
  </si>
  <si>
    <t>500486-001R</t>
  </si>
  <si>
    <t>Unity Orchestrator Global Enterprise Cloud, Small Deployment, Per SDWAN Fabric Subscription License, 1 Month Renewal</t>
  </si>
  <si>
    <t>500487-001</t>
  </si>
  <si>
    <t>Unity Orchestrator Global Enterprise Cloud, Medium Deployment, Per SDWAN Fabric Subscription License, 1 Month</t>
  </si>
  <si>
    <t>500487-001R</t>
  </si>
  <si>
    <t>Unity Orchestrator Global Enterprise Cloud, Medium Deployment, Per SDWAN Fabric Subscription License, 1 Month Renewal</t>
  </si>
  <si>
    <t>500488-001</t>
  </si>
  <si>
    <t>Unity Orchestrator Global Enterprise Cloud, Large Deployment, Per SDWAN Fabric Subscription License, 1 Month</t>
  </si>
  <si>
    <t>500488-001R</t>
  </si>
  <si>
    <t>Unity Orchestrator Global Enterprise Cloud, Large Deployment, Per SDWAN Fabric Subscription License, 1 Month Renewal</t>
  </si>
  <si>
    <t>500532-001R</t>
  </si>
  <si>
    <t>Unity Orchestrator as a Service, Large Deployment, per Enterprise Subscription License, 1 Month Renewal.  Hosted in Frankfurt.</t>
  </si>
  <si>
    <t>500533-001</t>
  </si>
  <si>
    <t>Unity Orchestrator as a Service, Small Deployment, per Enterprise Subscription License, 1 Year. Hosted in Frankfurt.</t>
  </si>
  <si>
    <t>500534-001R</t>
  </si>
  <si>
    <t>Unity Orchestrator as a Service, Medium Deployment, per Enterprise Subscription License, 1 Month Renewal.  Hosted in Frankfurt.</t>
  </si>
  <si>
    <t>500535-001R</t>
  </si>
  <si>
    <t>Unity Orchestrator as a Service, Small Deployment, per Enterprise Subscription License, 1 Month Renewal.  Hosted in Frankfurt.</t>
  </si>
  <si>
    <t>500536-001</t>
  </si>
  <si>
    <t>Unity Orchestrator as a Service, Small Deployment, per Enterprise Subscription License, 2 Years. Hosted in Frankfurt.</t>
  </si>
  <si>
    <t>500537-001</t>
  </si>
  <si>
    <t>Unity Orchestrator as a Service, Large Deployment, per Enterprise Subscription License, 1 Month.  Hosted in Frankfurt.</t>
  </si>
  <si>
    <t>500538-001</t>
  </si>
  <si>
    <t>Unity Orchestrator as a Service, Small Deployment, per Enterprise Subscription License, 3 Years. Hosted in Frankfurt.</t>
  </si>
  <si>
    <t>500539-001</t>
  </si>
  <si>
    <t>Unity Orchestrator as a Service, Medium Deployment, per Enterprise Subscription License, 1 Month.  Hosted in Frankfurt.</t>
  </si>
  <si>
    <t>500540-001</t>
  </si>
  <si>
    <t>Unity Orchestrator as a Service, Small Deployment, per Enterprise Subscription License, 4 Years.  Hosted in Frankfurt.</t>
  </si>
  <si>
    <t>500541-001</t>
  </si>
  <si>
    <t>Unity Orchestrator as a Service, Small Deployment, per Enterprise Subscription License, 5 Years. Hosted in Frankfurt.</t>
  </si>
  <si>
    <t>500542-001</t>
  </si>
  <si>
    <t>Unity Orchestrator as a Service, Small Deployment, per Enterprise Subscription License, 1 Month.  Hosted in Frankfurt.</t>
  </si>
  <si>
    <t>500543-001</t>
  </si>
  <si>
    <t>Unity Orchestrator as a Service, Medium Deployment, per Enterprise Subscription License, 1 Year.  Hosted in Frankfurt.</t>
  </si>
  <si>
    <t>500544-001</t>
  </si>
  <si>
    <t>Unity Orchestrator as a Service, Large Deployment, per Enterprise Subscription License, 5 Years.  Hosted in Frankfurt.</t>
  </si>
  <si>
    <t>500545-001</t>
  </si>
  <si>
    <t>Unity Orchestrator as a Service, Medium Deployment, per Enterprise Subscription License, 2 Years.  Hosted in Frankfurt.</t>
  </si>
  <si>
    <t>500546-001</t>
  </si>
  <si>
    <t>Unity Orchestrator as a Service, Large Deployment, per Enterprise Subscription License, 4 Years.  Hosted in Frankfurt.</t>
  </si>
  <si>
    <t>500547-001</t>
  </si>
  <si>
    <t>Unity Orchestrator as a Service, Medium Deployment, per Enterprise Subscription License, 3 Years.  Hosted in Frankfurt.</t>
  </si>
  <si>
    <t>500548-001</t>
  </si>
  <si>
    <t>Unity Orchestrator as a Service, Large Deployment, per Enterprise Subscription License, 3 Years.  Hosted in Frankfurt.</t>
  </si>
  <si>
    <t>500549-001</t>
  </si>
  <si>
    <t>Unity Orchestrator as a Service, Large Deployment, per Enterprise Subscription License, 2 Years.  Hosted in Frankfurt.</t>
  </si>
  <si>
    <t>500550-001</t>
  </si>
  <si>
    <t>Unity Orchestrator as a Service, Medium Deployment, per Enterprise Subscription License, 4 Years.  Hosted in Frankfurt.</t>
  </si>
  <si>
    <t>500551-001</t>
  </si>
  <si>
    <t>Unity Orchestrator as a Service, Large Deployment, per Enterprise Subscription License, 1 Year.  Hosted in Frankfurt.</t>
  </si>
  <si>
    <t>500553-001</t>
  </si>
  <si>
    <t>Unity Orchestrator as a Service, Medium Deployment, per Enterprise Subscription License, 5 Years.  Hosted in Frankfurt.</t>
  </si>
  <si>
    <t>500593-001</t>
  </si>
  <si>
    <t>Unity Orchestrator Global Enterprise Cloud, Core application, One-time. Hosted in Frankfurt.</t>
  </si>
  <si>
    <t>500594-001</t>
  </si>
  <si>
    <t>Unity Orchestrator Global Enterprise Cloud, Small Deployment, Per SDWAN Fabric Subscription License, 1 Year. Hosted in Frankfurt.</t>
  </si>
  <si>
    <t>500594-002</t>
  </si>
  <si>
    <t>Unity Orchestrator Global Enterprise Cloud, Small Deployment, Per SDWAN Fabric Subscription License, 2 Years. Hosted in Frankfurt.</t>
  </si>
  <si>
    <t>500594-003</t>
  </si>
  <si>
    <t>Unity Orchestrator Global Enterprise Cloud, Small Deployment, Per SDWAN Fabric Subscription License, 3 Years. Hosted in Frankfurt.</t>
  </si>
  <si>
    <t>500594-004</t>
  </si>
  <si>
    <t>Unity Orchestrator Global Enterprise Cloud, Small Deployment, Per SDWAN Fabric Subscription License, 4 Years. Hosted in Frankfurt.</t>
  </si>
  <si>
    <t>500594-005</t>
  </si>
  <si>
    <t>Unity Orchestrator Global Enterprise Cloud, Small Deployment, Per SDWAN Fabric Subscription License, 5 Years. Hosted in Frankfurt.</t>
  </si>
  <si>
    <t>500595-001</t>
  </si>
  <si>
    <t>Unity Orchestrator Global Enterprise Cloud, Medium Deployment, Per SDWAN Fabric Subscription License, 1 Year. Hosted in Frankfurt.</t>
  </si>
  <si>
    <t>500595-002</t>
  </si>
  <si>
    <t>Unity Orchestrator Global Enterprise Cloud, Medium Deployment, Per SDWAN Fabric Subscription License, 2 Years. Hosted in Frankfurt.</t>
  </si>
  <si>
    <t>500595-003</t>
  </si>
  <si>
    <t>Unity Orchestrator Global Enterprise Cloud, Medium Deployment, Per SDWAN Fabric Subscription License, 3 Years. Hosted in Frankfurt.</t>
  </si>
  <si>
    <t>500595-004</t>
  </si>
  <si>
    <t>Unity Orchestrator Global Enterprise Cloud, Medium Deployment, Per SDWAN Fabric Subscription License, 4 Years. Hosted in Frankfurt.</t>
  </si>
  <si>
    <t>500595-005</t>
  </si>
  <si>
    <t>Unity Orchestrator Global Enterprise Cloud, Medium Deployment, Per SDWAN Fabric Subscription License, 5 Years. Hosted in Frankfurt.</t>
  </si>
  <si>
    <t>500596-001</t>
  </si>
  <si>
    <t>Unity Orchestrator Global Enterprise Cloud, Large Deployment, Per SDWAN Fabric Subscription License, 1 Year. Hosted in Frankfurt.</t>
  </si>
  <si>
    <t>500596-002</t>
  </si>
  <si>
    <t>Unity Orchestrator Global Enterprise Cloud, Large Deployment, Per SDWAN Fabric Subscription License, 2 Years. Hosted in Frankfurt.</t>
  </si>
  <si>
    <t>500596-003</t>
  </si>
  <si>
    <t>Unity Orchestrator Global Enterprise Cloud, Large Deployment, Per SDWAN Fabric Subscription License, 3 Years. Hosted in Frankfurt.</t>
  </si>
  <si>
    <t>500596-004</t>
  </si>
  <si>
    <t>Unity Orchestrator Global Enterprise Cloud, Large Deployment, Per SDWAN Fabric Subscription License, 4 Years. Hosted in Frankfurt.</t>
  </si>
  <si>
    <t>500596-005</t>
  </si>
  <si>
    <t>Unity Orchestrator Global Enterprise Cloud, Large Deployment, Per SDWAN Fabric Subscription License, 5 Years. Hosted in Frankfurt.</t>
  </si>
  <si>
    <t>500597-001</t>
  </si>
  <si>
    <t>Unity Orchestrator Global Enterprise Cloud, Small Deployment, Per SDWAN Fabric Subscription License, 1 Month. Hosted in Frankfurt.</t>
  </si>
  <si>
    <t>500597-001R</t>
  </si>
  <si>
    <t>Unity Orchestrator Global Enterprise Cloud, Small Deployment, Per SDWAN Fabric Subscription License, 1 Month Renewal, Frankfurt.</t>
  </si>
  <si>
    <t>500598-001</t>
  </si>
  <si>
    <t>Unity Orchestrator Global Enterprise Cloud, Medium Deployment, Per SDWAN Fabric Subscription License, 1 Month. Hosted in Frankfurt.</t>
  </si>
  <si>
    <t>500598-001R</t>
  </si>
  <si>
    <t>Unity Orchestrator Global Enterprise Cloud, Medium Deployment, Per SDWAN Fabric Subscription License, 1 Month Renewal, Frankfurt.</t>
  </si>
  <si>
    <t>500599-001</t>
  </si>
  <si>
    <t>Unity Orchestrator Global Enterprise Cloud, Large Deployment, Per SDWAN Fabric Subscription License, 1 Month. Hosted in Frankfurt.</t>
  </si>
  <si>
    <t>500599-001R</t>
  </si>
  <si>
    <t>Unity Orchestrator Global Enterprise Cloud, Large Deployment, Per SDWAN Fabric Subscription License, 1 Month Renewal, Frankfurt.</t>
  </si>
  <si>
    <t>500607-001</t>
  </si>
  <si>
    <t>Unity Orchestrator as a Service, Small to Medium Upgrade, per Enterprise Subscription License, 1 Month</t>
  </si>
  <si>
    <t>500608-001</t>
  </si>
  <si>
    <t>Unity Orchestrator as a Service, Small to Large Upgrade, per Enterprise Subscription License, 1 Month</t>
  </si>
  <si>
    <t>500609-001</t>
  </si>
  <si>
    <t>Unity Orchestrator as a Service, Medium to Large Upgrade, per Enterprise Subscription License, 1 Month</t>
  </si>
  <si>
    <t>500610-001</t>
  </si>
  <si>
    <t>Unity Orchestrator as a Service, Small to Medium Upgrade, per Enterprise Subscription License, 1 Month. Hosted in Frankfurt.</t>
  </si>
  <si>
    <t>500611-001</t>
  </si>
  <si>
    <t>Unity Orchestrator as a Service, Small to Large Upgrade, per Enterprise Subscription License, 1 Month. Hosted in Frankfurt.</t>
  </si>
  <si>
    <t>500612-001</t>
  </si>
  <si>
    <t>Unity Orchestrator as a Service, Medium to Large Upgrade, per Enterprise Subscription License, 1 Month. Hosted in Frankfurt.</t>
  </si>
  <si>
    <t xml:space="preserve">H1EJ9E </t>
  </si>
  <si>
    <t>educacion-Aruba</t>
  </si>
  <si>
    <t>HPE Aruba WW Education Tech Training   INCLUDED: Implementing Aruba Mobility e-learning and self-directed labs SVC</t>
  </si>
  <si>
    <t>H1EJ9E 01058673_ILT</t>
  </si>
  <si>
    <t>HPE Aruba WW Education Tech Training   INCLUDED: Aruba Advanced ClearPass Troubleshooting &amp; Solutions ILT SVC</t>
  </si>
  <si>
    <t>H1EJ9E 01058673_ILT1</t>
  </si>
  <si>
    <t>HPE Aruba WW Education Tech Training   INCLUDED: HPE IMC Essentials for Network Administrators SVC</t>
  </si>
  <si>
    <t>H1EJ9E 01077931_ILT0</t>
  </si>
  <si>
    <t>HPE Aruba WW Education Tech Training   INCLUDED: Aruba Switching Fundamentals ILT SVC</t>
  </si>
  <si>
    <t>H1EJ9E 01077931_ILT1</t>
  </si>
  <si>
    <t>HPE Aruba WW Education Tech Training   INCLUDED: Configuring Aruba Instant AP ILT SVC</t>
  </si>
  <si>
    <t>H1EJ9E 01077931_ILT2</t>
  </si>
  <si>
    <t>HPE Aruba WW Education Tech Training  INCLUDED: Configuring Aruba Instant AP e-learning and self-directed labs SVC</t>
  </si>
  <si>
    <t>H1EJ9E 01077931_ILT3</t>
  </si>
  <si>
    <t>HPE Aruba WW Education Tech Training   INCLUDED: ClearPass Essentials (CPE) ILT SVC</t>
  </si>
  <si>
    <t>H1EJ9E 01077931_ILT4</t>
  </si>
  <si>
    <t>HPE Aruba WW Education Tech Training   INCLUDED: ClearPass Essentials (CPE) vILT SVC</t>
  </si>
  <si>
    <t>H1EJ9E 01077931_ILT5</t>
  </si>
  <si>
    <t>HPE Aruba WW Education Tech Training   INCLUDED: Aruba ClearPass Fundamentals (ACF) ILT SVC</t>
  </si>
  <si>
    <t>H1EJ9E 01077931_ILT6</t>
  </si>
  <si>
    <t>HPE Aruba WW Education Tech Training   INCLUDED: Fast Track for Deploying HPE FlexNetwork Comware Technologies SVC</t>
  </si>
  <si>
    <t>H1EJ9E 01077931_ILT7</t>
  </si>
  <si>
    <t>HPE Aruba WW Education Tech Training   INCLUDED: Configuring Aruba SD Branch ILT SVC</t>
  </si>
  <si>
    <t>H1EJ9E 01077931_ILT8</t>
  </si>
  <si>
    <t>HPE Aruba WW Education Tech Training   INCLUDED: Configuring Aruba SD Branch e-learning and self-directed labs SVC</t>
  </si>
  <si>
    <t>H1EJ9E 01077931_VILT</t>
  </si>
  <si>
    <t>HPE Aruba WW Education Tech Training   INCLUDED: Aruba Switching Fundamentals vILT SVC</t>
  </si>
  <si>
    <t>H1EJ9E 01077931_WBT</t>
  </si>
  <si>
    <t>HPE Aruba WW Education Tech Training   INCLUDED: Aruba Switching Fundamentals e-learning and self-directed labs SVC</t>
  </si>
  <si>
    <t>H1EJ9E 01089598_ILT</t>
  </si>
  <si>
    <t>HPE Aruba WW Education Tech Training   INCLUDED: Aruba Mobility Fundamentals ILT SVC</t>
  </si>
  <si>
    <t>H1EJ9E 01089598_VILT</t>
  </si>
  <si>
    <t>HPE Aruba WW Education Tech Training   INCLUDED: Aruba Mobility Fundamentals vILT SVC</t>
  </si>
  <si>
    <t>H1EJ9E 01089598_WBT</t>
  </si>
  <si>
    <t>HPE Aruba WW Education Tech Training   INCLUDED: Aruba Mobility Fundamentals e-learning and self-directed labs SVC</t>
  </si>
  <si>
    <t>H1EJ9E 01089601_ILT</t>
  </si>
  <si>
    <t>HPE Aruba WW Education Tech Training   INCLUDED: Implementing Aruba Mobility ILT SVC</t>
  </si>
  <si>
    <t>H1EJ9E 01089601_VILT</t>
  </si>
  <si>
    <t>HPE Aruba WW Education Tech Training   INCLUDED: Implementing Aruba Mobility vILT SVC</t>
  </si>
  <si>
    <t>H1EJ9E 01095999_ILT</t>
  </si>
  <si>
    <t>HPE Aruba WW Education Tech Training   INCLUDED: Implementing Aruba Switching ILT SVC</t>
  </si>
  <si>
    <t>H1EJ9E 01095999_VILT</t>
  </si>
  <si>
    <t>HPE Aruba WW Education Tech Training   INCLUDED: Implementing Aruba Switching vILT SVC</t>
  </si>
  <si>
    <t>H1EJ9E 01095999_WBT</t>
  </si>
  <si>
    <t>HPE Aruba WW Education Tech Training   INCLUDED: Implementing Aruba Switching e-learning and self-directed labs SVC</t>
  </si>
  <si>
    <t>H1EJ9E 01098153_ILT</t>
  </si>
  <si>
    <t>HPE Aruba WW Education Tech Training   INCLUDED: Configuring Aruba Location Services ILT SVC</t>
  </si>
  <si>
    <t>H1EJ9E 01114316_ILT</t>
  </si>
  <si>
    <t>HPE Aruba WW Education Tech Training   INCLUDED: Aruba Advanced Network Design &amp; Solutions ILT SVC</t>
  </si>
  <si>
    <t>H1EJ9E 01114316_VILT</t>
  </si>
  <si>
    <t>HPE Aruba WW Education Tech Training   INCLUDED: Aruba Advanced Network Design &amp; Solutions vILT SVC</t>
  </si>
  <si>
    <t>H1EJ9E 01114316_WBT</t>
  </si>
  <si>
    <t>HPE Aruba WW Education Tech Training   INCLUDED: Aruba Advanced Network Design &amp; Solutions e-learning and self-directed labs SVC</t>
  </si>
  <si>
    <t>H1EJ9E 01114374_ILT</t>
  </si>
  <si>
    <t>HPE Aruba WW Education Tech Training Designing Aruba Solutions (DAS) ILT SVC</t>
  </si>
  <si>
    <t>H1EJ9E 01114374_VILT</t>
  </si>
  <si>
    <t>HPE Aruba WW Education Tech Training   INCLUDED: Designing Aruba Solutions (DAS) vILT SVC</t>
  </si>
  <si>
    <t>H1EJ9E 01114374_WBT</t>
  </si>
  <si>
    <t>HPE Aruba WW Education Tech Training   INCLUDED: Designing Aruba Solutions (DAS) e-learning and self-directed labs SVC</t>
  </si>
  <si>
    <t>H1EJ9E 01114375_ILT</t>
  </si>
  <si>
    <t>HPE Aruba WW Education Tech Training Aruba Advanced Mobility Troubleshooting &amp; Solutions ILT SVC</t>
  </si>
  <si>
    <t>H1EJ9E 01114375_WBT</t>
  </si>
  <si>
    <t>HPE Aruba WW Education Tech Training.   INCLUDED: Aruba Advanced Mobility Troubleshooting &amp; Solutions e-learning and self-directed labs SVC</t>
  </si>
  <si>
    <t>H1EJ9E 01123901_VILT</t>
  </si>
  <si>
    <t>HPE Aruba WW Education Tech Training   INCLUDED: Configuring Aruba OS-CX vILT SVC</t>
  </si>
  <si>
    <t>H1EJ9E 01123901_WBT</t>
  </si>
  <si>
    <t>HPE Aruba WW Education Tech Training   INCLUDED: Configuring Aruba OS-CX e-learning and self-directed labs SVC</t>
  </si>
  <si>
    <t>H1EJ9E 01124970_WBT1</t>
  </si>
  <si>
    <t>HPE Aruba WW Education Tech Training   INCLUDED: ClearPass Essentials (CPE) e-learning and self-directed labs  INCLUDED: ClearPass Essentials (CPE) e-learning and self-directed labs SVC</t>
  </si>
  <si>
    <t>H1EJ9E 01124970_WBT2</t>
  </si>
  <si>
    <t>HPE Aruba WW Education Tech Training   INCLUDED: Managing Campus Networks with Aruba Central vILT SVC</t>
  </si>
  <si>
    <t>H1EJ9E 01125463_ILT</t>
  </si>
  <si>
    <t>HPE Aruba WW Education Tech Training   INCLUDED: Managing Campus Networks with Aruba AirWave ILT SVC</t>
  </si>
  <si>
    <t>H1EJ9E 01125463_VILT</t>
  </si>
  <si>
    <t>HPE Aruba WW Education Tech Training   INCLUDED: Managing Campus Networks with Aruba AirWave vILT SVC</t>
  </si>
  <si>
    <t>H1EJ9E 01125483_ILT</t>
  </si>
  <si>
    <t>HPE Aruba WW Education Tech Training   INCLUDED: Aruba Managed Service Provider Bootcamp ILT SVC</t>
  </si>
  <si>
    <t>H1EJ9E 01125483_VILT</t>
  </si>
  <si>
    <t>HPE Aruba WW Education Tech Training   INCLUDED: Aruba Managed Service Provider Bootcamp vILT SVC</t>
  </si>
  <si>
    <t>H1EJ9E 01125485_ILT</t>
  </si>
  <si>
    <t>HPE Aruba WW Education Tech Training   INCLUDED: Managing Campus Networks with Aruba Central ILT SVC</t>
  </si>
  <si>
    <t>H1EJ9E 01125485_WBT</t>
  </si>
  <si>
    <t>HPE Aruba WW Education Tech Training   INCLUDED: Managing Campus Networks with Aruba Central e-learning and self-directed labs SVC</t>
  </si>
  <si>
    <t>H1EJ9E 01125486_VILT</t>
  </si>
  <si>
    <t>HPE Aruba WW Education Tech Training   INCLUDED: Configuring Aruba Instant AP vILT SVC</t>
  </si>
  <si>
    <t>H1EJ9E 01125646_VILT</t>
  </si>
  <si>
    <t>HPE Aruba WW Education Tech Training SVC   INCLUDED: Aruba ClearPass Fundamentals (ACF) vILT</t>
  </si>
  <si>
    <t>H1EJ9E 01125646_WBT</t>
  </si>
  <si>
    <t>HPE Aruba WW Education Tech Training   INCLUDED: Aruba ClearPass Fundamentals (ACF) e-learning and self-directed labs SVC</t>
  </si>
  <si>
    <t>H1EJ9E 01125756_VILT</t>
  </si>
  <si>
    <t>HPE Aruba WW Education Tech Training   INCLUDED: Implementing Aruba ClearPass (IAC) vILT SVC</t>
  </si>
  <si>
    <t>H1EJ9E 01128147_VILT</t>
  </si>
  <si>
    <t>HPE Aruba WW Education Tech Training   INCLUDED: Aruba Design Fundamentals vILT SVC</t>
  </si>
  <si>
    <t>H1EJ9E 01128162_VILT</t>
  </si>
  <si>
    <t>HPE Aruba WW Education Tech Training   INCLUDED: Configuring Data Center Networks with Aruba OS CX vILT SVC</t>
  </si>
  <si>
    <t>H1EJ9E AOSCXSF_VILT</t>
  </si>
  <si>
    <t>HPE Aruba WW Education Tech Training   INCLUDED: Aruba OS CX Switching Fundamentals vILT  SVC</t>
  </si>
  <si>
    <t>H1EJ9E H4C81S</t>
  </si>
  <si>
    <t>HPE Aruba WW Education Tech Training   INCLUDED: HPE FlexNetwork Fundamentals (00958712) SVC</t>
  </si>
  <si>
    <t>H1EJ9E H4C87S</t>
  </si>
  <si>
    <t>HPE Aruba WW Education Tech Training   INCLUDED: Configuring HPE FlexNetwork Technologies for Comware Devices SVC</t>
  </si>
  <si>
    <t>H1EJ9E H8D03S</t>
  </si>
  <si>
    <t>HPE Aruba WW Education Tech Training INCLUDED: Building HPE FlexFabric Data Centers (00908176) SVC</t>
  </si>
  <si>
    <t>H1EJ9E H8D06S</t>
  </si>
  <si>
    <t>HPE Aruba WW Education Tech Training   INCLUDED: Deploying HPE FlexNetwork Core Technologies (00832513) SVC</t>
  </si>
  <si>
    <t>H1EJ9E HPE0-A119P</t>
  </si>
  <si>
    <t>HPE Aruba WW Education Tech Training  INCLUDED: ACMX (Aruba Certified Mobility Expert) SVC</t>
  </si>
  <si>
    <t>H1EJ9E HPE0-A121P</t>
  </si>
  <si>
    <t>HPE Aruba WW Education Tech Training   INCLUDED: ACDX (Aruba Certified Design Expert)  SVC</t>
  </si>
  <si>
    <t>H1EJ9E HPE0-A122P</t>
  </si>
  <si>
    <t>HPE Aruba WW Education Tech Training  INCLUDED: ACCX (Aruba Certified ClearPass Expert) SVC</t>
  </si>
  <si>
    <t>H1EJ9E IAOSCXSF_ILT</t>
  </si>
  <si>
    <t>HPE Aruba WW Education Tech Training   INCLUDED: Implementing Aruba OS CX Switching Fundamentals ILT SVC</t>
  </si>
  <si>
    <t>H1EJ9E IAOSCXSF_VILT</t>
  </si>
  <si>
    <t>HPE Aruba WW Education Tech Training   INCLUDED: Implementing Aruba OS CX Switching Fundamentals vILT SVC</t>
  </si>
  <si>
    <t>H1EJ9E Onsite_ILT_3</t>
  </si>
  <si>
    <t>HPE Aruba WW Education Tech Training   INCLUDED: Private Onsite ILT - 3 days SVC</t>
  </si>
  <si>
    <t>H1EJ9E Onsite_ILT_4</t>
  </si>
  <si>
    <t>HPE Aruba WW Education Tech Training    INCLUDED: Private Onsite ILT - 4 days SVC</t>
  </si>
  <si>
    <t>H1EJ9E Onsite_ILT_5</t>
  </si>
  <si>
    <t>HPE Aruba WW Education Tech Training   INCLUDED: Private Onsite ILT - 5 days SVC</t>
  </si>
  <si>
    <t>H1EJ9E Remote_VILT_3</t>
  </si>
  <si>
    <t>HPE Aruba WW Education Tech Training   INCLUDED: Private Remote Onsite vILT - 3 days SVC</t>
  </si>
  <si>
    <t>H1EJ9E Remote_VILT_4</t>
  </si>
  <si>
    <t>HPE Aruba WW Education Tech Training  INCLUDED: Private Remote Onsite vILT - 4 days SVC</t>
  </si>
  <si>
    <t>H1EJ9E Remote_VILT_5</t>
  </si>
  <si>
    <t>HPE Aruba WW Education Tech Training   INCLUDED: Private Remote Onsite vILT - 5 days SVC</t>
  </si>
  <si>
    <t>H1EJ9E v</t>
  </si>
  <si>
    <t>HPE Aruba WW Education Tech Training   INCLUDED: Configuring Aruba OS-CX ILT SVC</t>
  </si>
  <si>
    <t>HF2Z4A1_Campus</t>
  </si>
  <si>
    <t>servicios-Aruba</t>
  </si>
  <si>
    <t>HPE Aruba Project-based Professional   INCLUDED: Campus Switching QuickStart Service SVC</t>
  </si>
  <si>
    <t>HF2Z4A1_CP</t>
  </si>
  <si>
    <t>HPE Aruba Project-based Professional   INCLUDED: ClearPass QuickStart Service SVC</t>
  </si>
  <si>
    <t>HF2Z4A1_CPHC1</t>
  </si>
  <si>
    <t>HPE Aruba Project-based Professional    INCLUDED: ClearPass Policy Health Check – SmallSVC</t>
  </si>
  <si>
    <t>HF2Z4A1_CPHC2</t>
  </si>
  <si>
    <t>HPE Aruba Project-based Professional  INCLUDED: ClearPass Policy Health Check – Medium  SVC</t>
  </si>
  <si>
    <t>HF2Z4A1_CPHC4</t>
  </si>
  <si>
    <t>HPE Aruba Project-based Professional   INCLUDED: ClearPass Policy Health Check – Large SVC</t>
  </si>
  <si>
    <t>HF2Z4A1_CPSSD</t>
  </si>
  <si>
    <t>HPE Aruba Project-based Professional   INCLUDED: ClearPass Synchronization Service – Initial Deployment SVC</t>
  </si>
  <si>
    <t>HF2Z4A1_SNHCL</t>
  </si>
  <si>
    <t>HPE Aruba Project-based Professional   INCLUDED: Switching Network Health Check – Large  SVC</t>
  </si>
  <si>
    <t>HF2Z4A1_SNHCM</t>
  </si>
  <si>
    <t>HPE Aruba Project-based Professional INCLUDED: Switching Network Health Check – Medium  SVC</t>
  </si>
  <si>
    <t>HF2Z4A1_SNHCS</t>
  </si>
  <si>
    <t>HPE Aruba Project-based Professional   INCLUDED: Switching Network Health Check – Small  SVC</t>
  </si>
  <si>
    <t>HF2Z4A1_TME</t>
  </si>
  <si>
    <t>HPE Aruba Project-based Professional  INCLUDED: Time and Materials Engagement, 1-week increments (Mon-Fri) (13 units per week) SVC</t>
  </si>
  <si>
    <t>HF2Z4A1_WLAN</t>
  </si>
  <si>
    <t>HPE Aruba Project-based Professional  INCLUDED: WLAN QuickStart Service  SVC 35 horas</t>
  </si>
  <si>
    <t>HF2Z4A1_WNHC2</t>
  </si>
  <si>
    <t>HPE Aruba Project-based Professional   INCLUDED: Wireless Network Health Check – Up to 2 clusters and up to 1 active mobility conductor SVC</t>
  </si>
  <si>
    <t>HF2Z4A1_WNHC4</t>
  </si>
  <si>
    <t>HPE Aruba Project-based Professional   INCLUDED: Wireless Network Health Check – Up to 4 clusters and up to 2 active mobility conductors SVC</t>
  </si>
  <si>
    <t>HF2Z4A1_WNHC6</t>
  </si>
  <si>
    <t>HPE Aruba Project-based Professional   INCLUDED: Wireless Network Health Check – Up to 6 clusters and up to 3 active mobility conductors SVC</t>
  </si>
  <si>
    <t>HJ0Q0A1_CPSS100</t>
  </si>
  <si>
    <t>Aruba 1Y High Touch PS UoS   INCLUDED: ClearPass Synchronization Service – Annual subscription for up to 100k unique device endpoints  SVC</t>
  </si>
  <si>
    <t>HJ0Q0A1_CPSS200</t>
  </si>
  <si>
    <t>Aruba 1Y High Touch PS UoS   INCLUDED: ClearPass Synchronization Service – Annual subscription for up to 200k unique device endpoints SVC</t>
  </si>
  <si>
    <t>HJ0Q0A1_CPSS25</t>
  </si>
  <si>
    <t>Aruba 1Y High Touch PS UoS   INCLUDED: ClearPass Synchronization Service – Annual subscription for up to 25k unique device endpoints SVC</t>
  </si>
  <si>
    <t>HJ0Q0A1_CPSS300</t>
  </si>
  <si>
    <t>Aruba 1Y High Touch PS UoS   INCLUDED: ClearPass Synchronization Service – Annual subscription for up to 300k unique device endpoints SVC</t>
  </si>
  <si>
    <t>HJ0Q0A1_CPSS300+</t>
  </si>
  <si>
    <t>Aruba 1Y High Touch PS UoS   INCLUDED: ClearPass Synchronization Service – Annual subscription for more than 300k unique device endpoints SVC</t>
  </si>
  <si>
    <t>HJ0Q0A1_CPSS50</t>
  </si>
  <si>
    <t>Aruba 1Y High Touch PS UoS   INCLUDED: ClearPass Synchronization Service – Annual subscription for up to 50k unique device endpoints SVC</t>
  </si>
  <si>
    <t>HJ0Q0A1_PEENT</t>
  </si>
  <si>
    <t>Aruba 1Y High Touch PS UoS   INCLUDED: Proactive Engineering Services – Enterprise  SVC</t>
  </si>
  <si>
    <t>HJ0Q0A1_PEESS</t>
  </si>
  <si>
    <t>Aruba 1Y High Touch PS UoS   INCLUDED: Proactive Engineering Services – Essentials  SVC</t>
  </si>
  <si>
    <t>HU4A6A5</t>
  </si>
  <si>
    <t>Apps-Zerto</t>
  </si>
  <si>
    <t>HPE 5Y Tech Care Essential Service</t>
  </si>
  <si>
    <t>HU4A6A500AF</t>
  </si>
  <si>
    <t>HPE Zerto Virt ECE 1VM E-LTU Support</t>
  </si>
  <si>
    <t>HU4A6A500AG</t>
  </si>
  <si>
    <t>HPE Zerto Virt ECE 25VM E-LTU Support</t>
  </si>
  <si>
    <t>HU4A6A500AH</t>
  </si>
  <si>
    <t>HPE Zerto Virt ECE 100VM E-LTU Support</t>
  </si>
  <si>
    <t>HU4A6A500AN</t>
  </si>
  <si>
    <t>HPE Zerto DP 1VM Perp E-LTU Support</t>
  </si>
  <si>
    <t>HU4A6A500AP</t>
  </si>
  <si>
    <t>HPE Zerto Z4K DP 8 vCPU E-LTU Support</t>
  </si>
  <si>
    <t>HU4A6A500AQ</t>
  </si>
  <si>
    <t>HPE Zerto Z4K ECE 8 vCPU E-LTU Support</t>
  </si>
  <si>
    <t>HU4A6A500AR</t>
  </si>
  <si>
    <t>HPE Zerto DP-Virt ECE Upg1VMPerpLTU Supp</t>
  </si>
  <si>
    <t>HU4A6A500AS</t>
  </si>
  <si>
    <t>HPE Zerto Z4K DP-ECE Upg E-LTU Support</t>
  </si>
  <si>
    <t>HU4A6A500AT</t>
  </si>
  <si>
    <t>HPE Zerto Virt Rep to ECE Upg SVC Supp</t>
  </si>
  <si>
    <t>JF403AAE</t>
  </si>
  <si>
    <t>apps-Aruba</t>
  </si>
  <si>
    <t>HPE IMC MVM BGP Package Serv 3Y FC 24x7 E-LTU</t>
  </si>
  <si>
    <t>todas las zonas</t>
  </si>
  <si>
    <t>JF404AAE</t>
  </si>
  <si>
    <t>HPE IMC MVM Cisco Device Serv 3Y FC 24x7 E-LTU</t>
  </si>
  <si>
    <t>JF405AAE</t>
  </si>
  <si>
    <t>HP IMC MVM add 50-node Serv 3Y FC 24x7 E-LTU</t>
  </si>
  <si>
    <t>JF408AAE</t>
  </si>
  <si>
    <t>HPE IMC QoS Manager SW Module Serv 3Y FC 24x7  E-LTU</t>
  </si>
  <si>
    <t>JF409AAE</t>
  </si>
  <si>
    <t>HPE IMC DIG Software Probe Serv 3Y FC 24x7 E-LTU</t>
  </si>
  <si>
    <t>JF410AAE</t>
  </si>
  <si>
    <t>HPE IMC MVM SW Module w/50-node Serv 3Y FC 24x7 E-LTU</t>
  </si>
  <si>
    <t>JF414AAE</t>
  </si>
  <si>
    <t>HPE IMC WSM SW Mod 50-AP Serv 3Y FC 24x7 E-LTU</t>
  </si>
  <si>
    <t>JF415AAE</t>
  </si>
  <si>
    <t>HPE IMC WSM SW Mod Add 50-AP Serv 3Y FC 24x7 E-LTU</t>
  </si>
  <si>
    <t>JF420AAE</t>
  </si>
  <si>
    <t>HPE IMC VPLS/MPLS VPN Mgr Package Serv 3Y FC 24x7 E-LTU</t>
  </si>
  <si>
    <t>JG138AAE</t>
  </si>
  <si>
    <t>HPE IMC IAR SW Serv 3Y FC 24x7 E-LTU</t>
  </si>
  <si>
    <t>JG139AAE</t>
  </si>
  <si>
    <t>HPE IMC SOM SW ModuleServ 3Y FC 24x7  E-LTU</t>
  </si>
  <si>
    <t>JG142AAE</t>
  </si>
  <si>
    <t>HPE IMC WSM Components LSP Serv 3Y FC 24x7 E-LTU</t>
  </si>
  <si>
    <t>JG143AAE</t>
  </si>
  <si>
    <t>HPE IMC MPLS TE Manager Package E-LTU</t>
  </si>
  <si>
    <t>JG146AAE</t>
  </si>
  <si>
    <t>HPE IMC IVM Add 25-node Serv 3Y FC 24x7  E-LTU</t>
  </si>
  <si>
    <t>JG265AAE</t>
  </si>
  <si>
    <t>HP IMC BIMS SW Mod w/ 50-node Serv 3Y FC 24x7 E-LTU</t>
  </si>
  <si>
    <t>JG398AAE</t>
  </si>
  <si>
    <t>HPE IMC SHM Software Module Serv 3Y FC 24x7  E-LTU</t>
  </si>
  <si>
    <t>JG489AAE</t>
  </si>
  <si>
    <t>HPE IMC APM SW Mod 25-monitor Serv 3Y FC 24x7  E-LTU</t>
  </si>
  <si>
    <t>JG495AAE</t>
  </si>
  <si>
    <t>HPE IMC RSM SW Module w/Serv 3Y FC 24x7 E-LTU</t>
  </si>
  <si>
    <t>JG546AAE</t>
  </si>
  <si>
    <t>HPE IMC Basic SW Platform 50-node Serv 3Y FC 24x7 E-LTU</t>
  </si>
  <si>
    <t>JG747AAE</t>
  </si>
  <si>
    <t>HPE IMC Std SW Plat w/50-node Serv 3Y FC 24x7 E-LTU</t>
  </si>
  <si>
    <t>JG753AAE</t>
  </si>
  <si>
    <t>HPE IMC UAM SW Mod Add 50-user Serv 3Y FC 24x7 E-LTU</t>
  </si>
  <si>
    <t>JG760AAE</t>
  </si>
  <si>
    <t>HPE IMC UBA SW Mod w/50-user Serv 3Y FC 24x7  E-LTU</t>
  </si>
  <si>
    <t>JG761AAE</t>
  </si>
  <si>
    <t>HPE IMC UBA SW Mod Add 50-user Serv 3Y FC 24x7 E-LTU</t>
  </si>
  <si>
    <t>JG762AAE</t>
  </si>
  <si>
    <t>HPE IMC BIMS SW Mod Add 50-node Serv 3Y FC 24x7 E-LTU</t>
  </si>
  <si>
    <t>JG763AAE</t>
  </si>
  <si>
    <t>HPE IMC APM SW Mod Add 25-monitor Serv 3Y FC 24x7  E-LTU</t>
  </si>
  <si>
    <t>JG764AAE</t>
  </si>
  <si>
    <t>HPE IMC TAM SW Mod w/50-node Serv 3Y FC 24x7 E-LTU</t>
  </si>
  <si>
    <t>JG765AAE</t>
  </si>
  <si>
    <t>HPE IMC TAM SW Mod Add 50-node Serv 3Y FC 24x7 E-LTU</t>
  </si>
  <si>
    <t>JG770AAE</t>
  </si>
  <si>
    <t>HPE IMC VAN Fabric Mgr SW Serv 3Y FC 24x7 E-LTU</t>
  </si>
  <si>
    <t>JG828AAE</t>
  </si>
  <si>
    <t>HPE IMC VAN Fabric Mgr/FCoE Serv 3Y FC 24x7 E-LTU</t>
  </si>
  <si>
    <t>JH320AAE</t>
  </si>
  <si>
    <t>HPE IMC BSP Software Module Serv 3Y FC 24x7 E-LTU</t>
  </si>
  <si>
    <t>JH704AAE</t>
  </si>
  <si>
    <t>Aruba IMC Std SW Plat w/50-node Serv 3Y FC 24x7 E-LTU</t>
  </si>
  <si>
    <t>JH705AAE</t>
  </si>
  <si>
    <t>Aruba IMC Ent SW Plat w/50-node Serv 3Y FC 24x7E-LTU</t>
  </si>
  <si>
    <t>JH706AAE</t>
  </si>
  <si>
    <t>Aruba IMC NTA SW Mod w/5-node Serv 3Y FC 24x7 E-LTU</t>
  </si>
  <si>
    <t>JH707AAE</t>
  </si>
  <si>
    <t>Aruba IMC NTA SW Mod Add 5-node Serv 3Y FC 24x7 E-LTU</t>
  </si>
  <si>
    <t>JH708AAE</t>
  </si>
  <si>
    <t>Aruba IMC BIMS SW Module w/50-node Serv 3Y FC 24x7 E-LTU</t>
  </si>
  <si>
    <t>JH709AAE</t>
  </si>
  <si>
    <t>Aruba IMC BIMS SW Mod Add 50-node Serv 3Y FC 24x7 E-LTU</t>
  </si>
  <si>
    <t>JH710AAE</t>
  </si>
  <si>
    <t>Aruba IMC SHM Software Module Serv 3Y FC 24x7 E-LTU</t>
  </si>
  <si>
    <t>JH711AAE</t>
  </si>
  <si>
    <t>Aruba IMC HA SW Serv 3Y FC 24x7 E-LTU</t>
  </si>
  <si>
    <t>JH712AAE</t>
  </si>
  <si>
    <t>Aruba IMC APM SW Mod 25-monitor Serv 3Y FC 24x7 E-LTU</t>
  </si>
  <si>
    <t>JH713AAE</t>
  </si>
  <si>
    <t>Aruba IMC APM SW Mod Add 25-mon Serv 3Y FC 24x7 E-LTU</t>
  </si>
  <si>
    <t>JH714AAE</t>
  </si>
  <si>
    <t>Aruba IMC Std and Ent Add 50-node Serv 3Y FC 24x7  E-LTU</t>
  </si>
  <si>
    <t>JL639AAE</t>
  </si>
  <si>
    <t>Aruba NetEdit Single Node 1yr Sub E-STU</t>
  </si>
  <si>
    <t>JL640AAE</t>
  </si>
  <si>
    <t>Aruba NetEdit Single Node 3yr Sub E-STU</t>
  </si>
  <si>
    <t>JW467AAE</t>
  </si>
  <si>
    <t>Aruba SUB1-AW-K12 1-year AirWave 1 Device 1-yr Subscription E-STU</t>
  </si>
  <si>
    <t>JW468AAE</t>
  </si>
  <si>
    <t>Aruba SUB3-AW-K12 1-year AirWave 1 Device 3-yr Subscription E-STU</t>
  </si>
  <si>
    <t>JW469AAE</t>
  </si>
  <si>
    <t>Aruba SUB5-AW-K12 1-year AirWave 1 Device 5-yr Subscription E-STU</t>
  </si>
  <si>
    <t>JW470AAE</t>
  </si>
  <si>
    <t>Aruba ClearPass Guest Custom Skin E-LTU</t>
  </si>
  <si>
    <t>JW471AAE1</t>
  </si>
  <si>
    <t>Aruba LIC-ENT Enterprise (LIC-AP LIC-PEF LIC-RFP and LIC-AW) Licence Bundle Serv 1Y FC 24x7  E-LTU</t>
  </si>
  <si>
    <t>JW471AAE2</t>
  </si>
  <si>
    <t>JW471AAE3</t>
  </si>
  <si>
    <t>JW471AAE4</t>
  </si>
  <si>
    <t>Aruba LIC-ENT Enterprise (LIC-AP LIC-PEF LIC-RFP and LIC-AW) Licence Bundle Serv 3Y FC 24x7  E-LTU</t>
  </si>
  <si>
    <t>JW471AAE5</t>
  </si>
  <si>
    <t>Aruba LIC-ENT Enterprise (LIC-AP LIC-PEF LIC-RFP and LIC-AW) Licence Bundle Serv 4Y FC 24x7  E-LTU</t>
  </si>
  <si>
    <t>JW471AAE6</t>
  </si>
  <si>
    <t>Aruba LIC-ENT Enterprise (LIC-AP LIC-PEF LIC-RFP and LIC-AW) Licence Bundle Serv 5Y FC 24x7  E-LTU</t>
  </si>
  <si>
    <t>JW472AAE1</t>
  </si>
  <si>
    <t>Aruba LIC-AP Controller per AP Capacity License Serv 1Y FC 24x7 E-LTU</t>
  </si>
  <si>
    <t>JW472AAE3</t>
  </si>
  <si>
    <t>Aruba LIC-AP Controller per AP Capacity License Serv 3Y FC 24x7 E-LTU</t>
  </si>
  <si>
    <t>JW472AAE4</t>
  </si>
  <si>
    <t>Aruba LIC-AP Controller per AP Capacity License Serv 4Y FC 24x7 E-LTU</t>
  </si>
  <si>
    <t>JW472AAE5</t>
  </si>
  <si>
    <t>Aruba LIC-AP Controller per AP Capacity License Serv 5Y FC 24x7 E-LTU</t>
  </si>
  <si>
    <t>JW473AAE1</t>
  </si>
  <si>
    <t>Aruba LIC-PEF Controller Policy Enforcement Firewall Per AP License Serv 1Y FC 24x7 E-LTU</t>
  </si>
  <si>
    <t>JW473AAE3</t>
  </si>
  <si>
    <t>Aruba LIC-PEF Controller Policy Enforcement Firewall Per AP License Serv 3Y FC 24x7 E-LTU</t>
  </si>
  <si>
    <t>JW473AAE4</t>
  </si>
  <si>
    <t>Aruba LIC-PEF Controller Policy Enforcement Firewall Per AP License Serv 4Y FC 24x7 E-LTU</t>
  </si>
  <si>
    <t>JW473AAE5</t>
  </si>
  <si>
    <t>Aruba LIC-PEF Controller Policy Enforcement Firewall Per AP License Serv 5Y FC 24x7 E-LTU</t>
  </si>
  <si>
    <t>JW474AAE1</t>
  </si>
  <si>
    <t>Aruba LIC-RFP Controller RFProtect Per AP License Serv 1Y FC 24x7 E-LTU</t>
  </si>
  <si>
    <t>JW474AAE3</t>
  </si>
  <si>
    <t>Aruba LIC-RFP Controller RFProtect Per AP License Serv 3Y FC 24x7 E-LTU</t>
  </si>
  <si>
    <t>JW474AAE4</t>
  </si>
  <si>
    <t>Aruba LIC-RFP Controller RFProtect Per AP License Serv 4Y FC 24x7 E-LTU</t>
  </si>
  <si>
    <t>JW474AAE5</t>
  </si>
  <si>
    <t>Aruba LIC-RFP Controller RFProtect Per AP License Serv 5Y FC 24x7 E-LTU</t>
  </si>
  <si>
    <t>JW495AAE1</t>
  </si>
  <si>
    <t>Aruba LIC-7005-PEFV Controller Policy Enforcement Firewall for Aruba 7005 Cntrlr License Serv 1Y FC 24x7 E-LTU</t>
  </si>
  <si>
    <t>JW495AAE3</t>
  </si>
  <si>
    <t>Aruba LIC-7005-PEFV Controller Policy Enforcement Firewall for Aruba 7005 Cntrlr License Serv 3Y FC 24x7 E-LTU</t>
  </si>
  <si>
    <t>JW495AAE4</t>
  </si>
  <si>
    <t>Aruba LIC-7005-PEFV Controller Policy Enforcement Firewall for Aruba 7005 Cntrlr License Serv 4Y FC 24x7 E-LTU</t>
  </si>
  <si>
    <t>JW495AAE5</t>
  </si>
  <si>
    <t>Aruba LIC-7005-PEFV Controller Policy Enforcement Firewall for Aruba 7005 Cntrlr License Serv 5Y FC 24x7 E-LTU</t>
  </si>
  <si>
    <t>JW496AAE3</t>
  </si>
  <si>
    <t>Aruba LIC-7010-PEFV Controller Policy Enforcement Firewall for Aruba 7010 Cntrlr License Serv 3Y FC 24x7  E-LTU</t>
  </si>
  <si>
    <t>JW496AAE4</t>
  </si>
  <si>
    <t>Aruba LIC-7010-PEFV Controller Policy Enforcement Firewall for Aruba 7010 Cntrlr License Serv 4Y FC 24x7  E-LTU</t>
  </si>
  <si>
    <t>JW496AAE5</t>
  </si>
  <si>
    <t>Aruba LIC-7010-PEFV Controller Policy Enforcement Firewall for Aruba 7010 Cntrlr License Serv 5Y FC 24x7  E-LTU</t>
  </si>
  <si>
    <t>JW497AAE3</t>
  </si>
  <si>
    <t>Aruba LIC-7024-PEFV Controller Policy Enforcement Firewall for Aruba 7024 Cntrlr License Serv 3Y FC 24x7 E-LTU</t>
  </si>
  <si>
    <t>JW497AAE4</t>
  </si>
  <si>
    <t>Aruba LIC-7024-PEFV Controller Policy Enforcement Firewall for Aruba 7024 Cntrlr License Serv 4Y FC 24x7 E-LTU</t>
  </si>
  <si>
    <t>JW497AAE5</t>
  </si>
  <si>
    <t>Aruba LIC-7024-PEFV Controller Policy Enforcement Firewall for Aruba 7024 Cntrlr License Serv 5Y FC 24x7 E-LTU</t>
  </si>
  <si>
    <t>JW498AAE1</t>
  </si>
  <si>
    <t>Aruba LIC-7030-PEFV Controller Policy Enforcement Firewall for Aruba 7030 Cntrlr License Serv 1Y FC 24x7 E-LTU</t>
  </si>
  <si>
    <t>JW498AAE3</t>
  </si>
  <si>
    <t>Aruba LIC-7030-PEFV Controller Policy Enforcement Firewall for Aruba 7030 Cntrlr License Serv 3Y FC 24x7 E-LTU</t>
  </si>
  <si>
    <t>JW498AAE4</t>
  </si>
  <si>
    <t>Aruba LIC-7030-PEFV Controller Policy Enforcement Firewall for Aruba 7030 Cntrlr License Serv 4Y FC 24x7 E-LTU</t>
  </si>
  <si>
    <t>JW498AAE5</t>
  </si>
  <si>
    <t>Aruba LIC-7030-PEFV Controller Policy Enforcement Firewall for Aruba 7030 Cntrlr License Serv 5Y FC 24x7 E-LTU</t>
  </si>
  <si>
    <t>JW499AAE1</t>
  </si>
  <si>
    <t>Aruba LIC-7205-PEFV Controller Policy Enforcement Firewall for Aruba 7205 Cntrlr License Serv 1Y FC 24x7 E-LTU</t>
  </si>
  <si>
    <t>JW499AAE3</t>
  </si>
  <si>
    <t>Aruba LIC-7205-PEFV Controller Policy Enforcement Firewall for Aruba 7205 Cntrlr License Serv 3Y FC 24x7 E-LTU</t>
  </si>
  <si>
    <t>JW499AAE4</t>
  </si>
  <si>
    <t>Aruba LIC-7205-PEFV Controller Policy Enforcement Firewall for Aruba 7205 Cntrlr License Serv 4Y FC 24x7 E-LTU</t>
  </si>
  <si>
    <t>JW499AAE5</t>
  </si>
  <si>
    <t>Aruba LIC-7205-PEFV Controller Policy Enforcement Firewall for Aruba 7205 Cntrlr License Serv 5Y FC 24x7 E-LTU</t>
  </si>
  <si>
    <t>JW500AAE1</t>
  </si>
  <si>
    <t>Aruba LIC-7210-PEFV Controller Policy Enforcement Firewall for Aruba 7210 Cntrlr License Serv 1Y FC 24x7 E-LTU</t>
  </si>
  <si>
    <t>JW500AAE3</t>
  </si>
  <si>
    <t>Aruba LIC-7210-PEFV Controller Policy Enforcement Firewall for Aruba 7210 Cntrlr License Serv 3Y FC 24x7 E-LTU</t>
  </si>
  <si>
    <t>JW500AAE4</t>
  </si>
  <si>
    <t>Aruba LIC-7210-PEFV Controller Policy Enforcement Firewall for Aruba 7210 Cntrlr License Serv 4Y FC 24x7 E-LTU</t>
  </si>
  <si>
    <t>JW500AAE5</t>
  </si>
  <si>
    <t>Aruba LIC-7210-PEFV Controller Policy Enforcement Firewall for Aruba 7210 Cntrlr License Serv 5Y FC 24x7 E-LTU</t>
  </si>
  <si>
    <t>JW501AAE1</t>
  </si>
  <si>
    <t>Aruba LIC-7220-PEFV Controller Policy Enforcement Firewall for Aruba 7220 Cntrlr License Serv 1Y FC 24x7 E-LTU</t>
  </si>
  <si>
    <t>JW501AAE3</t>
  </si>
  <si>
    <t>Aruba LIC-7220-PEFV Controller Policy Enforcement Firewall for Aruba 7220 Cntrlr License Serv 3Y FC 24x7 E-LTU</t>
  </si>
  <si>
    <t>JW501AAE4</t>
  </si>
  <si>
    <t>Aruba LIC-7220-PEFV Controller Policy Enforcement Firewall for Aruba 7220 Cntrlr License Serv 4Y FC 24x7 E-LTU</t>
  </si>
  <si>
    <t>JW501AAE5</t>
  </si>
  <si>
    <t>Aruba LIC-7220-PEFV Controller Policy Enforcement Firewall for Aruba 7220 Cntrlr License Serv 5Y FC 24x7 E-LTU</t>
  </si>
  <si>
    <t>JW502AAE1</t>
  </si>
  <si>
    <t>Aruba LIC-7240-PEFV Controller Policy Enforcement Firewall for Aruba 7240 Cntrlr License Serv 1Y FC 24x7 E-LTU</t>
  </si>
  <si>
    <t>JW502AAE3</t>
  </si>
  <si>
    <t>Aruba LIC-7240-PEFV Controller Policy Enforcement Firewall for Aruba 7240 Cntrlr License Serv 3Y FC 24x7 E-LTU</t>
  </si>
  <si>
    <t>JW502AAE4</t>
  </si>
  <si>
    <t>Aruba LIC-7240-PEFV Controller Policy Enforcement Firewall for Aruba 7240 Cntrlr License Serv 4Y FC 24x7 E-LTU</t>
  </si>
  <si>
    <t>JW502AAE5</t>
  </si>
  <si>
    <t>Aruba LIC-7240-PEFV Controller Policy Enforcement Firewall for Aruba 7240 Cntrlr License Serv 5Y FC 24x7 E-LTU</t>
  </si>
  <si>
    <t>JW546AAE1</t>
  </si>
  <si>
    <t>Aruba LIC-AW Aruba Airwave with RAPIDS and VisualRF 1 Device License Serv 1Y FC 24x7 E-LTU</t>
  </si>
  <si>
    <t>JW546AAE4</t>
  </si>
  <si>
    <t>Aruba LIC-AW Aruba Airwave with RAPIDS and VisualRF 1 Device License Serv 4Y FC 24x7 E-LTU</t>
  </si>
  <si>
    <t>JW546AAE5</t>
  </si>
  <si>
    <t>Aruba LIC-AW Aruba Airwave with RAPIDS and VisualRF 1 Device License Serv 5Y FC 24x7 E-LTU</t>
  </si>
  <si>
    <t>JW558AAE1</t>
  </si>
  <si>
    <t>Aruba AW-25-FR AirWave 25 Device Failover License Serv 1Y FC 24x7  E-LTU</t>
  </si>
  <si>
    <t>JW558AAE4</t>
  </si>
  <si>
    <t>Aruba AW-25-FR AirWave 25 Device Failover License Serv 4Y FC 24x7  E-LTU</t>
  </si>
  <si>
    <t>JW558AAE5</t>
  </si>
  <si>
    <t>Aruba AW-25-FR AirWave 25 Device Failover License Serv 5Y FC 24x7  E-LTU</t>
  </si>
  <si>
    <t>JW559AAE1</t>
  </si>
  <si>
    <t>Aruba AW-50-FR AirWave 50 Device Failover License Serv 1Y FC 24x7 E-LTU</t>
  </si>
  <si>
    <t>JW559AAE4</t>
  </si>
  <si>
    <t>Aruba AW-50-FR AirWave 50 Device Failover License Serv 4Y FC 24x7 E-LTU</t>
  </si>
  <si>
    <t>JW559AAE5</t>
  </si>
  <si>
    <t>Aruba AW-50-FR AirWave 50 Device Failover License Serv 5Y FC 24x7 E-LTU</t>
  </si>
  <si>
    <t>JW560AAE1</t>
  </si>
  <si>
    <t>Aruba AW-100-FR AirWave 100 Device Failover License Serv 1Y FC 24x7 E-LTU</t>
  </si>
  <si>
    <t>JW560AAE4</t>
  </si>
  <si>
    <t>Aruba AW-100-FR AirWave 100 Device Failover License Serv 4Y FC 24x7 E-LTU</t>
  </si>
  <si>
    <t>JW560AAE5</t>
  </si>
  <si>
    <t>Aruba AW-100-FR AirWave 100 Device Failover License Serv 5Y FC 24x7 E-LTU</t>
  </si>
  <si>
    <t>JW562AAE1</t>
  </si>
  <si>
    <t>Aruba AW-500-FR AirWave 500 Device Failover License Serv 1Y FC 24x7 E-LTU</t>
  </si>
  <si>
    <t>JW562AAE4</t>
  </si>
  <si>
    <t>Aruba AW-500-FR AirWave 500 Device Failover License Serv 4Y FC 24x7 E-LTU</t>
  </si>
  <si>
    <t>JW562AAE5</t>
  </si>
  <si>
    <t>Aruba AW-500-FR AirWave 500 Device Failover License Serv 5Y FC 24x7 E-LTU</t>
  </si>
  <si>
    <t>JW563AAE1</t>
  </si>
  <si>
    <t>Aruba AW-1000-FR 1000 AirWave Device Failover License Serv 1Y FC 24x7 E-LTU</t>
  </si>
  <si>
    <t>JW563AAE4</t>
  </si>
  <si>
    <t>Aruba AW-1000-FR 1000 AirWave Device Failover License Serv 4Y FC 24x7 E-LTU</t>
  </si>
  <si>
    <t>JW563AAE5</t>
  </si>
  <si>
    <t>Aruba AW-1000-FR 1000 AirWave Device Failover License Serv 5Y FC 24x7 E-LTU</t>
  </si>
  <si>
    <t>JW564AAE1</t>
  </si>
  <si>
    <t>Aruba AW-2500-FR 2500 AirWave Device Failover License Serv 1Y FC 24x7  E-LTU</t>
  </si>
  <si>
    <t>JW564AAE4</t>
  </si>
  <si>
    <t>Aruba AW-2500-FR 2500 AirWave Device Failover License Serv 4Y FC 24x7  E-LTU</t>
  </si>
  <si>
    <t>JW564AAE5</t>
  </si>
  <si>
    <t>Aruba AW-2500-FR 2500 AirWave Device Failover License Serv 5Y FC 24x7  E-LTU</t>
  </si>
  <si>
    <t>JW565AAE1</t>
  </si>
  <si>
    <t>Aruba AW-EXF1-50 AirWave 50 Device Failover Expansion License Serv 1Y FC 24x7 E-LTU</t>
  </si>
  <si>
    <t>JW565AAE4</t>
  </si>
  <si>
    <t>Aruba AW-EXF1-50 AirWave 50 Device Failover Expansion License Serv 4Y FC 24x7 E-LTU</t>
  </si>
  <si>
    <t>JW565AAE5</t>
  </si>
  <si>
    <t>Aruba AW-EXF1-50 AirWave 50 Device Failover Expansion License Serv 5Y FC 24x7 E-LTU</t>
  </si>
  <si>
    <t>JW566AAE1</t>
  </si>
  <si>
    <t>Aruba AW-EXF1-2500 AirWave 2500 Volume Failover Expansion License Serv 1Y FC 24x7 E-LTU</t>
  </si>
  <si>
    <t>JW566AAE4</t>
  </si>
  <si>
    <t>Aruba AW-EXF1-2500 AirWave 2500 Volume Failover Expansion License Serv 4Y FC 24x7 E-LTU</t>
  </si>
  <si>
    <t>JW566AAE5</t>
  </si>
  <si>
    <t>Aruba AW-EXF1-2500 AirWave 2500 Volume Failover Expansion License Serv 5Y FC 24x7 E-LTU</t>
  </si>
  <si>
    <t>JW567AAE1</t>
  </si>
  <si>
    <t>Aruba AW-MASTER AirWave Master Console License Serv 1Y FC 24x7 E-LTU</t>
  </si>
  <si>
    <t>JW567AAE4</t>
  </si>
  <si>
    <t>Aruba AW-MASTER AirWave Master Console License Serv 4Y FC 24x7 E-LTU</t>
  </si>
  <si>
    <t>JW567AAE5</t>
  </si>
  <si>
    <t>Aruba AW-MASTER AirWave Master Console License Serv 5Y FC 24x7 E-LTU</t>
  </si>
  <si>
    <t>JW604AAE1</t>
  </si>
  <si>
    <t>Aruba LIC-ALE-1 Analytics and Location Engine 50 AP License Serv 1Y FC 24x7 E-LTU</t>
  </si>
  <si>
    <t>JW604AAE3A</t>
  </si>
  <si>
    <t>Aruba LIC-ALE-1 Analytics and Location Engine 50 AP License Serv 3Y FC 24x7  E-LTU</t>
  </si>
  <si>
    <t>JW604AAE4A</t>
  </si>
  <si>
    <t>Aruba LIC-ALE-1 Analytics and Location Engine 50 AP License Serv 4Y FC 24x7 APs E-LTU</t>
  </si>
  <si>
    <t>JW604AAE5</t>
  </si>
  <si>
    <t>Aruba LIC-ALE-1 Analytics and Location Engine 50 AP License Serv 5Y FC 24x7 E-LTU</t>
  </si>
  <si>
    <t>JW604AAE3</t>
  </si>
  <si>
    <t>Aruba LIC-ALE-1 Analytics and Location Engine 1 AP License Serv 3Y FC 24x7 bundle 50 APs E-LTU</t>
  </si>
  <si>
    <t>JW604AAE4</t>
  </si>
  <si>
    <t>Aruba LIC-ALE-1 Analytics and Location Engine 1 AP License Serv 4Y FC 24x7 bundle 50 APs E-LTU</t>
  </si>
  <si>
    <t>JW605AAE3</t>
  </si>
  <si>
    <t>Aruba AW-K12-1 AirWave K-12 Bundle 1 Device License Serv 3Y FC 24x7  E-LTU (includes 1 Year FC support)</t>
  </si>
  <si>
    <t>JW605AAE4</t>
  </si>
  <si>
    <t>Aruba AW-K12-1 AirWave K-12 Bundle 1 Device License Serv 4Y FC 24x7  E-LTU (includes 1 Year FC support)</t>
  </si>
  <si>
    <t>JW605AAE5</t>
  </si>
  <si>
    <t>Aruba AW-K12-1 AirWave K-12 Bundle 1 Device License Serv 5Y FC 24x7  E-LTU (includes 1 Year FC support)</t>
  </si>
  <si>
    <t>JW619AAE1</t>
  </si>
  <si>
    <t>Aruba LIC-K12-1 1 Addl AP Lic for Policy Enforcement FW and RF Protect for K-12 Bundle E-LTU (Adds one each of LIC-AP, LIC-PEF and LIC-RFP license to any K-12 bundle.  Includes 1 Year FC support.) Serv 3Y FC 24x7</t>
  </si>
  <si>
    <t>JW619AAE2</t>
  </si>
  <si>
    <t>Aruba LIC-K12-1 1 Addl AP Lic for Policy Enforcement FW and RF Protect for K-12 Bundle E-LTU (Adds one each of LIC-AP, LIC-PEF and LIC-RFP license to any K-12 bundle.  Includes 1 Year FC support.) Serv 4Y FC 24x7</t>
  </si>
  <si>
    <t>JW619AAE3</t>
  </si>
  <si>
    <t>Aruba LIC-K12-1 1 Addl AP Lic for Policy Enforcement FW and RF Protect for K-12 Bundle E-LTU (Adds one each of LIC-AP, LIC-PEF and LIC-RFP license to any K-12 bundle.  Includes 1 Year FC support.) Serv 5Y FC 24x7</t>
  </si>
  <si>
    <t>JW619AAE4</t>
  </si>
  <si>
    <t>Aruba LIC-K12-1 1 Addl AP Lic for Policy Enforcement FW and RF Protect for K-12 Bundle E-LTU (Adds one each of LIC-AP, LIC-PEF and LIC-RFP license to any K-12 bundle.  Includes 1 Year FC support.)</t>
  </si>
  <si>
    <t>JW619AAE5</t>
  </si>
  <si>
    <t>JW619AAE6</t>
  </si>
  <si>
    <t>JY028AAE1</t>
  </si>
  <si>
    <t>Aruba Controller Web Content Classification 1 Year Subscription E-STU</t>
  </si>
  <si>
    <t>JY028AAE3</t>
  </si>
  <si>
    <t>Aruba Controller Web Content Classification 3 Year Subscription E-STU</t>
  </si>
  <si>
    <t>JY029AAE</t>
  </si>
  <si>
    <t>JY030AAE</t>
  </si>
  <si>
    <t>Aruba Controller Web Content Classification 5 Year Subscription E-STU</t>
  </si>
  <si>
    <t>JY031AAE</t>
  </si>
  <si>
    <t>Aruba Controller Web Content Classification 7 Year Subscription E-STU</t>
  </si>
  <si>
    <t>JY032AAE</t>
  </si>
  <si>
    <t>Aruba Controller Web Content Classification 10 Year Subscription E-STU</t>
  </si>
  <si>
    <t>JY342AAE1</t>
  </si>
  <si>
    <t>Aruba LIC-7008-PEFV Controller Policy Enforcement Firewall for Aruba 7008 Cntrlr License Serv 1Y FC 24x7 E-LTU</t>
  </si>
  <si>
    <t>JY342AAE3</t>
  </si>
  <si>
    <t>Aruba LIC-7008-PEFV Controller Policy Enforcement Firewall for Aruba 7008 Cntrlr License Serv 3Y FC 24x7  E-LTU</t>
  </si>
  <si>
    <t>JY342AAE4</t>
  </si>
  <si>
    <t>Aruba LIC-7008-PEFV Controller Policy Enforcement Firewall for Aruba 7008 Cntrlr License Serv 4Y FC 24x7  E-LTU</t>
  </si>
  <si>
    <t>JY342AAE5</t>
  </si>
  <si>
    <t>Aruba LIC-7008-PEFV Controller Policy Enforcement Firewall for Aruba 7008 Cntrlr License Serv 5Y FC 24x7  E-LTU</t>
  </si>
  <si>
    <t>JY895AAE1</t>
  </si>
  <si>
    <t>Aruba MM-VA-500 Mobility Master SW Serv 1Y FC 24x7 E-LTU</t>
  </si>
  <si>
    <t>JY895AAE3</t>
  </si>
  <si>
    <t>Aruba MM-VA-500 Mobility Master SW Serv 3Y FC 24x7 E-LTU</t>
  </si>
  <si>
    <t>JY895AAE4</t>
  </si>
  <si>
    <t>Aruba MM-VA-500 Mobility Master SW Serv 4Y FC 24x7 E-LTU</t>
  </si>
  <si>
    <t>JY895AAE5</t>
  </si>
  <si>
    <t>Aruba MM-VA-500 Mobility Master SW Serv 5Y FC 24x7 E-LTU</t>
  </si>
  <si>
    <t>JY896AAE1</t>
  </si>
  <si>
    <t>Aruba MM-VA-1K Mobility Master SW Serv 1Y FC 24x7 E-LTU</t>
  </si>
  <si>
    <t>JY896AAE3</t>
  </si>
  <si>
    <t>Aruba MM-VA-1K Mobility Master SW Serv 3Y FC 24x7 E-LTU</t>
  </si>
  <si>
    <t>JY896AAE4</t>
  </si>
  <si>
    <t>Aruba MM-VA-1K Mobility Master SW Serv 4Y FC 24x7 E-LTU</t>
  </si>
  <si>
    <t>JY896AAE5</t>
  </si>
  <si>
    <t>Aruba MM-VA-1K Mobility Master SW Serv 5Y FC 24x7 E-LTU</t>
  </si>
  <si>
    <t>JY897AAE1</t>
  </si>
  <si>
    <t>Aruba MM-VA-5K Mobility Master SWServ 1Y FC 24x7  E-LTU</t>
  </si>
  <si>
    <t>JY897AAE3</t>
  </si>
  <si>
    <t>Aruba MM-VA-5K Mobility Master SWServ 3Y FC 24x7  E-LTU</t>
  </si>
  <si>
    <t>JY897AAE4</t>
  </si>
  <si>
    <t>Aruba MM-VA-5K Mobility Master SWServ 4Y FC 24x7  E-LTU</t>
  </si>
  <si>
    <t>JY897AAE5</t>
  </si>
  <si>
    <t>Aruba MM-VA-5K Mobility Master SWServ 5Y FC 24x7  E-LTU</t>
  </si>
  <si>
    <t>JY898AAE1</t>
  </si>
  <si>
    <t>Aruba MM-VA-10K Mobility Master SW Serv 1Y FC 24x7 E-LTU</t>
  </si>
  <si>
    <t>JY898AAE3</t>
  </si>
  <si>
    <t>Aruba MM-VA-10K Mobility Master SW Serv 3Y FC 24x7 E-LTU</t>
  </si>
  <si>
    <t>JY898AAE4</t>
  </si>
  <si>
    <t>Aruba MM-VA-10K Mobility Master SW Serv 4Y FC 24x7 E-LTU</t>
  </si>
  <si>
    <t>JY898AAE5</t>
  </si>
  <si>
    <t>Aruba MM-VA-10K Mobility Master SW Serv 5Y FC 24x7 E-LTU</t>
  </si>
  <si>
    <t>JY899AAE1</t>
  </si>
  <si>
    <t>Aruba MC-VA-50 (RW) Controller 50 AP Serv 1Y FC 24x7 E-LTU</t>
  </si>
  <si>
    <t>JY899AAE3</t>
  </si>
  <si>
    <t>Aruba MC-VA-50 (RW) Controller 50 AP Serv 3Y FC 24x7 E-LTU</t>
  </si>
  <si>
    <t>JY899AAE4</t>
  </si>
  <si>
    <t>Aruba MC-VA-50 (RW) Controller 50 AP Serv 4Y FC 24x7 E-LTU</t>
  </si>
  <si>
    <t>JY899AAE5</t>
  </si>
  <si>
    <t>Aruba MC-VA-50 (RW) Controller 50 AP Serv 5Y FC 24x7 E-LTU</t>
  </si>
  <si>
    <t>JY900AAE1</t>
  </si>
  <si>
    <t>Aruba MC-VA-250 (RW) Controller 250 AP Serv 1Y FC 24x7  E-LTU</t>
  </si>
  <si>
    <t>JY900AAE3</t>
  </si>
  <si>
    <t>Aruba MC-VA-250 (RW) Controller 250 AP Serv 3Y FC 24x7  E-LTU</t>
  </si>
  <si>
    <t>JY900AAE4</t>
  </si>
  <si>
    <t>Aruba MC-VA-250 (RW) Controller 250 AP Serv 4Y FC 24x7  E-LTU</t>
  </si>
  <si>
    <t>JY900AAE5</t>
  </si>
  <si>
    <t>Aruba MC-VA-250 (RW) Controller 250 AP Serv 5Y FC 24x7  E-LTU</t>
  </si>
  <si>
    <t>JY901AAE1</t>
  </si>
  <si>
    <t>Aruba MC-VA-1K (RW) Controller 1K AP Serv 1Y FC 24x7 E-LTU</t>
  </si>
  <si>
    <t>JY901AAE3</t>
  </si>
  <si>
    <t>Aruba MC-VA-1K (RW) Controller 1K AP Serv 3Y FC 24x7 E-LTU</t>
  </si>
  <si>
    <t>JY901AAE4</t>
  </si>
  <si>
    <t>Aruba MC-VA-1K (RW) Controller 1K AP Serv 4Y FC 24x7 E-LTU</t>
  </si>
  <si>
    <t>JY901AAE5</t>
  </si>
  <si>
    <t>Aruba MC-VA-1K (RW) Controller 1K AP Serv 5Y FC 24x7 E-LTU</t>
  </si>
  <si>
    <t>JY925AAE</t>
  </si>
  <si>
    <t>Aruba Central Device Management 1 Token 1 Year Subscription E-STU</t>
  </si>
  <si>
    <t>JY926AAE</t>
  </si>
  <si>
    <t>Aruba Central Device Management 1 Token 3 Year Subscription E-STU</t>
  </si>
  <si>
    <t>JY927AAE</t>
  </si>
  <si>
    <t>Aruba Central Device Management 1 Token 5 Year Subscription E-STU</t>
  </si>
  <si>
    <t>JY928AAE</t>
  </si>
  <si>
    <t>Aruba Central Cloud Services 1 Token 1 Year Subscription E-STU</t>
  </si>
  <si>
    <t>JY929AAE</t>
  </si>
  <si>
    <t>Aruba Central Cloud Services 1 Token 3 Year Subscription E-STU</t>
  </si>
  <si>
    <t>JY930AAE</t>
  </si>
  <si>
    <t>Aruba Central Cloud Services 1 Token 5 Year Subscription E-STU</t>
  </si>
  <si>
    <t>JZ017AAE</t>
  </si>
  <si>
    <t>Aruba Central Device Management/Cloud Services 2 Tokens 5yr Subscription E-rate Bundle E-STU</t>
  </si>
  <si>
    <t>JZ091AAE</t>
  </si>
  <si>
    <t>Aruba Meridian Maps 1yr E-STU</t>
  </si>
  <si>
    <t>JZ092AAE</t>
  </si>
  <si>
    <t>Aruba Meridian Blue Dot Nav 1yr E-STU</t>
  </si>
  <si>
    <t>JZ093AAE</t>
  </si>
  <si>
    <t>Aruba Meridian Asset Tracking 1yr E-STU</t>
  </si>
  <si>
    <t>JZ095AAE</t>
  </si>
  <si>
    <t>Aruba Meridian Campaigns 1yr E-STU</t>
  </si>
  <si>
    <t>JZ096AAE</t>
  </si>
  <si>
    <t>Aruba Meridian Maps 3yr E-STU</t>
  </si>
  <si>
    <t>JZ097AAE</t>
  </si>
  <si>
    <t>Aruba Meridian Blue Dot Nav 3yr E-STU</t>
  </si>
  <si>
    <t>JZ098AAE</t>
  </si>
  <si>
    <t>Aruba Meridian Asset Tracking 3yr E-STU</t>
  </si>
  <si>
    <t>JZ101AAE</t>
  </si>
  <si>
    <t>Aruba Meridian Maps 5yr E-STU</t>
  </si>
  <si>
    <t>JZ102AAE</t>
  </si>
  <si>
    <t>Aruba Meridian Blue Dot Nav 5yr E-STU</t>
  </si>
  <si>
    <t>JZ103AAE</t>
  </si>
  <si>
    <t>Aruba Meridian Asset Tracking 5yr E-STU</t>
  </si>
  <si>
    <t>JZ106AAE1</t>
  </si>
  <si>
    <t>Aruba MM-VA-50 Mobility Master SW Serv 1Y FC 24x7 E-LTU</t>
  </si>
  <si>
    <t>JZ106AAE3</t>
  </si>
  <si>
    <t>Aruba MM-VA-50 Mobility Master SW Serv 3Y FC 24x7 E-LTU</t>
  </si>
  <si>
    <t>JZ106AAE4</t>
  </si>
  <si>
    <t>Aruba MM-VA-50 Mobility Master SW Serv 4Y FC 24x7 E-LTU</t>
  </si>
  <si>
    <t>JZ106AAE5</t>
  </si>
  <si>
    <t>Aruba MM-VA-50 Mobility Master SW Serv 5Y FC 24x7 E-LTU</t>
  </si>
  <si>
    <t>JZ118AAE</t>
  </si>
  <si>
    <t>Aruba 70xx or 90xx Gateway Foundation 1yr Sub E-STU</t>
  </si>
  <si>
    <t>JZ119AAE</t>
  </si>
  <si>
    <t>Aruba 70xx or 90xx Gateway Foundation 3yr Sub E-STU</t>
  </si>
  <si>
    <t>JZ120AAE</t>
  </si>
  <si>
    <t>Aruba 70xx or 90xx Gateway Foundation 5yr Sub E-STU</t>
  </si>
  <si>
    <t>JZ121AAE</t>
  </si>
  <si>
    <t>Aruba 70xx or 90xx Gateway Advanced 1yr Sub E-STU</t>
  </si>
  <si>
    <t>JZ122AAE</t>
  </si>
  <si>
    <t>Aruba 70xx or 90xx Gateway Advanced 3yr Sub E-STU</t>
  </si>
  <si>
    <t>JZ123AAE</t>
  </si>
  <si>
    <t>Aruba 70xx or 90xx Gateway Advanced 5yr Sub E-STU</t>
  </si>
  <si>
    <t>JZ124AAE</t>
  </si>
  <si>
    <t>Aruba 70xx or 90xx Gateway Foundation Base 1y Sub E-STU</t>
  </si>
  <si>
    <t>JZ125AAE</t>
  </si>
  <si>
    <t>Aruba 70xx or 90xx Gateway Foundation Base 3y Sub E-STU</t>
  </si>
  <si>
    <t>JZ126AAE</t>
  </si>
  <si>
    <t>Aruba 70xx or 90xx Gateway Foundation Base 5y Sub E-STU</t>
  </si>
  <si>
    <t>JZ148AAE1</t>
  </si>
  <si>
    <t>Aruba LIC-VIA Per User License Serv 1Y FC 24x7 E-LTU</t>
  </si>
  <si>
    <t>JZ148AAE3</t>
  </si>
  <si>
    <t>Aruba LIC-VIA Per User License Serv 3Y FC 24x7 E-LTU</t>
  </si>
  <si>
    <t>JZ148AAE4</t>
  </si>
  <si>
    <t>Aruba LIC-VIA Per User License Serv 4Y FC 24x7 E-LTU</t>
  </si>
  <si>
    <t>JZ148AAE5</t>
  </si>
  <si>
    <t>Aruba LIC-VIA Per User License Serv 5Y FC 24x7 E-LTU</t>
  </si>
  <si>
    <t>JZ195AAE</t>
  </si>
  <si>
    <t>Aruba 72xx Gateway Foundation 1yr Sub E-STU</t>
  </si>
  <si>
    <t>JZ196AAE</t>
  </si>
  <si>
    <t>Aruba 72xx Gateway Foundation 3yr Sub E-STU</t>
  </si>
  <si>
    <t>JZ197AAE</t>
  </si>
  <si>
    <t>Aruba 72xx Gateway Foundation 5yr Sub E-STU</t>
  </si>
  <si>
    <t>JZ198AAE</t>
  </si>
  <si>
    <t>Aruba 72xx Gateway Advanced 1yr Sub E-STU</t>
  </si>
  <si>
    <t>JZ199AAE</t>
  </si>
  <si>
    <t>Aruba 72xx Gateway Advanced 3yr Sub E-STU</t>
  </si>
  <si>
    <t>JZ200AAE</t>
  </si>
  <si>
    <t>Aruba 72xx Gateway Advanced 5yr Sub E-STU</t>
  </si>
  <si>
    <t>JZ376AAE1</t>
  </si>
  <si>
    <t>Aruba MM-VA-500 Mobility Master  FIPS/TAA Serv 1Y FC 24x7 E-LTU</t>
  </si>
  <si>
    <t>JZ376AAE3</t>
  </si>
  <si>
    <t>Aruba MM-VA-500 Mobility Master  FIPS/TAA Serv 3Y FC 24x7 E-LTU</t>
  </si>
  <si>
    <t>JZ376AAE4</t>
  </si>
  <si>
    <t>Aruba MM-VA-500 Mobility Master  FIPS/TAA Serv 4Y FC 24x7 E-LTU</t>
  </si>
  <si>
    <t>JZ376AAE5</t>
  </si>
  <si>
    <t>Aruba MM-VA-500 Mobility Master  FIPS/TAA Serv 5Y FC 24x7 E-LTU</t>
  </si>
  <si>
    <t>JZ377AAE1</t>
  </si>
  <si>
    <t>Aruba MM-VA-1K Mobility Master FIPS/TAA  Serv 1Y FC 24x7 E-LTU</t>
  </si>
  <si>
    <t>JZ377AAE3</t>
  </si>
  <si>
    <t>Aruba MM-VA-1K Mobility Master FIPS/TAA  Serv 3Y FC 24x7 E-LTU</t>
  </si>
  <si>
    <t>JZ377AAE4</t>
  </si>
  <si>
    <t>Aruba MM-VA-1K Mobility Master FIPS/TAA  Serv 4Y FC 24x7 E-LTU</t>
  </si>
  <si>
    <t>JZ377AAE5</t>
  </si>
  <si>
    <t>Aruba MM-VA-1K Mobility Master FIPS/TAA  Serv 5Y FC 24x7 E-LTU</t>
  </si>
  <si>
    <t>JZ378AAE1</t>
  </si>
  <si>
    <t>Aruba MM-VA-5K Mobility Master FIPS/TAA Serv 1Y FC 24x7 E-LTU</t>
  </si>
  <si>
    <t>JZ378AAE3</t>
  </si>
  <si>
    <t>Aruba MM-VA-5K Mobility Master FIPS/TAA Serv 3Y FC 24x7 E-LTU</t>
  </si>
  <si>
    <t>JZ378AAE4</t>
  </si>
  <si>
    <t>Aruba MM-VA-5K Mobility Master FIPS/TAA Serv 4Y FC 24x7 E-LTU</t>
  </si>
  <si>
    <t>JZ378AAE5</t>
  </si>
  <si>
    <t>Aruba MM-VA-5K Mobility Master FIPS/TAA Serv 5Y FC 24x7 E-LTU</t>
  </si>
  <si>
    <t>JZ379AAE1</t>
  </si>
  <si>
    <t>Aruba MM-VA-10K Mobility Master FIPS/TAA Serv 1Y FC 24x7 E-LTU</t>
  </si>
  <si>
    <t>JZ379AAE3</t>
  </si>
  <si>
    <t>Aruba MM-VA-10K Mobility Master FIPS/TAA Serv 3Y FC 24x7 E-LTU</t>
  </si>
  <si>
    <t>JZ379AAE4</t>
  </si>
  <si>
    <t>Aruba MM-VA-10K Mobility Master FIPS/TAA Serv 4Y FC 24x7 E-LTU</t>
  </si>
  <si>
    <t>JZ379AAE5</t>
  </si>
  <si>
    <t>Aruba MM-VA-10K Mobility Master FIPS/TAA Serv 5Y FC 24x7 E-LTU</t>
  </si>
  <si>
    <t>JZ389AAE1</t>
  </si>
  <si>
    <t>Aruba MC-VA-50 (RWF1) Controller Serv 1Y FC 24x7 E-LTU</t>
  </si>
  <si>
    <t>JZ389AAE3</t>
  </si>
  <si>
    <t>Aruba MC-VA-50 (RWF1) Controller Serv 3Y FC 24x7 E-LTU</t>
  </si>
  <si>
    <t>JZ389AAE4</t>
  </si>
  <si>
    <t>Aruba MC-VA-50 (RWF1) Controller Serv 4Y FC 24x7 E-LTU</t>
  </si>
  <si>
    <t>JZ389AAE5</t>
  </si>
  <si>
    <t>Aruba MC-VA-50 (RWF1) Controller Serv 5Y FC 24x7 E-LTU</t>
  </si>
  <si>
    <t>JZ390AAE1</t>
  </si>
  <si>
    <t>Aruba MC-VA-250 (RWF1) Controller Serv 1Y FC 24x7 E-LTU</t>
  </si>
  <si>
    <t>JZ390AAE3</t>
  </si>
  <si>
    <t>Aruba MC-VA-250 (RWF1) Controller Serv 3Y FC 24x7 E-LTU</t>
  </si>
  <si>
    <t>JZ390AAE4</t>
  </si>
  <si>
    <t>Aruba MC-VA-250 (RWF1) Controller Serv 4Y FC 24x7 E-LTU</t>
  </si>
  <si>
    <t>JZ390AAE5</t>
  </si>
  <si>
    <t>Aruba MC-VA-250 (RWF1) Controller Serv 5Y FC 24x7 E-LTU</t>
  </si>
  <si>
    <t>JZ391AAE1</t>
  </si>
  <si>
    <t>Aruba MC-VA-1K (RWF1) Controller Serv 1Y FC 24x7  E-LTU</t>
  </si>
  <si>
    <t>JZ391AAE3</t>
  </si>
  <si>
    <t>Aruba MC-VA-1K (RWF1) Controller Serv 3Y FC 24x7  E-LTU</t>
  </si>
  <si>
    <t>JZ391AAE4</t>
  </si>
  <si>
    <t>Aruba MC-VA-1K (RWF1) Controller Serv 4Y FC 24x7  E-LTU</t>
  </si>
  <si>
    <t>JZ391AAE5</t>
  </si>
  <si>
    <t>Aruba MC-VA-1K (RWF1) Controller Serv 5Y FC 24x7  E-LTU</t>
  </si>
  <si>
    <t>JZ395AAE1</t>
  </si>
  <si>
    <t>Aruba MM-VA-50 Mobility Master Serv 1Y FC 24x7 FIPS/TAA E-LTU</t>
  </si>
  <si>
    <t>JZ395AAE3</t>
  </si>
  <si>
    <t>Aruba MM-VA-50 Mobility Master Serv 3Y FC 24x7 FIPS/TAA E-LTU</t>
  </si>
  <si>
    <t>JZ395AAE4</t>
  </si>
  <si>
    <t>Aruba MM-VA-50 Mobility Master Serv 4Y FC 24x7 FIPS/TAA E-LTU</t>
  </si>
  <si>
    <t>JZ395AAE5</t>
  </si>
  <si>
    <t>Aruba MM-VA-50 Mobility Master Serv 5Y FC 24x7 FIPS/TAA E-LTU</t>
  </si>
  <si>
    <t>JZ399AAE1</t>
  </si>
  <si>
    <t>Aruba ClearPass Cx000V VM  Serv 1Y FC 24x7 E-LTU</t>
  </si>
  <si>
    <t>JZ399AAE3</t>
  </si>
  <si>
    <t>Aruba ClearPass Cx000V VM  Serv 3Y FC 24x7 E-LTU</t>
  </si>
  <si>
    <t>JZ399AAE4</t>
  </si>
  <si>
    <t>Aruba ClearPass Cx000V VM  Serv 4Y FC 24x7 E-LTU</t>
  </si>
  <si>
    <t>JZ399AAE5</t>
  </si>
  <si>
    <t>Aruba ClearPass Cx000V VM  Serv 5Y FC 24x7 E-LTU</t>
  </si>
  <si>
    <t>JZ400AAE1</t>
  </si>
  <si>
    <t>Aruba ClearPass NL AC 100 CE Serv 1Y FC 24x7 E-LTU</t>
  </si>
  <si>
    <t>JZ400AAE3</t>
  </si>
  <si>
    <t>Aruba ClearPass NL AC 100 CE Serv 3Y FC 24x7 E-LTU</t>
  </si>
  <si>
    <t>JZ400AAE4</t>
  </si>
  <si>
    <t>Aruba ClearPass NL AC 100 CE Serv 4Y FC 24x7 E-LTU</t>
  </si>
  <si>
    <t>JZ400AAE5</t>
  </si>
  <si>
    <t>Aruba ClearPass NL AC 100 CE Serv 5Y FC 24x7 E-LTU</t>
  </si>
  <si>
    <t>JZ401AAE1</t>
  </si>
  <si>
    <t>Aruba ClearPass NL AC 500 CE Serv 1Y FC 24x7 E-LTU</t>
  </si>
  <si>
    <t>JZ401AAE3</t>
  </si>
  <si>
    <t>Aruba ClearPass NL AC 500 CE Serv 3Y FC 24x7 E-LTU</t>
  </si>
  <si>
    <t>JZ401AAE4</t>
  </si>
  <si>
    <t>Aruba ClearPass NL AC 500 CE Serv 4Y FC 24x7 E-LTU</t>
  </si>
  <si>
    <t>JZ401AAE5</t>
  </si>
  <si>
    <t>Aruba ClearPass NL AC 500 CE Serv 5Y FC 24x7 E-LTU</t>
  </si>
  <si>
    <t>JZ402AAE1</t>
  </si>
  <si>
    <t>Aruba ClearPass NL AC 1K CE Serv 1Y FC 24x7 E-LTU</t>
  </si>
  <si>
    <t>JZ402AAE3</t>
  </si>
  <si>
    <t>Aruba ClearPass NL AC 1K CE Serv 3Y FC 24x7 E-LTU</t>
  </si>
  <si>
    <t>JZ402AAE4</t>
  </si>
  <si>
    <t>Aruba ClearPass NL AC 1K CE Serv 4Y FC 24x7 E-LTU</t>
  </si>
  <si>
    <t>JZ402AAE5</t>
  </si>
  <si>
    <t>Aruba ClearPass NL AC 1K CE Serv 5Y FC 24x7 E-LTU</t>
  </si>
  <si>
    <t>JZ403AAE1</t>
  </si>
  <si>
    <t>Aruba ClearPass NL AC 2500 CE Serv 1Y FC 24x7  E-LTU</t>
  </si>
  <si>
    <t>JZ403AAE3</t>
  </si>
  <si>
    <t>Aruba ClearPass NL AC 2500 CE Serv 3Y FC 24x7  E-LTU</t>
  </si>
  <si>
    <t>JZ403AAE4</t>
  </si>
  <si>
    <t>Aruba ClearPass NL AC 2500 CE Serv 4Y FC 24x7  E-LTU</t>
  </si>
  <si>
    <t>JZ403AAE5</t>
  </si>
  <si>
    <t>Aruba ClearPass NL AC 2500 CE Serv 5Y FC 24x7  E-LTU</t>
  </si>
  <si>
    <t>JZ404AAE1</t>
  </si>
  <si>
    <t>Aruba ClearPass NL AC 5K CE Serv 1Y FC 24x7 E-LTU</t>
  </si>
  <si>
    <t>JZ404AAE3</t>
  </si>
  <si>
    <t>Aruba ClearPass NL AC 5K CE Serv 3Y FC 24x7 E-LTU</t>
  </si>
  <si>
    <t>JZ404AAE4</t>
  </si>
  <si>
    <t>Aruba ClearPass NL AC 5K CE Serv 4Y FC 24x7 E-LTU</t>
  </si>
  <si>
    <t>JZ404AAE5</t>
  </si>
  <si>
    <t>Aruba ClearPass NL AC 5K CE Serv 5Y FC 24x7 E-LTU</t>
  </si>
  <si>
    <t>JZ405AAE1</t>
  </si>
  <si>
    <t>Aruba ClearPass NL AC 10K CE Serv 1Y FC 24x7 E-LTU</t>
  </si>
  <si>
    <t>JZ405AAE3</t>
  </si>
  <si>
    <t>Aruba ClearPass NL AC 10K CE Serv 3Y FC 24x7 E-LTU</t>
  </si>
  <si>
    <t>JZ405AAE4</t>
  </si>
  <si>
    <t>Aruba ClearPass NL AC 10K CE Serv 4Y FC 24x7 E-LTU</t>
  </si>
  <si>
    <t>JZ405AAE5</t>
  </si>
  <si>
    <t>Aruba ClearPass NL AC 10K CE Serv 5Y FC 24x7 E-LTU</t>
  </si>
  <si>
    <t>JZ406AAE1</t>
  </si>
  <si>
    <t xml:space="preserve">Aruba ClearPass NL AC 25K CE Serv 1Y FC 24x7 E-LTU      </t>
  </si>
  <si>
    <t>JZ406AAE3</t>
  </si>
  <si>
    <t xml:space="preserve">Aruba ClearPass NL AC 25K CE Serv 3Y FC 24x7 E-LTU      </t>
  </si>
  <si>
    <t>JZ406AAE4</t>
  </si>
  <si>
    <t xml:space="preserve">Aruba ClearPass NL AC 25K CE Serv 4Y FC 24x7 E-LTU      </t>
  </si>
  <si>
    <t>JZ406AAE5</t>
  </si>
  <si>
    <t xml:space="preserve">Aruba ClearPass NL AC 25K CE Serv 5Y FC 24x7 E-LTU      </t>
  </si>
  <si>
    <t>JZ407AAE1</t>
  </si>
  <si>
    <t xml:space="preserve">Aruba ClearPass NL AC 50K CE Serv 1Y FC 24x7 E-LTU      </t>
  </si>
  <si>
    <t>JZ407AAE3</t>
  </si>
  <si>
    <t xml:space="preserve">Aruba ClearPass NL AC 50K CE Serv 3Y FC 24x7 E-LTU      </t>
  </si>
  <si>
    <t>JZ407AAE4</t>
  </si>
  <si>
    <t xml:space="preserve">Aruba ClearPass NL AC 50K CE Serv 4Y FC 24x7 E-LTU      </t>
  </si>
  <si>
    <t>JZ407AAE5</t>
  </si>
  <si>
    <t xml:space="preserve">Aruba ClearPass NL AC 50K CE Serv 5Y FC 24x7 E-LTU      </t>
  </si>
  <si>
    <t>JZ408AAE1</t>
  </si>
  <si>
    <t xml:space="preserve">Aruba ClearPass NL AC 100K CE Serv 1Y FC 24x7 E-LTU     </t>
  </si>
  <si>
    <t>JZ408AAE3</t>
  </si>
  <si>
    <t xml:space="preserve">Aruba ClearPass NL AC 100K CE Serv 3Y FC 24x7 E-LTU     </t>
  </si>
  <si>
    <t>JZ408AAE4</t>
  </si>
  <si>
    <t xml:space="preserve">Aruba ClearPass NL AC 100K CE Serv 4Y FC 24x7 E-LTU     </t>
  </si>
  <si>
    <t>JZ408AAE5</t>
  </si>
  <si>
    <t xml:space="preserve">Aruba ClearPass NL AC 100K CE Serv 5Y FC 24x7 E-LTU     </t>
  </si>
  <si>
    <t>JZ409AAE</t>
  </si>
  <si>
    <t>Aruba ClearPass NL AC 100 CE 1yr E-STU</t>
  </si>
  <si>
    <t>JZ410AAE</t>
  </si>
  <si>
    <t>Aruba ClearPass NL AC 500 CE 1yr E-STU</t>
  </si>
  <si>
    <t>JZ411AAE</t>
  </si>
  <si>
    <t>Aruba ClearPass NL AC 1K CE 1yr E-STU</t>
  </si>
  <si>
    <t>JZ412AAE</t>
  </si>
  <si>
    <t>Aruba ClearPass NL AC 2500 CE 1yr E-STU</t>
  </si>
  <si>
    <t>JZ413AAE</t>
  </si>
  <si>
    <t>Aruba ClearPass NL AC 5K CE 1yr E-STU</t>
  </si>
  <si>
    <t>JZ414AAE</t>
  </si>
  <si>
    <t>Aruba ClearPass NL AC 10K CE 1yr E-STU</t>
  </si>
  <si>
    <t>JZ415AAE</t>
  </si>
  <si>
    <t xml:space="preserve">Aruba ClearPass NL AC 25K CE 1yr E-STU  </t>
  </si>
  <si>
    <t>JZ416AAE</t>
  </si>
  <si>
    <t xml:space="preserve">Aruba ClearPass NL AC 50K CE 1yr E-STU  </t>
  </si>
  <si>
    <t>JZ417AAE</t>
  </si>
  <si>
    <t xml:space="preserve">Aruba ClearPass NL AC 100K CE 1yr E-STU </t>
  </si>
  <si>
    <t>JZ418AAE</t>
  </si>
  <si>
    <t>Aruba ClearPass NL AC 100 CE 3yr E-STU</t>
  </si>
  <si>
    <t>JZ419AAE</t>
  </si>
  <si>
    <t>Aruba ClearPass NL AC 500 CE 3yr E-STU</t>
  </si>
  <si>
    <t>JZ420AAE</t>
  </si>
  <si>
    <t>Aruba ClearPass NL AC 1K CE 3yr E-STU</t>
  </si>
  <si>
    <t>JZ421AAE</t>
  </si>
  <si>
    <t>Aruba ClearPass NL AC 2500 CE 3yr E-STU</t>
  </si>
  <si>
    <t>JZ422AAE</t>
  </si>
  <si>
    <t>Aruba ClearPass NL AC 5K CE 3yr E-STU</t>
  </si>
  <si>
    <t>JZ423AAE</t>
  </si>
  <si>
    <t>Aruba ClearPass NL AC 10K CE 3yr E-STU</t>
  </si>
  <si>
    <t>JZ424AAE</t>
  </si>
  <si>
    <t xml:space="preserve">Aruba ClearPass NL AC 25K CE 3yr E-STU  </t>
  </si>
  <si>
    <t>JZ425AAE</t>
  </si>
  <si>
    <t xml:space="preserve">Aruba ClearPass NL AC 50K CE 3yr E-STU  </t>
  </si>
  <si>
    <t>JZ426AAE</t>
  </si>
  <si>
    <t xml:space="preserve">Aruba ClearPass NL AC 100K CE 3yr E-STU </t>
  </si>
  <si>
    <t>JZ427AAE</t>
  </si>
  <si>
    <t>Aruba ClearPass NL AC 100 CE 5yr E-STU</t>
  </si>
  <si>
    <t>JZ428AAE</t>
  </si>
  <si>
    <t>Aruba ClearPass NL AC 500 CE 5yr E-STU</t>
  </si>
  <si>
    <t>JZ429AAE</t>
  </si>
  <si>
    <t>Aruba ClearPass NL AC 1K CE 5yr E-STU</t>
  </si>
  <si>
    <t>JZ430AAE</t>
  </si>
  <si>
    <t>Aruba ClearPass NL AC 2500 CE 5yr E-STU</t>
  </si>
  <si>
    <t>JZ431AAE</t>
  </si>
  <si>
    <t>Aruba ClearPass NL AC 5K CE 5yr E-STU</t>
  </si>
  <si>
    <t>JZ432AAE</t>
  </si>
  <si>
    <t>Aruba ClearPass NL AC 10K CE 5yr E-STU</t>
  </si>
  <si>
    <t>JZ433AAE</t>
  </si>
  <si>
    <t xml:space="preserve">Aruba ClearPass NL AC 25K CE 5yr E-STU  </t>
  </si>
  <si>
    <t>JZ434AAE</t>
  </si>
  <si>
    <t xml:space="preserve">Aruba ClearPass NL AC 50K CE 5yr E-STU  </t>
  </si>
  <si>
    <t>JZ435AAE</t>
  </si>
  <si>
    <t xml:space="preserve">Aruba ClearPass NL AC 100K CE 5yr E-STU </t>
  </si>
  <si>
    <t>JZ436AAE1</t>
  </si>
  <si>
    <t>Aruba ClearPass NL OB 100 USR Serv 1Y FC 24x7 E-LTU</t>
  </si>
  <si>
    <t>JZ436AAE3</t>
  </si>
  <si>
    <t>Aruba ClearPass NL OB 100 USR Serv 3Y FC 24x7 E-LTU</t>
  </si>
  <si>
    <t>JZ436AAE4</t>
  </si>
  <si>
    <t>Aruba ClearPass NL OB 100 USR Serv 4Y FC 24x7 E-LTU</t>
  </si>
  <si>
    <t>JZ436AAE5</t>
  </si>
  <si>
    <t>Aruba ClearPass NL OB 100 USR Serv 5Y FC 24x7 E-LTU</t>
  </si>
  <si>
    <t>JZ437AAE1</t>
  </si>
  <si>
    <t>Aruba ClearPass NL OB 500 USR Serv 1Y FC 24x7 E-LTU</t>
  </si>
  <si>
    <t>JZ437AAE3</t>
  </si>
  <si>
    <t>Aruba ClearPass NL OB 500 USR Serv 3Y FC 24x7 E-LTU</t>
  </si>
  <si>
    <t>JZ437AAE4</t>
  </si>
  <si>
    <t>Aruba ClearPass NL OB 500 USR Serv 4Y FC 24x7 E-LTU</t>
  </si>
  <si>
    <t>JZ437AAE5</t>
  </si>
  <si>
    <t>Aruba ClearPass NL OB 500 USR Serv 5Y FC 24x7 E-LTU</t>
  </si>
  <si>
    <t>JZ438AAE1</t>
  </si>
  <si>
    <t>Aruba ClearPass NL OB 1K USR Serv 1Y FC 24x7 E-LTU</t>
  </si>
  <si>
    <t>JZ438AAE3</t>
  </si>
  <si>
    <t>Aruba ClearPass NL OB 1K USR Serv 3Y FC 24x7 E-LTU</t>
  </si>
  <si>
    <t>JZ438AAE4</t>
  </si>
  <si>
    <t>Aruba ClearPass NL OB 1K USR Serv 4Y FC 24x7 E-LTU</t>
  </si>
  <si>
    <t>JZ438AAE5</t>
  </si>
  <si>
    <t>Aruba ClearPass NL OB 1K USR Serv 5Y FC 24x7 E-LTU</t>
  </si>
  <si>
    <t>JZ439AAE1</t>
  </si>
  <si>
    <t>Aruba ClearPass NL OB 2500 USR Serv 1Y FC 24x7 E-LTU</t>
  </si>
  <si>
    <t>JZ439AAE3</t>
  </si>
  <si>
    <t>Aruba ClearPass NL OB 2500 USR Serv 3Y FC 24x7 E-LTU</t>
  </si>
  <si>
    <t>JZ439AAE4</t>
  </si>
  <si>
    <t>Aruba ClearPass NL OB 2500 USR Serv 4Y FC 24x7 E-LTU</t>
  </si>
  <si>
    <t>JZ439AAE5</t>
  </si>
  <si>
    <t>Aruba ClearPass NL OB 2500 USR Serv 5Y FC 24x7 E-LTU</t>
  </si>
  <si>
    <t>JZ440AAE1</t>
  </si>
  <si>
    <t>Aruba ClearPass NL OB 5K USR Serv 1Y FC 24x7 E-LTU</t>
  </si>
  <si>
    <t>JZ440AAE3</t>
  </si>
  <si>
    <t>Aruba ClearPass NL OB 5K USR Serv 3Y FC 24x7 E-LTU</t>
  </si>
  <si>
    <t>JZ440AAE4</t>
  </si>
  <si>
    <t>Aruba ClearPass NL OB 5K USR Serv 4Y FC 24x7 E-LTU</t>
  </si>
  <si>
    <t>JZ440AAE5</t>
  </si>
  <si>
    <t>Aruba ClearPass NL OB 5K USR Serv 5Y FC 24x7 E-LTU</t>
  </si>
  <si>
    <t>JZ441AAE1</t>
  </si>
  <si>
    <t>Aruba ClearPass NL OB 10K USR Serv 1Y FC 24x7 E-LTU</t>
  </si>
  <si>
    <t>JZ441AAE3</t>
  </si>
  <si>
    <t>Aruba ClearPass NL OB 10K USR Serv 3Y FC 24x7 E-LTU</t>
  </si>
  <si>
    <t>JZ441AAE4</t>
  </si>
  <si>
    <t>Aruba ClearPass NL OB 10K USR Serv 4Y FC 24x7 E-LTU</t>
  </si>
  <si>
    <t>JZ441AAE5</t>
  </si>
  <si>
    <t>Aruba ClearPass NL OB 10K USR Serv 5Y FC 24x7 E-LTU</t>
  </si>
  <si>
    <t>JZ442AAE1</t>
  </si>
  <si>
    <t xml:space="preserve">Aruba ClearPass NL OB 25K USRServ 1Y FC 24x7 E-LTU     </t>
  </si>
  <si>
    <t>JZ442AAE3</t>
  </si>
  <si>
    <t xml:space="preserve">Aruba ClearPass NL OB 25K USRServ 3Y FC 24x7 E-LTU     </t>
  </si>
  <si>
    <t>JZ442AAE4</t>
  </si>
  <si>
    <t xml:space="preserve">Aruba ClearPass NL OB 25K USRServ 4Y FC 24x7 E-LTU     </t>
  </si>
  <si>
    <t>JZ442AAE5</t>
  </si>
  <si>
    <t xml:space="preserve">Aruba ClearPass NL OB 25K USRServ 5Y FC 24x7 E-LTU     </t>
  </si>
  <si>
    <t>JZ443AAE1</t>
  </si>
  <si>
    <t xml:space="preserve">Aruba ClearPass NL OB 50K USR Serv 1Y FC 24x7 E-LTU     </t>
  </si>
  <si>
    <t>JZ443AAE3</t>
  </si>
  <si>
    <t xml:space="preserve">Aruba ClearPass NL OB 50K USR Serv 3Y FC 24x7 E-LTU     </t>
  </si>
  <si>
    <t>JZ443AAE4</t>
  </si>
  <si>
    <t xml:space="preserve">Aruba ClearPass NL OB 50K USR Serv 4Y FC 24x7 E-LTU     </t>
  </si>
  <si>
    <t>JZ443AAE5</t>
  </si>
  <si>
    <t xml:space="preserve">Aruba ClearPass NL OB 50K USR Serv 5Y FC 24x7 E-LTU     </t>
  </si>
  <si>
    <t>JZ444AAE1</t>
  </si>
  <si>
    <t xml:space="preserve">Aruba ClearPass NL OB 100K USRServ 1Y FC 24x7 E-LTU    </t>
  </si>
  <si>
    <t>JZ444AAE3</t>
  </si>
  <si>
    <t xml:space="preserve">Aruba ClearPass NL OB 100K USRServ 3Y FC 24x7 E-LTU    </t>
  </si>
  <si>
    <t>JZ444AAE4</t>
  </si>
  <si>
    <t xml:space="preserve">Aruba ClearPass NL OB 100K USRServ 4Y FC 24x7 E-LTU    </t>
  </si>
  <si>
    <t>JZ444AAE5</t>
  </si>
  <si>
    <t xml:space="preserve">Aruba ClearPass NL OB 100K USRServ 5Y FC 24x7 E-LTU    </t>
  </si>
  <si>
    <t>JZ445AAE</t>
  </si>
  <si>
    <t>Aruba ClearPass NL OB 100 USR 1yr E-STU</t>
  </si>
  <si>
    <t>JZ446AAE</t>
  </si>
  <si>
    <t>Aruba ClearPass NL OB 500 USR 1yr E-STU</t>
  </si>
  <si>
    <t>JZ447AAE</t>
  </si>
  <si>
    <t>Aruba ClearPass NL OB 1K USR 1yr E-STU</t>
  </si>
  <si>
    <t>JZ448AAE</t>
  </si>
  <si>
    <t>Aruba ClearPass NL OB 2500 USR 1yr E-STU</t>
  </si>
  <si>
    <t>JZ449AAE</t>
  </si>
  <si>
    <t>Aruba ClearPass NL OB 5K USR 1yr E-STU</t>
  </si>
  <si>
    <t>JZ450AAE</t>
  </si>
  <si>
    <t>Aruba ClearPass NL OB 10K USR 1yr E-STU</t>
  </si>
  <si>
    <t>JZ451AAE</t>
  </si>
  <si>
    <t xml:space="preserve">Aruba ClearPass NL OB 25K USR 1yr E-STU </t>
  </si>
  <si>
    <t>JZ452AAE</t>
  </si>
  <si>
    <t xml:space="preserve">Aruba ClearPass NL OB 50K USR 1yr E-STU </t>
  </si>
  <si>
    <t>JZ453AAE</t>
  </si>
  <si>
    <t>Aruba ClearPass NL OB 100K USR 1yr E-STU</t>
  </si>
  <si>
    <t>JZ454AAE</t>
  </si>
  <si>
    <t>Aruba ClearPass NL OB 100 USR 3yr E-STU</t>
  </si>
  <si>
    <t>JZ455AAE</t>
  </si>
  <si>
    <t>Aruba ClearPass NL OB 500 USR 3yr E-STU</t>
  </si>
  <si>
    <t>JZ456AAE</t>
  </si>
  <si>
    <t>Aruba ClearPass NL OB 1K USR 3yr E-STU</t>
  </si>
  <si>
    <t>JZ457AAE</t>
  </si>
  <si>
    <t>Aruba ClearPass NL OB 2500 USR 3yr E-STU</t>
  </si>
  <si>
    <t>JZ458AAE</t>
  </si>
  <si>
    <t>Aruba ClearPass NL OB 5K USR 3yr E-STU</t>
  </si>
  <si>
    <t>JZ459AAE</t>
  </si>
  <si>
    <t>Aruba ClearPass NL OB 10K USR 3yr E-STU</t>
  </si>
  <si>
    <t>JZ460AAE</t>
  </si>
  <si>
    <t xml:space="preserve">Aruba ClearPass NL OB 25K USR 3yr E-STU </t>
  </si>
  <si>
    <t>JZ461AAE</t>
  </si>
  <si>
    <t xml:space="preserve">Aruba ClearPass NL OB 50K USR 3yr E-STU </t>
  </si>
  <si>
    <t>JZ462AAE</t>
  </si>
  <si>
    <t>Aruba ClearPass NL OB 100K USR 3yr E-STU</t>
  </si>
  <si>
    <t>JZ463AAE</t>
  </si>
  <si>
    <t>Aruba ClearPass NL OB 100 USR 5yr E-STU</t>
  </si>
  <si>
    <t>JZ464AAE</t>
  </si>
  <si>
    <t>Aruba ClearPass NL OB 500 USR 5yr E-STU</t>
  </si>
  <si>
    <t>JZ465AAE</t>
  </si>
  <si>
    <t>Aruba ClearPass NL OB 1K USR 5yr E-STU</t>
  </si>
  <si>
    <t>JZ466AAE</t>
  </si>
  <si>
    <t>Aruba ClearPass NL OB 2500 USR 5yr E-STU</t>
  </si>
  <si>
    <t>JZ467AAE</t>
  </si>
  <si>
    <t>Aruba ClearPass NL OB 5K USR 5yr E-STU</t>
  </si>
  <si>
    <t>JZ468AAE</t>
  </si>
  <si>
    <t>Aruba ClearPass NL OB 10K USR 5yr E-STU</t>
  </si>
  <si>
    <t>JZ469AAE</t>
  </si>
  <si>
    <t xml:space="preserve">Aruba ClearPass NL OB 25K USR 5yr E-STU </t>
  </si>
  <si>
    <t>JZ470AAE</t>
  </si>
  <si>
    <t xml:space="preserve">Aruba ClearPass NL OB 50K USR 5yr E-STU </t>
  </si>
  <si>
    <t>JZ471AAE</t>
  </si>
  <si>
    <t>Aruba ClearPass NL OB 100K USR 5yr E-STU</t>
  </si>
  <si>
    <t>JZ472AAE1</t>
  </si>
  <si>
    <t>Aruba ClearPass NL OG 100 EP Serv 1Y FC 24x7 E-LTU</t>
  </si>
  <si>
    <t>JZ472AAE3</t>
  </si>
  <si>
    <t>Aruba ClearPass NL OG 100 EP Serv 3Y FC 24x7 E-LTU</t>
  </si>
  <si>
    <t>JZ472AAE4</t>
  </si>
  <si>
    <t>Aruba ClearPass NL OG 100 EP Serv 4Y FC 24x7 E-LTU</t>
  </si>
  <si>
    <t>JZ472AAE5</t>
  </si>
  <si>
    <t>Aruba ClearPass NL OG 100 EP Serv 5Y FC 24x7 E-LTU</t>
  </si>
  <si>
    <t>JZ473AAE1</t>
  </si>
  <si>
    <t>Aruba ClearPass NL OG 500 EP Serv 1Y FC 24x7 E-LTU</t>
  </si>
  <si>
    <t>JZ473AAE3</t>
  </si>
  <si>
    <t>Aruba ClearPass NL OG 500 EP Serv 3Y FC 24x7 E-LTU</t>
  </si>
  <si>
    <t>JZ473AAE4</t>
  </si>
  <si>
    <t>Aruba ClearPass NL OG 500 EP Serv 4Y FC 24x7 E-LTU</t>
  </si>
  <si>
    <t>JZ473AAE5</t>
  </si>
  <si>
    <t>Aruba ClearPass NL OG 500 EP Serv 5Y FC 24x7 E-LTU</t>
  </si>
  <si>
    <t>JZ474AAE1</t>
  </si>
  <si>
    <t>Aruba ClearPass NL OG 1K EP Serv 1Y FC 24x7 E-LTU</t>
  </si>
  <si>
    <t>JZ474AAE3</t>
  </si>
  <si>
    <t>Aruba ClearPass NL OG 1K EP Serv 3Y FC 24x7 E-LTU</t>
  </si>
  <si>
    <t>JZ474AAE4</t>
  </si>
  <si>
    <t>Aruba ClearPass NL OG 1K EP Serv 4Y FC 24x7 E-LTU</t>
  </si>
  <si>
    <t>JZ474AAE5</t>
  </si>
  <si>
    <t>Aruba ClearPass NL OG 1K EP Serv 5Y FC 24x7 E-LTU</t>
  </si>
  <si>
    <t>JZ475AAE1</t>
  </si>
  <si>
    <t>Aruba ClearPass NL OG 2500 EP Serv 1Y FC 24x7 E-LTU</t>
  </si>
  <si>
    <t>JZ475AAE3</t>
  </si>
  <si>
    <t>Aruba ClearPass NL OG 2500 EP Serv 3Y FC 24x7 E-LTU</t>
  </si>
  <si>
    <t>JZ475AAE4</t>
  </si>
  <si>
    <t>Aruba ClearPass NL OG 2500 EP Serv 4Y FC 24x7 E-LTU</t>
  </si>
  <si>
    <t>JZ475AAE5</t>
  </si>
  <si>
    <t>Aruba ClearPass NL OG 2500 EP Serv 5Y FC 24x7 E-LTU</t>
  </si>
  <si>
    <t>JZ476AAE1</t>
  </si>
  <si>
    <t>Aruba ClearPass NL OG 5K EP Serv 1Y FC 24x7 E-LTU</t>
  </si>
  <si>
    <t>JZ476AAE3</t>
  </si>
  <si>
    <t>Aruba ClearPass NL OG 5K EP Serv 3Y FC 24x7 E-LTU</t>
  </si>
  <si>
    <t>JZ476AAE4</t>
  </si>
  <si>
    <t>Aruba ClearPass NL OG 5K EP Serv 4Y FC 24x7 E-LTU</t>
  </si>
  <si>
    <t>JZ476AAE5</t>
  </si>
  <si>
    <t>Aruba ClearPass NL OG 5K EP Serv 5Y FC 24x7 E-LTU</t>
  </si>
  <si>
    <t>JZ477AAE1</t>
  </si>
  <si>
    <t>Aruba ClearPass NL OG 10K EP Serv 1Y FC 24x7  E-LTU</t>
  </si>
  <si>
    <t>JZ477AAE3</t>
  </si>
  <si>
    <t>Aruba ClearPass NL OG 10K EP Serv 3Y FC 24x7  E-LTU</t>
  </si>
  <si>
    <t>JZ477AAE4</t>
  </si>
  <si>
    <t>Aruba ClearPass NL OG 10K EP Serv 4Y FC 24x7  E-LTU</t>
  </si>
  <si>
    <t>JZ477AAE5</t>
  </si>
  <si>
    <t>Aruba ClearPass NL OG 10K EP Serv 5Y FC 24x7  E-LTU</t>
  </si>
  <si>
    <t>JZ478AAE1</t>
  </si>
  <si>
    <t xml:space="preserve">Aruba ClearPass NL OG 25K EP Serv 1Y FC 24x7 E-LTU      </t>
  </si>
  <si>
    <t>JZ478AAE3</t>
  </si>
  <si>
    <t xml:space="preserve">Aruba ClearPass NL OG 25K EP Serv 3Y FC 24x7 E-LTU      </t>
  </si>
  <si>
    <t>JZ478AAE4</t>
  </si>
  <si>
    <t xml:space="preserve">Aruba ClearPass NL OG 25K EP Serv 4Y FC 24x7 E-LTU      </t>
  </si>
  <si>
    <t>JZ478AAE5</t>
  </si>
  <si>
    <t xml:space="preserve">Aruba ClearPass NL OG 25K EP Serv 5Y FC 24x7 E-LTU      </t>
  </si>
  <si>
    <t>JZ479AAE1</t>
  </si>
  <si>
    <t xml:space="preserve">Aruba ClearPass NL OG 50K EP Serv 1Y FC 24x7 E-LTU      </t>
  </si>
  <si>
    <t>JZ479AAE3</t>
  </si>
  <si>
    <t xml:space="preserve">Aruba ClearPass NL OG 50K EP Serv 3Y FC 24x7 E-LTU      </t>
  </si>
  <si>
    <t>JZ479AAE4</t>
  </si>
  <si>
    <t xml:space="preserve">Aruba ClearPass NL OG 50K EP Serv 4Y FC 24x7 E-LTU      </t>
  </si>
  <si>
    <t>JZ479AAE5</t>
  </si>
  <si>
    <t xml:space="preserve">Aruba ClearPass NL OG 50K EP Serv 5Y FC 24x7 E-LTU      </t>
  </si>
  <si>
    <t>JZ480AAE1</t>
  </si>
  <si>
    <t xml:space="preserve">Aruba ClearPass NL OG 100K EP Serv 1Y FC 24x7 E-LTU     </t>
  </si>
  <si>
    <t>JZ480AAE3</t>
  </si>
  <si>
    <t xml:space="preserve">Aruba ClearPass NL OG 100K EP Serv 3Y FC 24x7 E-LTU     </t>
  </si>
  <si>
    <t>JZ480AAE4</t>
  </si>
  <si>
    <t xml:space="preserve">Aruba ClearPass NL OG 100K EP Serv 4Y FC 24x7 E-LTU     </t>
  </si>
  <si>
    <t>JZ480AAE5</t>
  </si>
  <si>
    <t xml:space="preserve">Aruba ClearPass NL OG 100K EP Serv 5Y FC 24x7 E-LTU     </t>
  </si>
  <si>
    <t>JZ481AAE</t>
  </si>
  <si>
    <t>Aruba ClearPass NL OG 100 EP 1yr E-STU</t>
  </si>
  <si>
    <t>JZ482AAE</t>
  </si>
  <si>
    <t>Aruba ClearPass NL OG 500 EP 1yr E-STU</t>
  </si>
  <si>
    <t>JZ483AAE</t>
  </si>
  <si>
    <t>Aruba ClearPass NL OG 1K EP 1yr E-STU</t>
  </si>
  <si>
    <t>JZ484AAE</t>
  </si>
  <si>
    <t>Aruba ClearPass NL OG 2500 EP 1yr E-STU</t>
  </si>
  <si>
    <t>JZ485AAE</t>
  </si>
  <si>
    <t>Aruba ClearPass NL OG 5K EP 1yr E-STU</t>
  </si>
  <si>
    <t>JZ486AAE</t>
  </si>
  <si>
    <t>Aruba ClearPass NL OG 10K EP 1yr E-STU</t>
  </si>
  <si>
    <t>JZ487AAE</t>
  </si>
  <si>
    <t xml:space="preserve">Aruba ClearPass NL OG 25K EP 1yr E-STU  </t>
  </si>
  <si>
    <t>JZ488AAE</t>
  </si>
  <si>
    <t xml:space="preserve">Aruba ClearPass NL OG 50K EP 1yr E-STU  </t>
  </si>
  <si>
    <t>JZ489AAE</t>
  </si>
  <si>
    <t xml:space="preserve">Aruba ClearPass NL OG 100K EP 1yr E-STU </t>
  </si>
  <si>
    <t>JZ490AAE</t>
  </si>
  <si>
    <t>Aruba ClearPass NL OG 100 EP 3yr E-STU</t>
  </si>
  <si>
    <t>JZ491AAE</t>
  </si>
  <si>
    <t>Aruba ClearPass NL OG 500 EP 3yr E-STU</t>
  </si>
  <si>
    <t>JZ492AAE</t>
  </si>
  <si>
    <t>Aruba ClearPass NL OG 1K EP 3yr E-STU</t>
  </si>
  <si>
    <t>JZ493AAE</t>
  </si>
  <si>
    <t>Aruba ClearPass NL OG 2500 EP 3yr E-STU</t>
  </si>
  <si>
    <t>JZ494AAE</t>
  </si>
  <si>
    <t>Aruba ClearPass NL OG 5K EP 3yr E-STU</t>
  </si>
  <si>
    <t>JZ495AAE</t>
  </si>
  <si>
    <t>Aruba ClearPass NL OG 10K EP 3yr E-STU</t>
  </si>
  <si>
    <t>JZ496AAE</t>
  </si>
  <si>
    <t xml:space="preserve">Aruba ClearPass NL OG 25K EP 3yr E-STU  </t>
  </si>
  <si>
    <t>JZ497AAE</t>
  </si>
  <si>
    <t xml:space="preserve">Aruba ClearPass NL OG 50K EP 3yr E-STU  </t>
  </si>
  <si>
    <t>JZ498AAE</t>
  </si>
  <si>
    <t xml:space="preserve">Aruba ClearPass NL OG 100K EP 3yr E-STU </t>
  </si>
  <si>
    <t>Q9B58AAE1</t>
  </si>
  <si>
    <t>Aruba MC-VA-10 (RWF1) VMC FIPS/TAA Serv 1Y FC 24x7 E-LTU</t>
  </si>
  <si>
    <t>Q9B58AAE3</t>
  </si>
  <si>
    <t>Aruba MC-VA-10 (RWF1) VMC FIPS/TAA Serv 3Y FC 24x7 E-LTU</t>
  </si>
  <si>
    <t>Q9B58AAE4</t>
  </si>
  <si>
    <t>Aruba MC-VA-10 (RWF1) VMC FIPS/TAA Serv 4Y FC 24x7 E-LTU</t>
  </si>
  <si>
    <t>Q9B58AAE5</t>
  </si>
  <si>
    <t>Aruba MC-VA-10 (RWF1) VMC FIPS/TAA Serv 5Y FC 24x7 E-LTU</t>
  </si>
  <si>
    <t>Q9B90AAE1</t>
  </si>
  <si>
    <t>Aruba LIC-ACR Controller Advanced Cryptography 1 Session License Serv 1Y FC 24x7  E-LTU</t>
  </si>
  <si>
    <t>Q9B90AAE3</t>
  </si>
  <si>
    <t>Aruba LIC-ACR Controller Advanced Cryptography 1 Session License Serv 3Y FC 24x7  E-LTU</t>
  </si>
  <si>
    <t>Q9B90AAE4</t>
  </si>
  <si>
    <t>Aruba LIC-ACR Controller Advanced Cryptography 1 Session License Serv 4Y FC 24x7  E-LTU</t>
  </si>
  <si>
    <t>Q9B90AAE5</t>
  </si>
  <si>
    <t>Aruba LIC-ACR Controller Advanced Cryptography 1 Session License Serv 5Y FC 24x7  E-LTU</t>
  </si>
  <si>
    <t>Q9B94AAE1</t>
  </si>
  <si>
    <t>Aruba MC-VA-10 (RW) Cntlr 10 AP Serv 1Y FC 24x7 E-LTU</t>
  </si>
  <si>
    <t>Q9B94AAE3</t>
  </si>
  <si>
    <t>Aruba MC-VA-10 (RW) Cntlr 10 AP Serv 3Y FC 24x7 E-LTU</t>
  </si>
  <si>
    <t>Q9B94AAE4</t>
  </si>
  <si>
    <t>Aruba MC-VA-10 (RW) Cntlr 10 AP Serv 4Y FC 24x7 E-LTU</t>
  </si>
  <si>
    <t>Q9B94AAE5</t>
  </si>
  <si>
    <t>Aruba MC-VA-10 (RW) Cntlr 10 AP Serv 5Y FC 24x7 E-LTU</t>
  </si>
  <si>
    <t>R0G52AAE7</t>
  </si>
  <si>
    <t>Aruba 70xx or 90xx Gateway Foundation 7yr Sub E-STU</t>
  </si>
  <si>
    <t>R0G53AAE10</t>
  </si>
  <si>
    <t>Aruba 70xx or 90xx Gateway Foundation 10yr Sub E-STU</t>
  </si>
  <si>
    <t>R0G54AAE</t>
  </si>
  <si>
    <t>Aruba 70xx or 90xx Gateway Advanced 7yr Sub E-STU</t>
  </si>
  <si>
    <t>R0G55AAE</t>
  </si>
  <si>
    <t>Aruba 70xx or 90xx Gateway Advanced 10yr Sub E-STU</t>
  </si>
  <si>
    <t>R0G56AAE</t>
  </si>
  <si>
    <t>Aruba 70xx or 90xx Gateway Foundation Base 7y Sub E-STU</t>
  </si>
  <si>
    <t>R0G57AAE</t>
  </si>
  <si>
    <t>Aruba 70xx or 90xx Gateway Foundation Base 10y Sub E-STU</t>
  </si>
  <si>
    <t>R0G60AAE</t>
  </si>
  <si>
    <t>Aruba 72xx Gateway Foundation 7yr Sub E-STU</t>
  </si>
  <si>
    <t>R0G61AAE</t>
  </si>
  <si>
    <t>Aruba 72xx Gateway Foundation 10yr Sub E-STU</t>
  </si>
  <si>
    <t>R0G62AAE</t>
  </si>
  <si>
    <t>Aruba 72xx Gateway Advanced 7yr Sub E-STU</t>
  </si>
  <si>
    <t>R0G63AAE</t>
  </si>
  <si>
    <t>Aruba 72xx Gateway Advanced 10yr Sub E-STU</t>
  </si>
  <si>
    <t>R0X97AAE</t>
  </si>
  <si>
    <t>Aruba vGateway 500Mbps 1yr Sub E-STU</t>
  </si>
  <si>
    <t>R0X98AAE</t>
  </si>
  <si>
    <t>Aruba vGateway 500Mbps 3yr Sub E-STU</t>
  </si>
  <si>
    <t>R0X99AAE</t>
  </si>
  <si>
    <t>Aruba vGateway 500Mbps 5yr Sub E-STU</t>
  </si>
  <si>
    <t>R0Z66AAE</t>
  </si>
  <si>
    <t>Aruba ClearPass Device Insight New License for 100 Devices for 1-year E-STU</t>
  </si>
  <si>
    <t>R0Z67AAE</t>
  </si>
  <si>
    <t>Aruba ClearPass Device Insight New License for 500 Devices for 1-year E-STU</t>
  </si>
  <si>
    <t>R0Z68AAE</t>
  </si>
  <si>
    <t>Aruba ClearPass Device Insight New License for 1K Devices for 1-year E-STU</t>
  </si>
  <si>
    <t>R0Z69AAE</t>
  </si>
  <si>
    <t>Aruba ClearPass Device Insight New License for 2500 Devices for 1-year E-STU</t>
  </si>
  <si>
    <t>R0Z70AAE</t>
  </si>
  <si>
    <t>Aruba ClearPass Device Insight New License for 5K Devices for 1-year E-STU</t>
  </si>
  <si>
    <t>R0Z71AAE</t>
  </si>
  <si>
    <t>Aruba ClearPass Device Insight New License for 10K Devices for 1-year E-STU</t>
  </si>
  <si>
    <t>R0Z72AAE</t>
  </si>
  <si>
    <t>Aruba ClearPass Device Insight New License for 25K Devices for 1-year E-STU</t>
  </si>
  <si>
    <t>R0Z73AAE</t>
  </si>
  <si>
    <t>Aruba ClearPass Device Insight New License for 50K Devices for 1-year E-STU</t>
  </si>
  <si>
    <t>R0Z74AAE</t>
  </si>
  <si>
    <t>Aruba ClearPass Device Insight New License for 100K Devices for 1-year E-STU</t>
  </si>
  <si>
    <t>R0Z75AAE</t>
  </si>
  <si>
    <t>Aruba ClearPass Device Insight New License for 100 Devices for 3-year E-STU</t>
  </si>
  <si>
    <t>R0Z76AAE</t>
  </si>
  <si>
    <t>Aruba ClearPass Device Insight New License for 500 Devices for 3-year E-STU</t>
  </si>
  <si>
    <t>R0Z77AAE</t>
  </si>
  <si>
    <t>Aruba ClearPass Device Insight New License for 1K Devices for 3-year E-STU</t>
  </si>
  <si>
    <t>R0Z78AAE</t>
  </si>
  <si>
    <t>Aruba ClearPass Device Insight New License for 2500 Devices for 3-year E-STU</t>
  </si>
  <si>
    <t>R0Z79AAE</t>
  </si>
  <si>
    <t>Aruba ClearPass Device Insight New License for 5K Devices for 3-year E-STU</t>
  </si>
  <si>
    <t>R0Z80AAE</t>
  </si>
  <si>
    <t>Aruba ClearPass Device Insight New License for 10K Devices for 3-year E-STU</t>
  </si>
  <si>
    <t>R0Z81AAE</t>
  </si>
  <si>
    <t>Aruba ClearPass Device Insight New License for 25K Devices for 3-year E-STU</t>
  </si>
  <si>
    <t>R0Z82AAE</t>
  </si>
  <si>
    <t>Aruba ClearPass Device Insight New License for 50K Devices for 3-year E-STU</t>
  </si>
  <si>
    <t>R0Z83AAE</t>
  </si>
  <si>
    <t>Aruba ClearPass Device Insight New License for 100K Devices for 3-year E-STU</t>
  </si>
  <si>
    <t>R0Z84AAE</t>
  </si>
  <si>
    <t>Aruba ClearPass Device Insight New License for 100 Devices for 5-year E-STU</t>
  </si>
  <si>
    <t>R0Z85AAE</t>
  </si>
  <si>
    <t>Aruba ClearPass Device Insight New License for 500 Devices for 5-year E-STU</t>
  </si>
  <si>
    <t>R0Z86AAE</t>
  </si>
  <si>
    <t>Aruba ClearPass Device Insight New License for 1K Devices for 5-year E-STU</t>
  </si>
  <si>
    <t>R0Z87AAE</t>
  </si>
  <si>
    <t>Aruba ClearPass Device Insight New License for 2500 Devices for 5-year E-STU</t>
  </si>
  <si>
    <t>R0Z88AAE</t>
  </si>
  <si>
    <t>Aruba ClearPass Device Insight New License for 5K Devices for 5-year E-STU</t>
  </si>
  <si>
    <t>R0Z89AAE</t>
  </si>
  <si>
    <t>Aruba ClearPass Device Insight New License for 10K Devices for 5-year E-STU</t>
  </si>
  <si>
    <t>R0Z90AAE</t>
  </si>
  <si>
    <t>Aruba ClearPass Device Insight New License for 25K Devices for 5-year E-STU</t>
  </si>
  <si>
    <t>R0Z91AAE</t>
  </si>
  <si>
    <t>Aruba ClearPass Device Insight New License for 50K Devices for 5-year E-STU</t>
  </si>
  <si>
    <t>R0Z92AAE</t>
  </si>
  <si>
    <t>Aruba ClearPass Device Insight New License for 100K Devices for 5-year E-STU</t>
  </si>
  <si>
    <t>R1U35AAE1</t>
  </si>
  <si>
    <t>Aruba ClearPass NL EY 100 Serv 1Y FC 24x7 CE E-LTU</t>
  </si>
  <si>
    <t>R1U35AAE3</t>
  </si>
  <si>
    <t>Aruba ClearPass NL EY 100 Serv 3Y FC 24x7 CE E-LTU</t>
  </si>
  <si>
    <t>R1U35AAE4</t>
  </si>
  <si>
    <t>Aruba ClearPass NL EY 100 Serv 4Y FC 24x7 CE E-LTU</t>
  </si>
  <si>
    <t>R1U35AAE5</t>
  </si>
  <si>
    <t>Aruba ClearPass NL EY 100 Serv 5Y FC 24x7 CE E-LTU</t>
  </si>
  <si>
    <t>R1U36AAE1</t>
  </si>
  <si>
    <t>Aruba ClearPass NL EY 500 Serv 1Y FC 24x7 CE E-LTU</t>
  </si>
  <si>
    <t>R1U36AAE3</t>
  </si>
  <si>
    <t>Aruba ClearPass NL EY 500 Serv 3Y FC 24x7 CE E-LTU</t>
  </si>
  <si>
    <t>R1U36AAE4</t>
  </si>
  <si>
    <t>Aruba ClearPass NL EY 500 Serv 4Y FC 24x7 CE E-LTU</t>
  </si>
  <si>
    <t>R1U36AAE5</t>
  </si>
  <si>
    <t>Aruba ClearPass NL EY 500 Serv 5Y FC 24x7 CE E-LTU</t>
  </si>
  <si>
    <t>R1U37AAE1</t>
  </si>
  <si>
    <t>Aruba ClearPass NL EY 1K CE Serv 1Y FC 24x7 E-LTU</t>
  </si>
  <si>
    <t>R1U37AAE3</t>
  </si>
  <si>
    <t>Aruba ClearPass NL EY 1K CE Serv 3Y FC 24x7 E-LTU</t>
  </si>
  <si>
    <t>R1U37AAE4</t>
  </si>
  <si>
    <t>Aruba ClearPass NL EY 1K CE Serv 4Y FC 24x7 E-LTU</t>
  </si>
  <si>
    <t>R1U37AAE5</t>
  </si>
  <si>
    <t>Aruba ClearPass NL EY 1K CE Serv 5Y FC 24x7 E-LTU</t>
  </si>
  <si>
    <t>R1U38AAE1</t>
  </si>
  <si>
    <t>Aruba ClearPass NL EY 2500 CE Serv 1Y FC 24x7  E-LTU</t>
  </si>
  <si>
    <t>R1U38AAE3</t>
  </si>
  <si>
    <t>Aruba ClearPass NL EY 2500 CE Serv 3Y FC 24x7  E-LTU</t>
  </si>
  <si>
    <t>R1U38AAE4</t>
  </si>
  <si>
    <t>Aruba ClearPass NL EY 2500 CE Serv 4Y FC 24x7  E-LTU</t>
  </si>
  <si>
    <t>R1U38AAE5</t>
  </si>
  <si>
    <t>Aruba ClearPass NL EY 2500 CE Serv 5Y FC 24x7  E-LTU</t>
  </si>
  <si>
    <t>R1U39AAE1</t>
  </si>
  <si>
    <t>Aruba ClearPass NL EY 5K CE Serv 1Y FC 24x7 E-LTU</t>
  </si>
  <si>
    <t>R1U39AAE3</t>
  </si>
  <si>
    <t>Aruba ClearPass NL EY 5K CE Serv 3Y FC 24x7 E-LTU</t>
  </si>
  <si>
    <t>R1U39AAE4</t>
  </si>
  <si>
    <t>Aruba ClearPass NL EY 5K CE Serv 4Y FC 24x7 E-LTU</t>
  </si>
  <si>
    <t>R1U39AAE5</t>
  </si>
  <si>
    <t>Aruba ClearPass NL EY 5K CE Serv 5Y FC 24x7 E-LTU</t>
  </si>
  <si>
    <t>R1U40AAE1</t>
  </si>
  <si>
    <t>Aruba ClearPass NL EY 10K Serv 1Y FC 24x7 CE E-LTU</t>
  </si>
  <si>
    <t>R1U40AAE3</t>
  </si>
  <si>
    <t>Aruba ClearPass NL EY 10K Serv 3Y FC 24x7 CE E-LTU</t>
  </si>
  <si>
    <t>R1U40AAE4</t>
  </si>
  <si>
    <t>Aruba ClearPass NL EY 10K Serv 4Y FC 24x7 CE E-LTU</t>
  </si>
  <si>
    <t>R1U40AAE5</t>
  </si>
  <si>
    <t>Aruba ClearPass NL EY 10K Serv 5Y FC 24x7 CE E-LTU</t>
  </si>
  <si>
    <t>R1U41AAE1</t>
  </si>
  <si>
    <t>Aruba ClearPass NL EY 25K CE Serv 1Y FC 24x7 E-LTU</t>
  </si>
  <si>
    <t>R1U41AAE3</t>
  </si>
  <si>
    <t>Aruba ClearPass NL EY 25K CE Serv 3Y FC 24x7 E-LTU</t>
  </si>
  <si>
    <t>R1U41AAE4</t>
  </si>
  <si>
    <t>Aruba ClearPass NL EY 25K CE Serv 4Y FC 24x7 E-LTU</t>
  </si>
  <si>
    <t>R1U41AAE5</t>
  </si>
  <si>
    <t>Aruba ClearPass NL EY 25K CE Serv 5Y FC 24x7 E-LTU</t>
  </si>
  <si>
    <t>R1U42AAE1</t>
  </si>
  <si>
    <t>Aruba ClearPass NL EY 50K CE Serv 1Y FC 24x7  E-LTU</t>
  </si>
  <si>
    <t>R1U42AAE3</t>
  </si>
  <si>
    <t>Aruba ClearPass NL EY 50K CE Serv 3Y FC 24x7  E-LTU</t>
  </si>
  <si>
    <t>R1U42AAE4</t>
  </si>
  <si>
    <t>Aruba ClearPass NL EY 50K CE Serv 4Y FC 24x7  E-LTU</t>
  </si>
  <si>
    <t>R1U42AAE5</t>
  </si>
  <si>
    <t>Aruba ClearPass NL EY 50K CE Serv 5Y FC 24x7  E-LTU</t>
  </si>
  <si>
    <t>R1U43AAE1</t>
  </si>
  <si>
    <t>Aruba ClearPass NL EY 100K CE Serv 1Y FC 24x7 E-LTU</t>
  </si>
  <si>
    <t>R1U43AAE3</t>
  </si>
  <si>
    <t>Aruba ClearPass NL EY 100K CE Serv 3Y FC 24x7 E-LTU</t>
  </si>
  <si>
    <t>R1U43AAE4</t>
  </si>
  <si>
    <t>Aruba ClearPass NL EY 100K CE Serv 4Y FC 24x7 E-LTU</t>
  </si>
  <si>
    <t>R1U43AAE5</t>
  </si>
  <si>
    <t>Aruba ClearPass NL EY 100K CE Serv 5Y FC 24x7 E-LTU</t>
  </si>
  <si>
    <t>R1U44AAE1</t>
  </si>
  <si>
    <t>Aruba ClearPass NL AU 100 CE Serv 1Y FC 24x7 E-LTU</t>
  </si>
  <si>
    <t>R1U44AAE3</t>
  </si>
  <si>
    <t>Aruba ClearPass NL AU 100 CE Serv 3Y FC 24x7 E-LTU</t>
  </si>
  <si>
    <t>R1U44AAE4</t>
  </si>
  <si>
    <t>Aruba ClearPass NL AU 100 CE Serv 4Y FC 24x7 E-LTU</t>
  </si>
  <si>
    <t>R1U44AAE5</t>
  </si>
  <si>
    <t>Aruba ClearPass NL AU 100 CE Serv 5Y FC 24x7 E-LTU</t>
  </si>
  <si>
    <t>R1U45AAE1</t>
  </si>
  <si>
    <t>Aruba ClearPass NL AU 500 CE Serv 1Y FC 24x7 E-LTU</t>
  </si>
  <si>
    <t>R1U45AAE3</t>
  </si>
  <si>
    <t>Aruba ClearPass NL AU 500 CE Serv 3Y FC 24x7 E-LTU</t>
  </si>
  <si>
    <t>R1U45AAE4</t>
  </si>
  <si>
    <t>Aruba ClearPass NL AU 500 CE Serv 4Y FC 24x7 E-LTU</t>
  </si>
  <si>
    <t>R1U45AAE5</t>
  </si>
  <si>
    <t>Aruba ClearPass NL AU 500 CE Serv 5Y FC 24x7 E-LTU</t>
  </si>
  <si>
    <t>R1U46AAE1</t>
  </si>
  <si>
    <t>Aruba ClearPass NL AU 1K CE Serv 1Y FC 24x7  E-LTU</t>
  </si>
  <si>
    <t>R1U46AAE3</t>
  </si>
  <si>
    <t>Aruba ClearPass NL AU 1K CE Serv 3Y FC 24x7  E-LTU</t>
  </si>
  <si>
    <t>R1U46AAE4</t>
  </si>
  <si>
    <t>Aruba ClearPass NL AU 1K CE Serv 4Y FC 24x7  E-LTU</t>
  </si>
  <si>
    <t>R1U46AAE5</t>
  </si>
  <si>
    <t>Aruba ClearPass NL AU 1K CE Serv 5Y FC 24x7  E-LTU</t>
  </si>
  <si>
    <t>R1U47AAE1</t>
  </si>
  <si>
    <t>Aruba ClearPass NL AU 2500 CE Serv 1Y FC 24x7 E-LTU</t>
  </si>
  <si>
    <t>R1U47AAE3</t>
  </si>
  <si>
    <t>Aruba ClearPass NL AU 2500 CE Serv 3Y FC 24x7 E-LTU</t>
  </si>
  <si>
    <t>R1U47AAE4</t>
  </si>
  <si>
    <t>Aruba ClearPass NL AU 2500 CE Serv 4Y FC 24x7 E-LTU</t>
  </si>
  <si>
    <t>R1U47AAE5</t>
  </si>
  <si>
    <t>Aruba ClearPass NL AU 2500 CE Serv 5Y FC 24x7 E-LTU</t>
  </si>
  <si>
    <t>R1U48AAE1</t>
  </si>
  <si>
    <t>Aruba ClearPass NL AU 5K CE Serv 1Y FC 24x7 E-LTU</t>
  </si>
  <si>
    <t>R1U48AAE3</t>
  </si>
  <si>
    <t>Aruba ClearPass NL AU 5K CE Serv 3Y FC 24x7 E-LTU</t>
  </si>
  <si>
    <t>R1U48AAE4</t>
  </si>
  <si>
    <t>Aruba ClearPass NL AU 5K CE Serv 4Y FC 24x7 E-LTU</t>
  </si>
  <si>
    <t>R1U48AAE5</t>
  </si>
  <si>
    <t>Aruba ClearPass NL AU 5K CE Serv 5Y FC 24x7 E-LTU</t>
  </si>
  <si>
    <t>R1U49AAE1</t>
  </si>
  <si>
    <t>Aruba ClearPass NL AU 10K CE Serv 1Y FC 24x7 E-LTU</t>
  </si>
  <si>
    <t>R1U49AAE3</t>
  </si>
  <si>
    <t>Aruba ClearPass NL AU 10K CE Serv 3Y FC 24x7 E-LTU</t>
  </si>
  <si>
    <t>R1U49AAE4</t>
  </si>
  <si>
    <t>Aruba ClearPass NL AU 10K CE Serv 4Y FC 24x7 E-LTU</t>
  </si>
  <si>
    <t>R1U49AAE5</t>
  </si>
  <si>
    <t>Aruba ClearPass NL AU 10K CE Serv 5Y FC 24x7 E-LTU</t>
  </si>
  <si>
    <t>R1U50AAE1</t>
  </si>
  <si>
    <t>Aruba ClearPass NL AU 25K CE Serv 1Y FC 24x7 E-LTU</t>
  </si>
  <si>
    <t>R1U50AAE3</t>
  </si>
  <si>
    <t>Aruba ClearPass NL AU 25K CE Serv 3Y FC 24x7 E-LTU</t>
  </si>
  <si>
    <t>R1U50AAE4</t>
  </si>
  <si>
    <t>Aruba ClearPass NL AU 25K CE Serv 4Y FC 24x7 E-LTU</t>
  </si>
  <si>
    <t>R1U50AAE5</t>
  </si>
  <si>
    <t>Aruba ClearPass NL AU 25K CE Serv 5Y FC 24x7 E-LTU</t>
  </si>
  <si>
    <t>R1U51AAE1</t>
  </si>
  <si>
    <t>Aruba ClearPass NL AU 50K CE Serv 1Y FC 24x7 E-LTU</t>
  </si>
  <si>
    <t>R1U51AAE3</t>
  </si>
  <si>
    <t>Aruba ClearPass NL AU 50K CE Serv 3Y FC 24x7 E-LTU</t>
  </si>
  <si>
    <t>R1U51AAE4</t>
  </si>
  <si>
    <t>Aruba ClearPass NL AU 50K CE Serv 4Y FC 24x7 E-LTU</t>
  </si>
  <si>
    <t>R1U51AAE5</t>
  </si>
  <si>
    <t>Aruba ClearPass NL AU 50K CE Serv 5Y FC 24x7 E-LTU</t>
  </si>
  <si>
    <t>R1U52AAE1</t>
  </si>
  <si>
    <t>Aruba ClearPass NL AU 100K CE Serv 1Y FC 24x7 E-LTU</t>
  </si>
  <si>
    <t>R1U52AAE3</t>
  </si>
  <si>
    <t>Aruba ClearPass NL AU 100K CE Serv 3Y FC 24x7 E-LTU</t>
  </si>
  <si>
    <t>R1U52AAE4</t>
  </si>
  <si>
    <t>Aruba ClearPass NL AU 100K CE Serv 4Y FC 24x7 E-LTU</t>
  </si>
  <si>
    <t>R1U52AAE5</t>
  </si>
  <si>
    <t>Aruba ClearPass NL AU 100K CE Serv 5Y FC 24x7 E-LTU</t>
  </si>
  <si>
    <t>R3V73AAE</t>
  </si>
  <si>
    <t>Aruba Virtual Gateway 2Gbps 1yr Sub E-STU</t>
  </si>
  <si>
    <t>R3V74AAE</t>
  </si>
  <si>
    <t>Aruba Virtual Gateway 2Gbps 3yr Sub E-STU</t>
  </si>
  <si>
    <t>R3V75AAE</t>
  </si>
  <si>
    <t>Aruba Virtual Gateway 2Gbps 5yr Sub E-STU</t>
  </si>
  <si>
    <t>R3V76AAE</t>
  </si>
  <si>
    <t>Aruba Virtual Gateway 4Gbps 1yr Sub E-STU</t>
  </si>
  <si>
    <t>R3V77AAE</t>
  </si>
  <si>
    <t>Aruba Virtual Gateway 4Gbps 3yr Sub E-STU</t>
  </si>
  <si>
    <t>R3V78AAE</t>
  </si>
  <si>
    <t>Aruba Virtual Gateway 4Gbps 5yr Sub E-STU</t>
  </si>
  <si>
    <t>R4D93AAE</t>
  </si>
  <si>
    <t>Aruba 90xx Gateway Foundation Base plus Security 1yr Sub E-STU</t>
  </si>
  <si>
    <t>R4D94AAE</t>
  </si>
  <si>
    <t>Aruba 90xx Gateway Foundation Base plus Security 3yr Sub E-STU</t>
  </si>
  <si>
    <t>R4D95AAE</t>
  </si>
  <si>
    <t>Aruba 90xx Gateway Foundation Base plus Security 5yr Sub E-STU</t>
  </si>
  <si>
    <t>R4D96AAE</t>
  </si>
  <si>
    <t>Aruba 90xx Gateway Foundation Base plus Security 7yr Sub E-STU</t>
  </si>
  <si>
    <t>R4D97AAE</t>
  </si>
  <si>
    <t>Aruba 90xx Gateway Foundation Base plus Security 10yr Sub E-STU</t>
  </si>
  <si>
    <t>R4D98AAE</t>
  </si>
  <si>
    <t>Aruba 90xx Gateway Foundation plus Security 1yr Sub E-STU</t>
  </si>
  <si>
    <t>R4D99AAE</t>
  </si>
  <si>
    <t>Aruba 90xx Gateway Foundation plus Security 3yr Sub E-STU</t>
  </si>
  <si>
    <t>R4E00AAE</t>
  </si>
  <si>
    <t>Aruba 90xx Gateway Foundation plus Security 5yr Sub E-STU</t>
  </si>
  <si>
    <t>R4E01AAE</t>
  </si>
  <si>
    <t>Aruba 90xx Gateway Foundation plus Security 7yr Sub E-STU</t>
  </si>
  <si>
    <t>R4E02AAE</t>
  </si>
  <si>
    <t>Aruba 90xx Gateway Foundation plus Security 10yr Sub E-STU</t>
  </si>
  <si>
    <t>R4E03AAE1</t>
  </si>
  <si>
    <t>Aruba 90xx Gateway Advance plus Security 1yr Sub E-STU</t>
  </si>
  <si>
    <t>R4E03AAE3</t>
  </si>
  <si>
    <t>Aruba 90xx Gateway Advance plus Security 3yr Sub E-STU</t>
  </si>
  <si>
    <t>R4E05AAE</t>
  </si>
  <si>
    <t>Aruba 90xx Gateway Advance plus Security 5yr Sub E-STU</t>
  </si>
  <si>
    <t>R4E06AAE</t>
  </si>
  <si>
    <t>Aruba 90xx Gateway Advance plus Security 7yr Sub E-STU</t>
  </si>
  <si>
    <t>R4E07AAE</t>
  </si>
  <si>
    <t>Aruba 90xx Gateway Advance plus Security 10yr Sub E-STU</t>
  </si>
  <si>
    <t>R4W97AAE</t>
  </si>
  <si>
    <t>Aruba 1yr UXI Cloud Subscription E-STU</t>
  </si>
  <si>
    <t>R4W98AAE</t>
  </si>
  <si>
    <t>Aruba 3yr UXI Cloud Subscription E-STU</t>
  </si>
  <si>
    <t>R4W99AAE</t>
  </si>
  <si>
    <t>Aruba 5yr UXI Cloud Subscription E-STU</t>
  </si>
  <si>
    <t>R4X00AAE</t>
  </si>
  <si>
    <t>Aruba 1yr UXI Sensor LTE Subscription E-STU</t>
  </si>
  <si>
    <t>R4X01AAE</t>
  </si>
  <si>
    <t>Aruba 3yr UXI Sensor LTE Subscription E-STU</t>
  </si>
  <si>
    <t>R4X02AAE</t>
  </si>
  <si>
    <t>Aruba 5yr UXI Sensor LTE Subscription E-STU</t>
  </si>
  <si>
    <t>R6J45AAE</t>
  </si>
  <si>
    <t>Zerto Virtual Enterprise Cloud Edition 25 VM E-LTU</t>
  </si>
  <si>
    <t>R6J46AAE</t>
  </si>
  <si>
    <t>Zerto Virtual Enterprise Cloud Edition 100 VM E-LTU</t>
  </si>
  <si>
    <t>R6J57AAE</t>
  </si>
  <si>
    <t>Zerto Migration Software E-LTU</t>
  </si>
  <si>
    <t>R6J70AAE</t>
  </si>
  <si>
    <t>Zerto Virtual Replication to Enterprise Cloud Edition Upgrade Service</t>
  </si>
  <si>
    <t>R6J72AAE</t>
  </si>
  <si>
    <t>Zerto Virtual Enterprise Cloud Edition 1 VM E-LTU</t>
  </si>
  <si>
    <t>R6J81AAE</t>
  </si>
  <si>
    <t>Zerto Virtual Enterprise Cloud Edition 1 VM 1yr Add-on Subscription and Premium Maintenance E-LTU</t>
  </si>
  <si>
    <t>R6J82AAE</t>
  </si>
  <si>
    <t>Zerto Virtual Enterprise Cloud Edition 25 VM 1yr Add-on Subscription and Premium Maintenance E-LTU</t>
  </si>
  <si>
    <t>R6J83AAE</t>
  </si>
  <si>
    <t>Zerto Virtual Enterprise Cloud Edition 100 VM 1yr Add-on Subscription and Premium Maintenance E-LTU</t>
  </si>
  <si>
    <t>R6J88AAE</t>
  </si>
  <si>
    <t>Zerto Virtual Enterprise Cloud Edition 1 VM 3yr Subscription and Premium Maintenance E-LTU</t>
  </si>
  <si>
    <t>R6J89AAE</t>
  </si>
  <si>
    <t>Zerto Virtual Enterprise Cloud Edition 25 VM 3yr Subscription and Premium Maintenance E-LTU</t>
  </si>
  <si>
    <t>R6J90AAE</t>
  </si>
  <si>
    <t>Zerto Virtual Enterprise Cloud Edition 100 VM 3yr Subscription and Premium Maintenance E-LTU</t>
  </si>
  <si>
    <t>R6J95AAE</t>
  </si>
  <si>
    <t>Zerto Virtual Enterprise Cloud Edition 1 VM 5yr Subscription and Premium Maintenance E-LTU</t>
  </si>
  <si>
    <t>R6J96AAE</t>
  </si>
  <si>
    <t>Zerto Virtual Enterprise Cloud Edition 25 VM 5yr Subscription and Premium Maintenance E-LTU</t>
  </si>
  <si>
    <t>R6J97AAE</t>
  </si>
  <si>
    <t>Zerto Virtual Enterprise Cloud Edition 100 VM 5yr Subscription and Premium Maintenance E-LTU</t>
  </si>
  <si>
    <t>R6U58AAE</t>
  </si>
  <si>
    <t>Aruba COP Campus Gateway Ctr Foundation 1yr Sub E-STU</t>
  </si>
  <si>
    <t>R6U59AAE</t>
  </si>
  <si>
    <t>Aruba COP Campus Gateway Ctr Foundation 3yr Sub E-STU</t>
  </si>
  <si>
    <t>R6U60AAE</t>
  </si>
  <si>
    <t>Aruba COP Campus Gateway Ctr Foundation 5yr Sub E-STU</t>
  </si>
  <si>
    <t>R6U61AAE</t>
  </si>
  <si>
    <t>Aruba COP Campus Gateway Ctr Foundation 7yr Sub E-STU</t>
  </si>
  <si>
    <t>R6U62AAE</t>
  </si>
  <si>
    <t>Aruba COP Campus Gateway Ctr Foundation 10yr Sub E-STU</t>
  </si>
  <si>
    <t>R6U63AAE</t>
  </si>
  <si>
    <t>Aruba COP AP Foundation 1yr Sub E-STU</t>
  </si>
  <si>
    <t>R6U64AAE</t>
  </si>
  <si>
    <t>Aruba COP AP Foundation 3yr Sub E-STU</t>
  </si>
  <si>
    <t>R6U65AAE</t>
  </si>
  <si>
    <t>Aruba COP AP Foundation 5yr Sub E-STU</t>
  </si>
  <si>
    <t>R6U66AAE</t>
  </si>
  <si>
    <t>Aruba COP AP Foundation 7yr Sub E-STU</t>
  </si>
  <si>
    <t>R6U67AAE</t>
  </si>
  <si>
    <t>Aruba COP AP Foundation 10yr Sub E-STU</t>
  </si>
  <si>
    <t>R6U73AAE</t>
  </si>
  <si>
    <t>Aruba COP Switch 25xx/6100 Foundation 1yr Sub E-STU</t>
  </si>
  <si>
    <t>R6U74AAE</t>
  </si>
  <si>
    <t>Aruba COP Switch 25xx/6100 Foundation 3yr Sub E-STU</t>
  </si>
  <si>
    <t>R6U75AAE</t>
  </si>
  <si>
    <t>Aruba COP Switch 25xx/6100 Foundation 5yr Sub E-STU</t>
  </si>
  <si>
    <t>R6U76AAE</t>
  </si>
  <si>
    <t>Aruba COP Switch 25xx/6100 Foundation 7yr Sub E-STU</t>
  </si>
  <si>
    <t>R6U77AAE</t>
  </si>
  <si>
    <t>Aruba COP Switch 25xx/6100 Foundation 10yr Sub E-STU</t>
  </si>
  <si>
    <t>R6U78AAE</t>
  </si>
  <si>
    <t>Aruba COP Switch 62xx/29xx Foundation 1yr Sub E-STU</t>
  </si>
  <si>
    <t>R6U79AAE</t>
  </si>
  <si>
    <t>Aruba COP Switch 62xx/29xx Foundation 3yr Sub E-STU</t>
  </si>
  <si>
    <t>R6U80AAE</t>
  </si>
  <si>
    <t>Aruba COP Switch 62xx/29xx Foundation 5yr Sub E-STU</t>
  </si>
  <si>
    <t>R6U81AAE</t>
  </si>
  <si>
    <t>Aruba COP Switch 62xx/29xx Foundation 7yr Sub E-STU</t>
  </si>
  <si>
    <t>R6U82AAE</t>
  </si>
  <si>
    <t>Aruba COP Switch 62xx/29xx Foundation 10yr Sub E-STU</t>
  </si>
  <si>
    <t>R6U83AAE</t>
  </si>
  <si>
    <t>Aruba COP Switch 63xx/38xx Foundation 1yr Sub E-STU</t>
  </si>
  <si>
    <t>R6U84AAE</t>
  </si>
  <si>
    <t>Aruba COP Switch 63xx/38xx Foundation 3yr Sub E-STU</t>
  </si>
  <si>
    <t>R6U85AAE</t>
  </si>
  <si>
    <t>Aruba COP Switch 63xx/38xx Foundation 5yr Sub E-STU</t>
  </si>
  <si>
    <t>R6U86AAE</t>
  </si>
  <si>
    <t>Aruba COP Switch 63xx/38xx Foundation 7yr Sub E-STU</t>
  </si>
  <si>
    <t>R6U87AAE</t>
  </si>
  <si>
    <t>Aruba COP Switch 63xx/38xx Foundation 10yr Sub E-STU</t>
  </si>
  <si>
    <t>R6U88AAE</t>
  </si>
  <si>
    <t>Aruba COP Switch 84xx/83xx/64xx/54xx Foundation 1yr Sub E-STU</t>
  </si>
  <si>
    <t>R6U89AAE</t>
  </si>
  <si>
    <t>Aruba COP Switch 84xx/83xx/64xx/54xx Foundation 3yr Sub E-STU</t>
  </si>
  <si>
    <t>R6U90AAE</t>
  </si>
  <si>
    <t>Aruba COP Switch 84xx/83xx/64xx/54xx Foundation 5yr Sub E-STU</t>
  </si>
  <si>
    <t>R6U91AAE</t>
  </si>
  <si>
    <t>Aruba COP Switch 84xx/83xx/64xx/54xx Foundation 7yr Sub E-STU</t>
  </si>
  <si>
    <t>R6U92AAE</t>
  </si>
  <si>
    <t>Aruba COP Switch 84xx/83xx/64xx/54xx Foundation 10yr Sub E-STU</t>
  </si>
  <si>
    <t>R7G99AAE</t>
  </si>
  <si>
    <t>Aruba Fabric Composer DMS SW T4 1yr Sub E-STU</t>
  </si>
  <si>
    <t>R7H00AAE</t>
  </si>
  <si>
    <t>Aruba Fabric Composer DMS SW T4 3yr Sub E-STU</t>
  </si>
  <si>
    <t>R7H01AAE</t>
  </si>
  <si>
    <t>Aruba Fabric Composer DMS SW T4 5yr Sub E-STU</t>
  </si>
  <si>
    <t>R7H02AAE</t>
  </si>
  <si>
    <t>Aruba Fabric Composer DMS SW T4 7yr Sub E-STU</t>
  </si>
  <si>
    <t>R7H03AAE</t>
  </si>
  <si>
    <t>Aruba Fabric Composer DMS SW T4 10yr Sub E-STU</t>
  </si>
  <si>
    <t>R7K63AAE</t>
  </si>
  <si>
    <t>Zerto Data Protection 1 VM Perpetual E-LTU</t>
  </si>
  <si>
    <t>R7K66AAE</t>
  </si>
  <si>
    <t>Zerto Data Protection 1 VM 1-year Subscription and Premium Maintenance E-LTU</t>
  </si>
  <si>
    <t>R7K67AAE</t>
  </si>
  <si>
    <t>Zerto Data Protection 1 VM 2-year Subscription and Premium Maintenance E-LTU</t>
  </si>
  <si>
    <t>R7K68AAE</t>
  </si>
  <si>
    <t>Zerto Data Protection 1 VM 3-year Subscription and Premium Maintenance E-LTU</t>
  </si>
  <si>
    <t>R7K69AAE</t>
  </si>
  <si>
    <t>Zerto Data Protection 1 VM 4-year Subscription and Premium Maintenance E-LTU</t>
  </si>
  <si>
    <t>R7K70AAE</t>
  </si>
  <si>
    <t>Zerto Data Protection 1 VM 5-year Subscription and Premium Maintenance E-LTU</t>
  </si>
  <si>
    <t>R7K71AAE</t>
  </si>
  <si>
    <t>Zerto Data Protection 1 VM 1-month Subscription and Premium Maintenance E-LTU</t>
  </si>
  <si>
    <t>R7K72AAE</t>
  </si>
  <si>
    <t>Zerto Data Protection to Virtual Enterprise Cloud Edition Upgrade 1 VM Perpetual E-LTU</t>
  </si>
  <si>
    <t>R7K82AAE</t>
  </si>
  <si>
    <t>Zerto Virtual Enterprise Cloud Edition 1 VM 1-month Subscription and Premium Maintenance E-LTU</t>
  </si>
  <si>
    <t>R7K83AAE</t>
  </si>
  <si>
    <t>Zerto Virtual Enterprise Cloud Edition 25 VM 1-month Subscription and Premium Maintenance E-LTU</t>
  </si>
  <si>
    <t>R7K84AAE</t>
  </si>
  <si>
    <t>Zerto Virtual Enterprise Cloud Edition 100 VM 1-month Subscription and Premium Maintenance E-LTU</t>
  </si>
  <si>
    <t>R8N62AAE</t>
  </si>
  <si>
    <t>Zerto Quick LTR Remote Service</t>
  </si>
  <si>
    <t>R8N63AAE</t>
  </si>
  <si>
    <t>Zerto Quick Backup Remote Service</t>
  </si>
  <si>
    <t>R8N64AAE</t>
  </si>
  <si>
    <t>Zerto Quick Cloud Remote Service</t>
  </si>
  <si>
    <t>R8N65AAE</t>
  </si>
  <si>
    <t>Zerto Quick Start Remote Service</t>
  </si>
  <si>
    <t>R8N66AAE</t>
  </si>
  <si>
    <t>Zerto Quick Migration Remote Service</t>
  </si>
  <si>
    <t>R8N67AAE</t>
  </si>
  <si>
    <t>Zerto Quick Advisor Remote Service</t>
  </si>
  <si>
    <t>R8N68AAE</t>
  </si>
  <si>
    <t>Zerto Structured TAM 1-year 12x5 Remote Service</t>
  </si>
  <si>
    <t>R8N69AAE</t>
  </si>
  <si>
    <t>Zerto Virtual TAM 1-year 8x5 Remote Service</t>
  </si>
  <si>
    <t>R8N70AAE</t>
  </si>
  <si>
    <t>Zerto Health Check per Site Service</t>
  </si>
  <si>
    <t>R8N71AAE</t>
  </si>
  <si>
    <t>Zerto Custom per Phase Professional Service</t>
  </si>
  <si>
    <t>R8N77AAE</t>
  </si>
  <si>
    <t>Zerto for Kubernetes Enterprise Cloud Edition 8 vCPU E-LTU</t>
  </si>
  <si>
    <t>R8N78AAE</t>
  </si>
  <si>
    <t>Zerto for Kubernetes Enterprise Cloud Edition 8 vCPU 1yr Subscription and Premium Maintenance E-LTU</t>
  </si>
  <si>
    <t>R8N79AAE</t>
  </si>
  <si>
    <t>Zerto for Kubernetes Enterprise Cloud Edition 8 vCPU 1mo Subscription and Premium Maintenance E-LTU</t>
  </si>
  <si>
    <t>R8N80AAE</t>
  </si>
  <si>
    <t>Zerto for Kubernetes Data Protection 8 vCPU E-LTU</t>
  </si>
  <si>
    <t>R8N81AAE</t>
  </si>
  <si>
    <t>Zerto for Kubernetes Data Protection 8 vCPU 1-year Subscription and Premium Maintenance E-LTU</t>
  </si>
  <si>
    <t>R8N82AAE</t>
  </si>
  <si>
    <t>Zerto for Kubernetes Data Protection 8 vCPU 1-month Subscription and Premium Maintenance E-LTU</t>
  </si>
  <si>
    <t>R8N83AAE</t>
  </si>
  <si>
    <t>Zerto for Kubernetes Data Protection to Enterprise Cloud Edition Upgrade E-LTU</t>
  </si>
  <si>
    <t>R8N84AAE</t>
  </si>
  <si>
    <t>Zerto for Kubernetes Data Protection to ECE Upg 1-month Subscription and Premium Maintenance E-LTU</t>
  </si>
  <si>
    <t>SG-Skannia</t>
  </si>
  <si>
    <t>SISTM-SP-00-Z1</t>
  </si>
  <si>
    <t>Software SISTM</t>
  </si>
  <si>
    <t>Software web  SISTM® Platform suscripción 1 año</t>
  </si>
  <si>
    <t>Único pago</t>
  </si>
  <si>
    <t>SISTM-RI-00-Z1</t>
  </si>
  <si>
    <t>Software web  SISTM® Platform.  Configuración: infraestructura vial para visualización, envío  y seguimiento cumple según requerimiento normativa vigente SINC del MT Vias primer orden, Características: Guía MT,  sobre territorios previamente definidos Entrega por medio de SISTM® Road inventory,  Mínimo: 150 Km. Unidad de medida: COP$/Km/año. Licencia de uso interno para la entidad. Aplican condiciones técnicas y comerciales descritas en la propuesta.</t>
  </si>
  <si>
    <t>SISTM-RI-01-Z1</t>
  </si>
  <si>
    <t>Software web  SISTM® Platform.  Configuración: infraestructura vial para visualización, envío  y seguimiento cumple según requerimiento normativa vigente SINC del MT Vias segundo orden, Características: Guía MT,  sobre territorios previamente definidos Entrega por medio de SISTM® Road inventory,  Mínimo: 150 Km. Unidad de medida: COP$/Km/año. Licencia de uso interno para la entidad. Aplican condiciones técnicas y comerciales descritas en la propuesta.</t>
  </si>
  <si>
    <t>SISTM-RI-02-Z1</t>
  </si>
  <si>
    <t>Software web  SISTM® Platform.  Configuración: infraestructura vial para visualización, envío  y seguimiento cumple según requerimiento normativa vigente SINC del MT Vias tercer orden, Características: Guía MT,  sobre territorios previamente definidos Entrega por medio de SISTM® Road inventory,  Mínimo: 150 Km. Unidad de medida: COP$/Km/año. Licencia de uso interno para la entidad. Aplican condiciones técnicas y comerciales descritas en la propuesta.</t>
  </si>
  <si>
    <t>SISTM-RI-03-Z1</t>
  </si>
  <si>
    <t>Software web  SISTM® Platform.  Configuración: infraestructura vial para visualización, envío  y seguimiento según requerimiento normativa vigente  Vias urbanas, Características: Guía MT,  sobre territorios previamente definidos Entrega por medio de SISTM® Road inventory,  Mínimo: 150 Km. Unidad de medida: COP$/Km/año. Licencia de uso interno para la entidad. Aplican condiciones técnicas y comerciales descritas en la propuesta.</t>
  </si>
  <si>
    <t>SISTM-RI-04-Z1</t>
  </si>
  <si>
    <t>Software web  SISTM® Platform.  Configuración: infraestructura vial para visualización, envío  y seguimiento según requerimiento normativa vigente, Características: Guía MT categorización vial,  sobre territorios previamente definidos Entrega por medio de SISTM® Road inventory,  Mínimo: 150 Km. Unidad de medida: COP$/Km/año. Licencia de uso interno para la entidad. Aplican condiciones técnicas y comerciales descritas en la propuesta.</t>
  </si>
  <si>
    <t>SISTM-RISV-00-Z1</t>
  </si>
  <si>
    <t>Software web  SISTM® Platform.  Configuración: Señalización vial para visualización, envío  y seguimiento cumple según requerimiento normativa vigente Vias primer orden, Características: Guía MT,  sobre territorios previamente definidos Entrega por medio de SISTM® Road inventory,  Mínimo: 150 Km. Unidad de medida: COP$/Km/año. Licencia de uso interno para la entidad. Aplican condiciones técnicas y comerciales descritas en la propuesta.</t>
  </si>
  <si>
    <t>SISTM-RISV-01-Z1</t>
  </si>
  <si>
    <t>Software web  SISTM® Platform.  Configuración: Señalización vial para visualización, envío  y seguimiento cumple según requerimiento normativa vigente Vias segundo orden, Características: Guía MT,  sobre territorios previamente definidos Entrega por medio de SISTM® Road inventory,  Mínimo: 150 Km. Unidad de medida: COP$/Km/año. Licencia de uso interno para la entidad. Aplican condiciones técnicas y comerciales descritas en la propuesta.</t>
  </si>
  <si>
    <t>SISTM-RISV-02-Z1</t>
  </si>
  <si>
    <t>Software web  SISTM® Platform.  Configuración: Señalización vial para visualización, envío  y seguimiento cumple según requerimiento normativa vigente Vias tercer orden, Características: Guía MT,  sobre territorios previamente definidos Entrega por medio de SISTM® Road inventory,  Mínimo: 150 Km. Unidad de medida: COP$/Km/año. Licencia de uso interno para la entidad. Aplican condiciones técnicas y comerciales descritas en la propuesta.</t>
  </si>
  <si>
    <t>SISTM-RISV-03-Z1</t>
  </si>
  <si>
    <t>Software web  SISTM® Platform.  Configuración: Señalización vial para visualización, envío  y seguimiento cumple según requerimiento normativa vigente  Vias urbanas, Características: Guía MT,  sobre territorios previamente definidos Entrega por medio de SISTM® Road inventory,  Mínimo: 150 Km. Unidad de medida: COP$/Km/año. Licencia de uso interno para la entidad. Aplican condiciones técnicas y comerciales descritas en la propuesta.</t>
  </si>
  <si>
    <t>SISTM-RIOA-00-Z1</t>
  </si>
  <si>
    <t>Software web  SISTM® Platform.  Configuración: Otros activos para visualización, envío  y seguimiento según normativa vigente  Vias primer orden, Características: Guía MT,  sobre territorios previamente definidos Entrega por medio de SISTM® Road inventory,  Mínimo: 150 Km. Unidad de medida: COP$/Km/año. Licencia de uso interno para la entidad. Aplican condiciones técnicas y comerciales descritas en la propuesta.</t>
  </si>
  <si>
    <t>SISTM-RIOA-01-Z1</t>
  </si>
  <si>
    <t>Software web  SISTM® Platform.  Configuración: Otros activos para visualización, envío  y seguimiento según normativa vigente  Vias segundo orden, Características: Guía MT,  sobre territorios previamente definidos Entrega por medio de SISTM® Road inventory,  Mínimo: 150 Km. Unidad de medida: COP$/Km/año. Licencia de uso interno para la entidad. Aplican condiciones técnicas y comerciales descritas en la propuesta.</t>
  </si>
  <si>
    <t>SISTM-RIOA-02-Z1</t>
  </si>
  <si>
    <t>Software web  SISTM® Platform.  Configuración: Otros activos para visualización, envío  y seguimiento según normativa vigente  Vias tercer orden, Características: Guía MT,  sobre territorios previamente definidos Entrega por medio de SISTM® Road inventory,  Mínimo: 150 Km. Unidad de medida: COP$/Km/año. Licencia de uso interno para la entidad. Aplican condiciones técnicas y comerciales descritas en la propuesta.</t>
  </si>
  <si>
    <t>SISTM-RIOA-03-Z1</t>
  </si>
  <si>
    <t>Software web  SISTM® Platform.  Configuración: Otros activos para visualización, envío  y seguimiento según normativa vigente  Vias urbanas, Características: Guía MT,  sobre territorios previamente definidos Entrega por medio de SISTM® Road inventory,  Mínimo: 150 Km. Unidad de medida: COP$/Km/año. Licencia de uso interno para la entidad. Aplican condiciones técnicas y comerciales descritas en la propuesta.</t>
  </si>
  <si>
    <t>SISTM-INOS-03-Z1</t>
  </si>
  <si>
    <t>Software web  SISTM® Platform.  Configuración: Integración otros sistemas. Aplican condiciones técnicas y comerciales descritas en la propuesta.</t>
  </si>
  <si>
    <t>integración</t>
  </si>
  <si>
    <t>Virtual</t>
  </si>
  <si>
    <t>SISTM-SAD-00-Z1</t>
  </si>
  <si>
    <t>Software web  SISTM® Platform, Paquete de datos de la infraestructura vial para visualización y descarga, archivo disponible para integración con sistemas SIG del cliente en formato sheapefile Suscripción por un año Entrega por medio de SISTM® Analytics API Se debe adquirir en conjunto con SISTM® Road inventory.</t>
  </si>
  <si>
    <t>SISTM-ADIP-00-Z1</t>
  </si>
  <si>
    <t>Software web  SISTM® Platform. Configuración:  diagnostico infraestructura vial  Primaria, secundaria, terciaria y urbana Características: físicas y estado de cada una de las carreteras, estado de cada una de las obras de drenaje, tipo puentes, box coulvert, cunetas, alcantarillas, de cada una de las obras de contención, tipo pontones, muros (concreto y/o gaviones, y/o tierra armada, etc.), Sitios críticos, tales como inestabilidad de banca, inestabilidad de taludes, estrechamientos, accidentalidad, georreferenciada,  sobre territorios previamente definidos Entrega por medio de SISTM® Analytics API Se debe adquirir en conjunto con SISTM® Road inventory,  Mínimo: 150 Km. Unidad de medida: COP$/Km/año. Licencia de uso interno para la entidad. Aplican condiciones técnicas y comerciales descritas en la propuesta.</t>
  </si>
  <si>
    <t>SISTM-ADSP-00-Z1</t>
  </si>
  <si>
    <t>Software web  SISTM® Platform. Configuración:  diagnostico  seguridad vial infraestructura vial  primaria, secundaria, terciaria y urbana, Características: físicas y estado de cada uno de los elementos de seguridad vial existente, tipo defensas metálicas, señalización vial institucional, reductores de velocidad, accidentalidad, georreferenciada, sobre territorios previamente definidos Entrega por medio de SISTM® Analytics API Se debe adquirir en conjunto con SISTM® Road inventory,  Mínimo: 150 Km. Unidad de medida: COP$/Km/año. Licencia de uso interno para la entidad. Aplican condiciones técnicas y comerciales descritas en la propuesta.</t>
  </si>
  <si>
    <t>SISTM-AEPP-00-Z1</t>
  </si>
  <si>
    <t>Software web  SISTM® Platform. Configuración:  Evaluación funcional del pavimento infraestructura vial  primaria, secundaria, terciaria y urbana Características: físicas, georreferenciada, sobre territorios previamente definidos Entrega por medio de SISTM® Analytics API Se debe adquirir en conjunto con SISTM® Road inventory,  Mínimo: 150 Km. Unidad de medida: COP$/Km/año. Licencia de uso interno para la entidad. Aplican condiciones técnicas y comerciales descritas en la propuesta.</t>
  </si>
  <si>
    <t>SISTM-AESP-00-Z1</t>
  </si>
  <si>
    <t>Software web  SISTM® Platform. Configuración: Evaluación superficial de la capa de rodadura infraestructura vial  primaria, secundaria, terciaria y urbana Características: físicas, IRI, georreferenciada, sobre territorios previamente definidos Entrega por medio de SISTM® Analytics API Se debe adquirir en conjunto con SISTM® Road inventory,  Mínimo: 150 Km. Unidad de medida: COP$/Km/año. Licencia de uso interno para la entidad. Aplican condiciones técnicas y comerciales descritas en la propuesta.</t>
  </si>
  <si>
    <t>SISTM-AIMH-00-Z1</t>
  </si>
  <si>
    <t>Software web  SISTM® Platform. Migración información histórica infraestructura vial del cliente a través de SISTM® Road inventory, visualización.</t>
  </si>
  <si>
    <t>SISTM-AIIH-00-Z1</t>
  </si>
  <si>
    <t>Software web  SISTM® Platform. Configuración Informe histórico infraestructura vial Características; Evolución de la infraestructura a través de  SISTM® Analytics API y SISTM® Reports</t>
  </si>
  <si>
    <t>SISTM-AIIC-00-Z1</t>
  </si>
  <si>
    <t>Software web  SISTM® Platform. Configuración Informe Características del tránsito (Tipo de transito y TPD) a través de  SISTM® Analytics API y SISTM® Reports Se debe adquirir en conjunto con SISTM® Road inventory.</t>
  </si>
  <si>
    <t>SISTM-AIIC-01-Z1</t>
  </si>
  <si>
    <t>Software web  SISTM® Platform. Configuración Informe canteras materiales carreteras (certificadas y no certificadas) a través de  SISTM® Analytics API y SISTM® Reports Se debe adquirir en conjunto con SISTM® Road inventory.</t>
  </si>
  <si>
    <t>SISTM-AIIC-02-Z1</t>
  </si>
  <si>
    <t>Software web  SISTM® Platform. Configuración Informe Índice CBR -capacidad de soporte a través de  SISTM® Analytics API y SISTM® Reports Se debe adquirir en conjunto con SISTM® Road inventory.</t>
  </si>
  <si>
    <t>SISTM-APPM-00-Z1</t>
  </si>
  <si>
    <t>Software SISTM® App usuarios infraestructura vial Características información estado de la vía suscripción 1 año.</t>
  </si>
  <si>
    <t>SISTM-AMI-00-Z1</t>
  </si>
  <si>
    <t>Software web  SISTM® Platform. Configuración: Gestión Activos, Características, estado y registro fotográfico activos desplegados a lo largo de la red vial.Identificación y georreferenciación de activos desplegados a lo largo de la red vial (Acueducto y alcantarillado, energía, comunicaciones, televisión, petróleo, gas, otros)Información georreferenciada de los activos a través de  SISTM® Asset Management, Licencia de uso interno para la entidad. Suscripción por un año</t>
  </si>
  <si>
    <t>SISTM-AM-03-Z1</t>
  </si>
  <si>
    <t>Software web  SISTM® Platform. Configurar e Integración resultados estudios de suelos de la infraestructura desplegada sobre las vías. Entrega por medio de SISTM® Analytics API .Licencia de uso interno para la entidad. Suscripción por un año</t>
  </si>
  <si>
    <t>muestra</t>
  </si>
  <si>
    <t>SISTM-AMI-01-Z1</t>
  </si>
  <si>
    <t>Software web  SISTM® Platform. Descarga información de la infraestructura desplegada sobre las vías, archivo disponible para integración con sistemas SIG del cliente en formato sheapefile y otros, Entrega por medio de SISTM® Analytics API .Licencia de uso interno para la entidad. Suscripción por un año</t>
  </si>
  <si>
    <t>km</t>
  </si>
  <si>
    <t>SISTM-SPDI-00-Z1</t>
  </si>
  <si>
    <t>Servicios profesionales de mejoramiento, compuesta por grupo de profesionales para desarrollo e implementaciones de nuevas funcionalidades, herramientas o cambios sobre las soluciones existentes desarrolladas sobre SISTM®® Platform, en el marco de la metodología SISTM®®. Incluye los servicios del grupo de personas desde las instalaciones de SG-Skannia Technology (o reuniones concertadas con el cliente), quienes contarán con las herramientas informáticas necesarias</t>
  </si>
  <si>
    <t>SISTM-CUF10-00-Z1</t>
  </si>
  <si>
    <t>SISTM-CUF20-00-Z1</t>
  </si>
  <si>
    <t>SISTM-CUT10-00-Z1</t>
  </si>
  <si>
    <t>SISTM-CUT20-00-Z1</t>
  </si>
  <si>
    <t>SISTM-STS-00-Z1</t>
  </si>
  <si>
    <t>SISTM-STP-00-Z1</t>
  </si>
  <si>
    <t>SISTM-STR-00-Z1</t>
  </si>
  <si>
    <t>SISTM-SP-00-Z2</t>
  </si>
  <si>
    <t>SISTM-RI-00-Z2</t>
  </si>
  <si>
    <t>SISTM-RI-01-Z2</t>
  </si>
  <si>
    <t>SISTM-RI-02-Z2</t>
  </si>
  <si>
    <t>SISTM-RI-03-Z2</t>
  </si>
  <si>
    <t>SISTM-RI-04-Z2</t>
  </si>
  <si>
    <t>SISTM-RISV-00-Z2</t>
  </si>
  <si>
    <t>SISTM-RISV-01-Z2</t>
  </si>
  <si>
    <t>SISTM-RISV-02-Z2</t>
  </si>
  <si>
    <t>SISTM-RISV-03-Z2</t>
  </si>
  <si>
    <t>SISTM-RIOA-00-Z2</t>
  </si>
  <si>
    <t>SISTM-RIOA-01-Z2</t>
  </si>
  <si>
    <t>SISTM-RIOA-02-Z2</t>
  </si>
  <si>
    <t>SISTM-RIOA-03-Z2</t>
  </si>
  <si>
    <t>SISTM-INOS-03-Z2</t>
  </si>
  <si>
    <t>SISTM-SAD-00-Z2</t>
  </si>
  <si>
    <t>SISTM-ADIP-00-Z2</t>
  </si>
  <si>
    <t>SISTM-ADSP-00-Z2</t>
  </si>
  <si>
    <t>SISTM-AEPP-00-Z2</t>
  </si>
  <si>
    <t>SISTM-AESP-00-Z2</t>
  </si>
  <si>
    <t>SISTM-AIMH-00-Z2</t>
  </si>
  <si>
    <t>SISTM-AIIH-00-Z2</t>
  </si>
  <si>
    <t>SISTM-AIIC-00-Z2</t>
  </si>
  <si>
    <t>SISTM-AIIC-01-Z2</t>
  </si>
  <si>
    <t>SISTM-AIIC-02-Z2</t>
  </si>
  <si>
    <t>SISTM-APPM-00-Z2</t>
  </si>
  <si>
    <t>SISTM-AMI-00-Z2</t>
  </si>
  <si>
    <t>SISTM-AM-03-Z2</t>
  </si>
  <si>
    <t>SISTM-AMI-01-Z2</t>
  </si>
  <si>
    <t>SISTM-SPDI-00-Z2</t>
  </si>
  <si>
    <t>SISTM-CUF10-00-Z2</t>
  </si>
  <si>
    <t>SISTM-CUF20-00-Z2</t>
  </si>
  <si>
    <t>SISTM-CUT10-00-Z2</t>
  </si>
  <si>
    <t>SISTM-CUT20-00-Z2</t>
  </si>
  <si>
    <t>SISTM-STS-00-Z2</t>
  </si>
  <si>
    <t>SISTM-STP-00-Z2</t>
  </si>
  <si>
    <t>SISTM-STR-00-Z2</t>
  </si>
  <si>
    <t>SISTM-SP-00-Z3</t>
  </si>
  <si>
    <t>SISTM-RI-00-Z3</t>
  </si>
  <si>
    <t>SISTM-RI-01-Z3</t>
  </si>
  <si>
    <t>SISTM-RI-02-Z3</t>
  </si>
  <si>
    <t>SISTM-RI-03-Z3</t>
  </si>
  <si>
    <t>SISTM-RI-04-Z3</t>
  </si>
  <si>
    <t>SISTM-RISV-00-Z3</t>
  </si>
  <si>
    <t>SISTM-RISV-01-Z3</t>
  </si>
  <si>
    <t>SISTM-RISV-02-Z3</t>
  </si>
  <si>
    <t>SISTM-RISV-03-Z3</t>
  </si>
  <si>
    <t>SISTM-RIOA-00-Z3</t>
  </si>
  <si>
    <t>SISTM-RIOA-01-Z3</t>
  </si>
  <si>
    <t>SISTM-RIOA-02-Z3</t>
  </si>
  <si>
    <t>SISTM-RIOA-03-Z3</t>
  </si>
  <si>
    <t>SISTM-INOS-03-Z3</t>
  </si>
  <si>
    <t>SISTM-SAD-00-Z3</t>
  </si>
  <si>
    <t>SISTM-ADIP-00-Z3</t>
  </si>
  <si>
    <t>SISTM-ADSP-00-Z3</t>
  </si>
  <si>
    <t>SISTM-AEPP-00-Z3</t>
  </si>
  <si>
    <t>SISTM-AESP-00-Z3</t>
  </si>
  <si>
    <t>SISTM-AIMH-00-Z3</t>
  </si>
  <si>
    <t>SISTM-AIIH-00-Z3</t>
  </si>
  <si>
    <t>SISTM-AIIC-00-Z3</t>
  </si>
  <si>
    <t>SISTM-AIIC-01-Z3</t>
  </si>
  <si>
    <t>SISTM-AIIC-02-Z3</t>
  </si>
  <si>
    <t>SISTM-APPM-00-Z3</t>
  </si>
  <si>
    <t>SISTM-AMI-00-Z3</t>
  </si>
  <si>
    <t>SISTM-AM-03-Z3</t>
  </si>
  <si>
    <t>SISTM-AMI-01-Z3</t>
  </si>
  <si>
    <t>SISTM-SPDI-00-Z3</t>
  </si>
  <si>
    <t>SISTM-CUF10-00-Z3</t>
  </si>
  <si>
    <t>SISTM-CUF20-00-Z3</t>
  </si>
  <si>
    <t>SISTM-CUT10-00-Z3</t>
  </si>
  <si>
    <t>SISTM-CUT20-00-Z3</t>
  </si>
  <si>
    <t>SISTM-STS-00-Z3</t>
  </si>
  <si>
    <t>SISTM-STP-00-Z3</t>
  </si>
  <si>
    <t>SISTM-STR-00-Z3</t>
  </si>
  <si>
    <t>IBISA-01</t>
  </si>
  <si>
    <t>Software Ibisa</t>
  </si>
  <si>
    <t>Crédito de procesamiento BPMN x 215 instancias</t>
  </si>
  <si>
    <t>créditos</t>
  </si>
  <si>
    <t>licencia</t>
  </si>
  <si>
    <t>Todos los usuarios</t>
  </si>
  <si>
    <t>Prepago</t>
  </si>
  <si>
    <t>IBISA-02</t>
  </si>
  <si>
    <t>Crédito de almacenamiento Gb x 1Gb</t>
  </si>
  <si>
    <t>IBISA-03</t>
  </si>
  <si>
    <t>Licencia Gateway IIoT Ibisa Link Dispositivo Edge</t>
  </si>
  <si>
    <t>IBISA-04</t>
  </si>
  <si>
    <t>Licencia Software Gateway Business to Manufactoring</t>
  </si>
  <si>
    <t>sitio</t>
  </si>
  <si>
    <t>IBISA-05</t>
  </si>
  <si>
    <t>Remoto/Presencial</t>
  </si>
  <si>
    <t>IBISA-06</t>
  </si>
  <si>
    <t>Private cloud IIoT Pack : (IIoT listener, Big Data, Analytics) - Multi Site</t>
  </si>
  <si>
    <t>IBISA-07</t>
  </si>
  <si>
    <t>Configuración Gateway IIoT Ibisa link dispositivo</t>
  </si>
  <si>
    <t>IBISA-08</t>
  </si>
  <si>
    <t xml:space="preserve">Desarrollo e implementación Flujo de Trabajo en Ibisa Experience </t>
  </si>
  <si>
    <t>IBISA-09</t>
  </si>
  <si>
    <t>Desarrollo e implementación reporte BI en Ibisa Analytics</t>
  </si>
  <si>
    <t>IBISA-10</t>
  </si>
  <si>
    <t>Desarrollo e implementación Formulario Digital en Ibisa Forms</t>
  </si>
  <si>
    <t>IBISA-11</t>
  </si>
  <si>
    <t>Instalación Licencia Software Gateway Business to Manufacturing</t>
  </si>
  <si>
    <t>IBISA-12</t>
  </si>
  <si>
    <t>Deployment Private cloud IIoT Pack - One Site</t>
  </si>
  <si>
    <t>IBISA-13</t>
  </si>
  <si>
    <t>Deployment Private cloud IIoT Pack - Multi Site</t>
  </si>
  <si>
    <t>IBISA-14</t>
  </si>
  <si>
    <t>Programa StartUp-StartFast valor por mes</t>
  </si>
  <si>
    <t>IBISA-15</t>
  </si>
  <si>
    <t>Integraciones con sistemas terceros (Servicios Web, ODBC, RestFull, Archivos planos, Tablas de intercambio)</t>
  </si>
  <si>
    <t>IBISA-16</t>
  </si>
  <si>
    <t>Design Thinking For Industries - Workshop</t>
  </si>
  <si>
    <t>IBISA-17</t>
  </si>
  <si>
    <t>Acceso a Ibisa Academy por usuario al año</t>
  </si>
  <si>
    <t>Capacitador definido en Anexo 2</t>
  </si>
  <si>
    <t>30 días</t>
  </si>
  <si>
    <t>Profesional definido en Anexo 2</t>
  </si>
  <si>
    <t>Técnico o Tecnólogo definido en Anexo 2</t>
  </si>
  <si>
    <t>Técnico, Tecnólogo o Profesional</t>
  </si>
  <si>
    <r>
      <rPr>
        <sz val="11"/>
        <rFont val="Calibri"/>
        <family val="2"/>
        <scheme val="minor"/>
      </rPr>
      <t xml:space="preserve">Private cloud </t>
    </r>
    <r>
      <rPr>
        <sz val="11"/>
        <color theme="1"/>
        <rFont val="Calibri"/>
        <family val="2"/>
        <scheme val="minor"/>
      </rPr>
      <t>IIoT Pack : (IIoT listener, Big Data, Analytics) - One Site</t>
    </r>
  </si>
  <si>
    <t>Alfapeople</t>
  </si>
  <si>
    <t>AP-01-001</t>
  </si>
  <si>
    <t>Software Alfapeople</t>
  </si>
  <si>
    <t>AlfaPeople Localizacion Colombia Dynamics 365</t>
  </si>
  <si>
    <t>Anual Anticipado - 12 Meses</t>
  </si>
  <si>
    <t>AP-01-002</t>
  </si>
  <si>
    <t>AlfaPeople Presupuesto Publico  Dynamics 365</t>
  </si>
  <si>
    <t>AP-01-003</t>
  </si>
  <si>
    <t>AlfaPeople Proyectos &amp; Contratos Dynamics 365</t>
  </si>
  <si>
    <t>AP-01-004</t>
  </si>
  <si>
    <t>AlfaPeople Plan de Compras  Dynamics 365</t>
  </si>
  <si>
    <t>AP-01-005</t>
  </si>
  <si>
    <t>AlfaPeople Nomina Dynamics 365 Hasta 100 Empleados</t>
  </si>
  <si>
    <t>AP-01-006</t>
  </si>
  <si>
    <t>AlfaPeople Nomina Dynamics 365 De 101 a 299  Empleados</t>
  </si>
  <si>
    <t>AP-01-007</t>
  </si>
  <si>
    <t>AlfaPeople Nomina Dynamics 365 De 301 a 500  Empleados</t>
  </si>
  <si>
    <t>AP-01-008</t>
  </si>
  <si>
    <t>AlfaPeople Nomina Dynamics &gt;500 Empleados</t>
  </si>
  <si>
    <t>AP-01-009</t>
  </si>
  <si>
    <t>AlfaPeople Cajas Menores Dynamics 365</t>
  </si>
  <si>
    <t>AP-01-010</t>
  </si>
  <si>
    <t>AlfaPeople HSEQ Dynamics 365</t>
  </si>
  <si>
    <t>AP-01-011</t>
  </si>
  <si>
    <t>AlfaPeople Conciliacion Bancaria Dynamics 365</t>
  </si>
  <si>
    <t>AP-01-012</t>
  </si>
  <si>
    <t>AlfaPeople Pagos Electronicos Dynamics 365</t>
  </si>
  <si>
    <t>AP-01-013</t>
  </si>
  <si>
    <t>AlfaPeople Radicación de Facturas Dynamics 365</t>
  </si>
  <si>
    <t>AP-01-014</t>
  </si>
  <si>
    <t>AlfaPeople Localizacion Colombia Dynamics 365 BC</t>
  </si>
  <si>
    <t>AP-01-015</t>
  </si>
  <si>
    <t>AlfaPeople Presupuesto Público Dynamics 365 BC</t>
  </si>
  <si>
    <t>AP-01-016</t>
  </si>
  <si>
    <t>AlfaPeople Pagos Electrónicos Dynamics 365 BC</t>
  </si>
  <si>
    <t>CONTROL ONLINE</t>
  </si>
  <si>
    <t>Consultor/Arquitecto</t>
  </si>
  <si>
    <t>Zona 1, 2,3</t>
  </si>
  <si>
    <t>Maestria/PhD</t>
  </si>
  <si>
    <t>IT-SW-08-08T10</t>
  </si>
  <si>
    <t>10 TB</t>
  </si>
  <si>
    <t>Zona 1, 2, 3</t>
  </si>
  <si>
    <t>IT-SW-09-04R</t>
  </si>
  <si>
    <t>Soporte técnico Remoto</t>
  </si>
  <si>
    <t>CO-SEVU-SA01</t>
  </si>
  <si>
    <t>Suscripción Ventanilla Unica Digital/Sede Electronica (Conexión con SGDEA ControlDoc(R))</t>
  </si>
  <si>
    <t>CO-SEVU-LV01</t>
  </si>
  <si>
    <t>Licencia de uso vitalicio Mod. Ventanilla Unica Digital/Sede Electronica (Conexión con SGDEA ControlDoc(R))</t>
  </si>
  <si>
    <t>Licencia uso Vitalicia</t>
  </si>
  <si>
    <t>CO-SBESB_SA1</t>
  </si>
  <si>
    <t>CO_SAASSGDEA-BPM_50</t>
  </si>
  <si>
    <t xml:space="preserve">Suscripción anual: SGDEA/ECM/BPM-ESB (Paquete suscripción 50 usuarios). Incluye infraestructura en la nube almacenamiento de 250 GB hasta 1TB, actualización y mantenimiento del software y de la infraestructura </t>
  </si>
  <si>
    <t>SaaS - Hasta 50 usuarios/Año</t>
  </si>
  <si>
    <t>CO_SAASSGDEA-BPM_300</t>
  </si>
  <si>
    <t xml:space="preserve">Suscripción anual: SGDEA/ECM/BPM-ESB (Paquete suscripción 300 usuarios). Incluye infraestructura en la nube almacenamiento de 250 GB hasta 3TB, actualización y mantenimiento del software y de la infraestructura </t>
  </si>
  <si>
    <t>SaaS - Hasta 300 usuarios/Año</t>
  </si>
  <si>
    <t>CO_SAASSGDEA-BPM_TB</t>
  </si>
  <si>
    <t>Almacenamiento adicional en infraestructura de la suscripción.</t>
  </si>
  <si>
    <t>TB/Año</t>
  </si>
  <si>
    <t>CO_SAASSGDEA_50</t>
  </si>
  <si>
    <t>CO_SAASSGDEA_300</t>
  </si>
  <si>
    <t>CO_SAAS_SGDEA_SIGN</t>
  </si>
  <si>
    <t>Usuario Gestor (Suscripción/Cloud) en SGDEA/FirmaDigital</t>
  </si>
  <si>
    <t>SaaS - usuario Gestor Sign/Año</t>
  </si>
  <si>
    <t>CO_SGDEA_SIGN</t>
  </si>
  <si>
    <t>Usuario Gestor (Onpremise) en SGDEA/FirmaDigital</t>
  </si>
  <si>
    <t>Usuario Gestor Sign/Año</t>
  </si>
  <si>
    <t>CO_IAASMTO_50</t>
  </si>
  <si>
    <t>Iaas Año - Hasta 50 usuarios</t>
  </si>
  <si>
    <t>CO_IAASMTO_300</t>
  </si>
  <si>
    <t>Iaas Año - Hasta 300 usuarios</t>
  </si>
  <si>
    <t>CO_IAASMTO_300-1</t>
  </si>
  <si>
    <t>Actualización, Mantenimiento en la nube del SGDEA/ECM - Usuario Adicional</t>
  </si>
  <si>
    <t>Iaas Año - usuario adicional</t>
  </si>
  <si>
    <t>CO_SMTOSGDEA_300</t>
  </si>
  <si>
    <t>Actualización, Mantenimiento del SGDEA/ECM (Mantenimiento a software de hasta 300 usuarios nombrados en infraestructura del cliente. Incluye 3 firmas digitales certificadas)</t>
  </si>
  <si>
    <t>SMA Anual- Hasta 300 usuarios</t>
  </si>
  <si>
    <t>CO_SMTOSGDEA_300-1</t>
  </si>
  <si>
    <t>Actualización, Mantenimiento del SGDEA/ECM (Mantenimiento a software de usuario nombrado adicional en infraestructura del cliente)</t>
  </si>
  <si>
    <t>SMA Anual- usuario adicional</t>
  </si>
  <si>
    <t>CO_SMTOSGDEA_BPM</t>
  </si>
  <si>
    <t>Actualización, Mantenimiento del SGDEA/ECM/BPM (Mantenimiento a software por usuario nombrado en infraestructura del cliente)</t>
  </si>
  <si>
    <t>SMA Anual por usuario</t>
  </si>
  <si>
    <t>CO_SMTO_BPM</t>
  </si>
  <si>
    <t>Actualización, Mantenimiento del BPM (Mantenimiento a software de usuario nombrado en infraestructura del cliente)</t>
  </si>
  <si>
    <t>Software ControlDoc</t>
  </si>
  <si>
    <t>Instalación de software (Licenciado o por suscripción)</t>
  </si>
  <si>
    <t>Pago Unico</t>
  </si>
  <si>
    <t>IT-SWB_12-01</t>
  </si>
  <si>
    <t>Configuracion/Parametrización/construccion software BPMS</t>
  </si>
  <si>
    <t>Paquete (250 Horas)</t>
  </si>
  <si>
    <t>Tecnólogo ó Profesional</t>
  </si>
  <si>
    <t>IT-SWB_12-01-1</t>
  </si>
  <si>
    <t>Configuracion/Parametrización/construccion software BPMS (Hora adicional)</t>
  </si>
  <si>
    <t>CO-MVU_LV</t>
  </si>
  <si>
    <t>Licencia modulo Ventanilla unica de radicación (presencial de comunicaciones recibidas y enviadas) - Un (1) usuario</t>
  </si>
  <si>
    <t>CO-MRG_LV</t>
  </si>
  <si>
    <t>Licencia módulo Radicación y gestión de comunicaciones recibidas, producción de comunicaciones internas y enviadas cero papel, analística de datos Dasboard nivel directivo y gestion por usuario</t>
  </si>
  <si>
    <t>CO-MEI_LV</t>
  </si>
  <si>
    <t>Licencia módulo de archivo creación de expediente electrónico, generación de indice electrónico, inventario documental, consulta y préstamos de documentos, transferencias documentales</t>
  </si>
  <si>
    <t>CO-SGDEA_LV50</t>
  </si>
  <si>
    <t>Licencia SGDEA: Solución integral del ciclo de vida del documento: Radicación de comunicaciones recibidas (canal correo electrónico, presencial y web), enviadas, internas, gestion electrónica de documentos y archivo.</t>
  </si>
  <si>
    <t>CO-SGDEA_LV01</t>
  </si>
  <si>
    <t>CO-SGDEA_SA50</t>
  </si>
  <si>
    <t>Licencia SGDEA: Solución integral del ciclo de vida del documento: Radicación de comunicaciones recibidas, enviadas, internas, gestion electrónica de documentos y archivo. Hasta 50 usuarios</t>
  </si>
  <si>
    <t>CO-SGDEA_SA01</t>
  </si>
  <si>
    <t>Licencia SGDEA: Solución integral del ciclo de vida del documento: Radicación de comunicaciones recibidas, enviadas, internas, gestion electrónica de documentos y archivo. Usuario Adicional</t>
  </si>
  <si>
    <t>CO-PQW_LV</t>
  </si>
  <si>
    <t>Licencia modulo de PQRSD Web</t>
  </si>
  <si>
    <t>CO-PQW_SA</t>
  </si>
  <si>
    <t>CO-PQAPP_LV</t>
  </si>
  <si>
    <t>Licencia APP PQRSD Móvil</t>
  </si>
  <si>
    <t>CO-PQAPP_SA</t>
  </si>
  <si>
    <t>CO-PQW_LVAI</t>
  </si>
  <si>
    <t>Licencia módulo de PQRSD Web, con componente de inteligencia artificial para el reconocimiento de texto, reparto y respuestas automáticas e interoperabilidad con Call Center</t>
  </si>
  <si>
    <t>CO-PQW_SAAI</t>
  </si>
  <si>
    <t>CO-BS_PAQ_LV</t>
  </si>
  <si>
    <t>Licencia módulo ControlDoc_BPMS (paquete: 20 usuarios ejecutores, 2 modelado/configuracion/construccion)</t>
  </si>
  <si>
    <t>CO-BS_LV1</t>
  </si>
  <si>
    <t>Licencia módulo ControlDoc_BPMS (Usuario adicional)</t>
  </si>
  <si>
    <t>CO-BS_PAQ_SA</t>
  </si>
  <si>
    <t>CO-BS_SA</t>
  </si>
  <si>
    <t>CO-SBESB_LV</t>
  </si>
  <si>
    <t>Licencia módulo ControlDoc_BPMS, SGDEA y Bus de Integración (Paquete: 20 usuarios)</t>
  </si>
  <si>
    <t>CO-SBESB_LV1</t>
  </si>
  <si>
    <t>CO-SBESB_SA</t>
  </si>
  <si>
    <t>Licencia módulo ControlDoc_BPMS, SGDEA y Bus de Integración (Paquete 20 usuarios)</t>
  </si>
  <si>
    <t xml:space="preserve">Suscripción anual: SGDEA/ECM (Paquete suscripción 50 usuarios). Incluye infraestructura en la nube almacenamiento de 250 GB hasta 500 Gb, actualización y mantenimiento del software y de la infraestructura. </t>
  </si>
  <si>
    <t>Suscripción anual: SGDEA/ECM (Paquete suscripción 300 usuarios). Incluye infraestructura en la nube almacenamiento de 250 GB hasta 3TB, actualización y mantenimiento del software y de la infraestructura.</t>
  </si>
  <si>
    <t>Actualización, Mantenimiento en la nube del SGDEA/ECM (Mantenimiento a software de hasta 50 usuarios nombrados;  Incluye una firma digital certificada)</t>
  </si>
  <si>
    <t>Actualización, Mantenimiento en la nube del SGDEA/ECM (Mantenimiento a software de hasta 300 usuarios nombrados;  Incluye tres firmas digital certificada)</t>
  </si>
  <si>
    <t>Licencia módulo de Gestion Calidad (Listado maestro; gestion de solicitudes elaboracion/modificacion/anulacion documentos; Planes de Mejoramiento; Indicadores de gestión; para hospitales: Seguridad del paciente).</t>
  </si>
  <si>
    <t>Licencia módulo de control de procesos contractuales: Solicitud CDP, Aprobación CDP,Nuevo proceso contractual, Elaboración de la minuta.</t>
  </si>
  <si>
    <t>Licencia módulo de control de procesos contractuales: Solicitud CDP, Aprobación CDP,Nuevo proceso contractual, Elaboración de la minuta, Certificado registro presupuestal.</t>
  </si>
  <si>
    <t>Licencia módulo de control de procesos contractuales: Solicitud CDP, Aprobación CDP,Nuevo proceso contractual, Elaboración de la minuta, Certificado registro presupuestal, Adición al contrato</t>
  </si>
  <si>
    <t>SOADOC Hora de implementación</t>
  </si>
  <si>
    <t>Zonas 1</t>
  </si>
  <si>
    <t>Zonas 2</t>
  </si>
  <si>
    <t>Zonas 3</t>
  </si>
  <si>
    <t>SOADOC Hora de Soporte</t>
  </si>
  <si>
    <t>SOAINT-SOADOC-HORA SOPORTE</t>
  </si>
  <si>
    <t>SOADOC Hora de Migración</t>
  </si>
  <si>
    <t>UT SOFTWARE EPX CCE</t>
  </si>
  <si>
    <t>Todas</t>
  </si>
  <si>
    <t>BPM-ERP-LC-01-07</t>
  </si>
  <si>
    <t>BPM.Gov* ERP-Presupuesto/Contabilidad/Tesoreria adición paquete  3 usuarios</t>
  </si>
  <si>
    <t>BPM-ERP-LC-01-06</t>
  </si>
  <si>
    <t>BPM.Gov* ERP-Presupuesto/Contabilidad/Tesoreria Categoria 6  para 3 usuarios</t>
  </si>
  <si>
    <t>BPM-ERP-LC-01-05</t>
  </si>
  <si>
    <t>BPM.Gov* ERP-Presupuesto/Contabilidad/Tesoreria Categoria 5  para 3 usuarios</t>
  </si>
  <si>
    <t>BPM-ERP-LC-01-04</t>
  </si>
  <si>
    <t>BPM-ERP-LC-01-03</t>
  </si>
  <si>
    <t>BPM-ERP-LC-01-02</t>
  </si>
  <si>
    <t>BPM.Gov* ERP-Presupuesto/Contabilidad/Tesoreria Categoria 2 para 3 usuarios</t>
  </si>
  <si>
    <t>BPM-ERP-LC-01-01</t>
  </si>
  <si>
    <t>BPM-ERP-LC-02-06</t>
  </si>
  <si>
    <t>BPM-ERP-LC-02-05</t>
  </si>
  <si>
    <t>BPM-ERP-LC-02-04</t>
  </si>
  <si>
    <t>BPM-ERP-LC-02-03</t>
  </si>
  <si>
    <t>BPM-ERP-LC-02-02</t>
  </si>
  <si>
    <t>BPM-ERP-LC-02-01</t>
  </si>
  <si>
    <t>BPM-ERP-LC-03-07</t>
  </si>
  <si>
    <t>BPM-ERP-LC-03-06</t>
  </si>
  <si>
    <t xml:space="preserve">BPM.Gov* ERP- Nomina/Recursos Humanos  Categoria 6  para 50 empleados </t>
  </si>
  <si>
    <t>BPM-ERP-LC-03-05</t>
  </si>
  <si>
    <t>BPM-ERP-LC-03-04</t>
  </si>
  <si>
    <t>BPM-ERP-LC-03-03</t>
  </si>
  <si>
    <t>BPM-ERP-LC-03-02</t>
  </si>
  <si>
    <t>BPM-ERP-LC-03-01</t>
  </si>
  <si>
    <t>BPM-ERP-LC-04-06</t>
  </si>
  <si>
    <t>BPM-ERP-LC-04-05</t>
  </si>
  <si>
    <t>BPM-ERP-LC-04-04</t>
  </si>
  <si>
    <t>BPM-ERP-LC-04-03</t>
  </si>
  <si>
    <t>BPM-ERP-LC-04-02</t>
  </si>
  <si>
    <t>BPM-ERP-LC-04-01</t>
  </si>
  <si>
    <t>BPM-IMP-LC-01-06</t>
  </si>
  <si>
    <t>BPM-IMP-LC-01-05</t>
  </si>
  <si>
    <t>BPM-IMP-LC-01-04</t>
  </si>
  <si>
    <t>BPM-IMP-LC-01-03</t>
  </si>
  <si>
    <t>BPM-IMP-LC-01-02</t>
  </si>
  <si>
    <t>BPM-IMP-LC-01-01</t>
  </si>
  <si>
    <t>BPM-IMP-LC-02-06</t>
  </si>
  <si>
    <t>BPM-IMP-LC-02-05</t>
  </si>
  <si>
    <t>BPM-IMP-LC-02-04</t>
  </si>
  <si>
    <t>BPM-IMP-LC-02-03</t>
  </si>
  <si>
    <t>BPM-IMP-LC-02-02</t>
  </si>
  <si>
    <t>BPM-IMP-LC-02-01</t>
  </si>
  <si>
    <t>BPM-IMP-LC-03-06</t>
  </si>
  <si>
    <t>BPM-IMP-LC-03-05</t>
  </si>
  <si>
    <t>BPM-IMP-LC-03-04</t>
  </si>
  <si>
    <t>BPM-IMP-LC-03-03</t>
  </si>
  <si>
    <t>BPM-IMP-LC-03-02</t>
  </si>
  <si>
    <t>BPM-IMP-LC-03-01</t>
  </si>
  <si>
    <t>BPM-IMP-LC-04</t>
  </si>
  <si>
    <t>BPM-IMP-LC-05</t>
  </si>
  <si>
    <t>BPM-IMP-LC-06</t>
  </si>
  <si>
    <t>BPM-IMP-LC-07</t>
  </si>
  <si>
    <t>BPM-IMP-LC-08</t>
  </si>
  <si>
    <t>BPM-GE-LC-10-11</t>
  </si>
  <si>
    <t>BPM-GE-LC-10-10</t>
  </si>
  <si>
    <t>BPM-GE-LC-10-09</t>
  </si>
  <si>
    <t>BPM-GE-LC-10-08</t>
  </si>
  <si>
    <t>BPM-GE-LC-10-07</t>
  </si>
  <si>
    <t>BPM-GE-LC-10-06</t>
  </si>
  <si>
    <t>BPM-GE-LC-10-05</t>
  </si>
  <si>
    <t>BPM-GE-LC-10-04</t>
  </si>
  <si>
    <t>BPM-GE-LC-10-03</t>
  </si>
  <si>
    <t>BPM-GE-LC-10-02</t>
  </si>
  <si>
    <t>BPM-GE-LC-10-01</t>
  </si>
  <si>
    <t>BPM-GE-SA-12-06</t>
  </si>
  <si>
    <t>BPM.Gov Tramites web Ciudadano/Contribuyente/Liquidador otras rentas Categoria 6</t>
  </si>
  <si>
    <t>BPM-GE-SA-12-05</t>
  </si>
  <si>
    <t>BPM.Gov Tramites web Ciudadano/Contribuyente/Liquidador otras rentas Categoria 5</t>
  </si>
  <si>
    <t>BPM-GE-SA-12-04</t>
  </si>
  <si>
    <t>BPM.Gov Tramites web Ciudadano/Contribuyente/Liquidador otras rentas Categoria 4</t>
  </si>
  <si>
    <t>BPM-GE-SA-12-03</t>
  </si>
  <si>
    <t>BPM.Gov Tramites web Ciudadano/Contribuyente/Liquidador otras rentas Categoria 3</t>
  </si>
  <si>
    <t>BPM-GE-SA-12-02</t>
  </si>
  <si>
    <t>BPM.Gov Tramites web Ciudadano/Contribuyente/Liquidador otras rentas Categoria 2</t>
  </si>
  <si>
    <t>BPM-GE-SA-12-01</t>
  </si>
  <si>
    <t>BPM.Gov Tramites web Ciudadano/Contribuyente/Liquidador otras rentas Categoria 1</t>
  </si>
  <si>
    <t>BPM-IMP-LC-11-01</t>
  </si>
  <si>
    <t>BPM-IMP-LC-11-02</t>
  </si>
  <si>
    <t>BPM-IMP-LC-11-03</t>
  </si>
  <si>
    <t>BPM-IMP-LC-11-04</t>
  </si>
  <si>
    <t>BPM-IMP-LC-11-05</t>
  </si>
  <si>
    <t>BPM-USU-LC-11-01</t>
  </si>
  <si>
    <t>BPM-USU-LC-11-02</t>
  </si>
  <si>
    <t>BPM-POR-LC-12-01</t>
  </si>
  <si>
    <t>BPM-POR-LC-12-02</t>
  </si>
  <si>
    <t>BPM-COB-LC-13-01</t>
  </si>
  <si>
    <t xml:space="preserve">mensual </t>
  </si>
  <si>
    <t>AZD-SRV-62</t>
  </si>
  <si>
    <t>AZD-SRV-63</t>
  </si>
  <si>
    <t>Gerente de Proyecto - Configuración y parametrización de los Productos</t>
  </si>
  <si>
    <t xml:space="preserve">Gerente de Proyecto - Configuración y parametrización de los Productos </t>
  </si>
  <si>
    <t>EPX-ECM-01-01</t>
  </si>
  <si>
    <t xml:space="preserve">Software </t>
  </si>
  <si>
    <t>Paquete 25 usuarios - Pago mensual por 1 año</t>
  </si>
  <si>
    <t>pago mensual</t>
  </si>
  <si>
    <t>EPX-ECM-01-02</t>
  </si>
  <si>
    <t>Por usuario - Pago mensual por 1 año</t>
  </si>
  <si>
    <t>EPX-BPM-01-01</t>
  </si>
  <si>
    <t>EPX-BPM-01-02</t>
  </si>
  <si>
    <t>EPX-SE-01-01</t>
  </si>
  <si>
    <t>Por Entidad - Pago mensual por 1 año</t>
  </si>
  <si>
    <t>EPX-PQRSDF-01-01</t>
  </si>
  <si>
    <t>Paquete 5 usuarios - Pago mensual por 1 año</t>
  </si>
  <si>
    <t>EPX-PQRSDF-01-02</t>
  </si>
  <si>
    <t>Por usuario -  Pago mensual por 1 año</t>
  </si>
  <si>
    <t>EPX-TUTELAS-01-01</t>
  </si>
  <si>
    <t>Paquete 5 usuarios -  Pago mensual por 1 año</t>
  </si>
  <si>
    <t>EPX-TUTELAS-01-02</t>
  </si>
  <si>
    <t>EPX-CONT-01-01</t>
  </si>
  <si>
    <t>Paquete 300 Contrastistas - Pago mensual por 1 año</t>
  </si>
  <si>
    <t>EPX-CONT-01-02</t>
  </si>
  <si>
    <t>Por Contratista-  Pago mensual por 1 año</t>
  </si>
  <si>
    <t>EPX-VUR-01-01</t>
  </si>
  <si>
    <t>EPX-HL-01-01</t>
  </si>
  <si>
    <t>EPX-TAREAS-01-01</t>
  </si>
  <si>
    <t>EPX-IABN-01-01</t>
  </si>
  <si>
    <t>Paquete 200 usuarios concurrentes - Pago mensual por 1 año</t>
  </si>
  <si>
    <t>EPX-IAPQR-01-01</t>
  </si>
  <si>
    <t>EPX-IACI-01-01</t>
  </si>
  <si>
    <t>EPX-IACID-01-01</t>
  </si>
  <si>
    <t>EPX-TRAM-CAT1-01-01</t>
  </si>
  <si>
    <t>EPX-TRAM-CAT2-01-02</t>
  </si>
  <si>
    <t>EPX-TRAM-CAT3-01-03</t>
  </si>
  <si>
    <t>EPX-TRAM-CAT4-01-04</t>
  </si>
  <si>
    <t>EPX-TRAM-CAT5-01-05</t>
  </si>
  <si>
    <t>EPX-TRAM-CAT6-01-06</t>
  </si>
  <si>
    <t>EPX-IMPM-CAT1-01-01</t>
  </si>
  <si>
    <t>EPX-IMPM-CAT2-01-02</t>
  </si>
  <si>
    <t>EPX-IMPM-CAT3-01-03</t>
  </si>
  <si>
    <t>EPX-IMPM-CAT4-01-04</t>
  </si>
  <si>
    <t>EPX-IMPM-CAT5-01-05</t>
  </si>
  <si>
    <t>EPX-IMPM-CAT6-01-06</t>
  </si>
  <si>
    <t>Por usuario - Pago mensual por  1 año</t>
  </si>
  <si>
    <t>EPX-ECM-02-01</t>
  </si>
  <si>
    <t>Licencia a Perpetuidad</t>
  </si>
  <si>
    <t>EPX-BPM-02-01</t>
  </si>
  <si>
    <t>EPX-SE-02-01</t>
  </si>
  <si>
    <t>Por Entidad</t>
  </si>
  <si>
    <t>EPX-PQRSDF-02-01</t>
  </si>
  <si>
    <t>EPX-TUTELAS-02-01</t>
  </si>
  <si>
    <t>EPX-CONT-02-01</t>
  </si>
  <si>
    <t xml:space="preserve">Por Contratista </t>
  </si>
  <si>
    <t>EPX-VUR-02-01</t>
  </si>
  <si>
    <t>EPX-HL-02-01</t>
  </si>
  <si>
    <t>EPX-TAREAS-02-01</t>
  </si>
  <si>
    <t>EPX-ECM-03-01</t>
  </si>
  <si>
    <t>EPX-BPM-03-01</t>
  </si>
  <si>
    <t>EPX-SE-03-01</t>
  </si>
  <si>
    <t>EPX-PQRSDF-03-01</t>
  </si>
  <si>
    <t>EPX-TUTELAS-03-01</t>
  </si>
  <si>
    <t>EPX-CONT-03-01</t>
  </si>
  <si>
    <t>EPX-VUR-03-01</t>
  </si>
  <si>
    <t>EPX-HL-03-01</t>
  </si>
  <si>
    <t>EPX-TAREAS-03-01</t>
  </si>
  <si>
    <t>EPX-TRAM-CAT1-02-01</t>
  </si>
  <si>
    <t>EPX-TRAM-CAT2-02-02</t>
  </si>
  <si>
    <t>EPX-TRAM-CAT3-02-03</t>
  </si>
  <si>
    <t>EPX-TRAM-CAT4-02-04</t>
  </si>
  <si>
    <t>EPX-TRAM-CAT5-02-05</t>
  </si>
  <si>
    <t>EPX-TRAM-CAT6-02-06</t>
  </si>
  <si>
    <t xml:space="preserve"> COP </t>
  </si>
  <si>
    <t>EPX-TRAM-CAT1-03-01</t>
  </si>
  <si>
    <t>EPX-TRAM-CAT2-03-02</t>
  </si>
  <si>
    <t>EPX-TRAM-CAT3-03-03</t>
  </si>
  <si>
    <t>EPX-TRAM-CAT4-03-04</t>
  </si>
  <si>
    <t>EPX-TRAM-CAT5-03-05</t>
  </si>
  <si>
    <t>EPX-TRAM-CAT6-03-06</t>
  </si>
  <si>
    <t>EPX-IMPM-CAT1-02-01</t>
  </si>
  <si>
    <t>EPX-IMPM-CAT2-02-02</t>
  </si>
  <si>
    <t>EPX-IMPM-CAT3-02-03</t>
  </si>
  <si>
    <t>EPX-IMPM-CAT4-02-04</t>
  </si>
  <si>
    <t>EPX-IMPM-CAT5-02-05</t>
  </si>
  <si>
    <t>EPX-IMPM-CAT6-02-06</t>
  </si>
  <si>
    <t>EPX-IMPM-CAT1-03-01</t>
  </si>
  <si>
    <t>EPX-IMPM-CAT2-03-02</t>
  </si>
  <si>
    <t>EPX-IMPM-CAT3-03-03</t>
  </si>
  <si>
    <t>EPX-IMPM-CAT4-03-04</t>
  </si>
  <si>
    <t>EPX-IMPM-CAT5-03-05</t>
  </si>
  <si>
    <t>EPX-IMPM-CAT6-03-06</t>
  </si>
  <si>
    <t>EPX-ALM-01-01</t>
  </si>
  <si>
    <t>Almacenamiento</t>
  </si>
  <si>
    <t>Unidad de almacenamiento adicional nube de 500 MB Pago mensual por un 1 año</t>
  </si>
  <si>
    <t>EPX-ALM-01-02</t>
  </si>
  <si>
    <t>Unidad de almacenamiento  adicional nube de 500 MB Pago mensual por un 2 año</t>
  </si>
  <si>
    <t>EPX-ALM-01-03</t>
  </si>
  <si>
    <t>Unidad de almacenamiento  adicional nube de 500 MB Pago mensual por un 3 año</t>
  </si>
  <si>
    <t>Servicios</t>
  </si>
  <si>
    <t>Gerente de Proyecto</t>
  </si>
  <si>
    <r>
      <t xml:space="preserve">Software de Gestión Documental e process Extended suite - </t>
    </r>
    <r>
      <rPr>
        <b/>
        <sz val="12"/>
        <color theme="1"/>
        <rFont val="Geomanist Light"/>
      </rPr>
      <t>ECM</t>
    </r>
    <r>
      <rPr>
        <sz val="12"/>
        <color theme="1"/>
        <rFont val="Geomanist Light"/>
      </rPr>
      <t xml:space="preserve"> - Licencia Basica (25 usuarios)</t>
    </r>
  </si>
  <si>
    <r>
      <t xml:space="preserve">Software de Gestión Documental e process Extended suite - </t>
    </r>
    <r>
      <rPr>
        <b/>
        <sz val="12"/>
        <color theme="1"/>
        <rFont val="Geomanist Light"/>
      </rPr>
      <t>ECM</t>
    </r>
    <r>
      <rPr>
        <sz val="12"/>
        <color theme="1"/>
        <rFont val="Geomanist Light"/>
      </rPr>
      <t xml:space="preserve"> - Usuario adicional</t>
    </r>
  </si>
  <si>
    <r>
      <t xml:space="preserve">Software de Gestión Documental e process Extended Suite - </t>
    </r>
    <r>
      <rPr>
        <b/>
        <sz val="12"/>
        <color theme="1"/>
        <rFont val="Geomanist Light"/>
      </rPr>
      <t>BPM</t>
    </r>
    <r>
      <rPr>
        <sz val="12"/>
        <color theme="1"/>
        <rFont val="Geomanist Light"/>
      </rPr>
      <t xml:space="preserve"> Licencia Basica (25 usuarios)</t>
    </r>
  </si>
  <si>
    <r>
      <t xml:space="preserve">Software de Gestión Documental e process Extended Suite - </t>
    </r>
    <r>
      <rPr>
        <b/>
        <sz val="12"/>
        <color theme="1"/>
        <rFont val="Geomanist Light"/>
      </rPr>
      <t>BPM</t>
    </r>
    <r>
      <rPr>
        <sz val="12"/>
        <color theme="1"/>
        <rFont val="Geomanist Light"/>
      </rPr>
      <t xml:space="preserve"> - Usuario adicional</t>
    </r>
  </si>
  <si>
    <r>
      <t xml:space="preserve">Software de Gestión Documental e process Extended Suite - </t>
    </r>
    <r>
      <rPr>
        <b/>
        <sz val="12"/>
        <color theme="1"/>
        <rFont val="Geomanist Light"/>
      </rPr>
      <t>Sede Electrónica</t>
    </r>
  </si>
  <si>
    <r>
      <t xml:space="preserve">Software de Gestión Documental e process Extended Suite - </t>
    </r>
    <r>
      <rPr>
        <b/>
        <sz val="12"/>
        <color theme="1"/>
        <rFont val="Geomanist Light"/>
      </rPr>
      <t>PQRSDF</t>
    </r>
    <r>
      <rPr>
        <sz val="12"/>
        <color theme="1"/>
        <rFont val="Geomanist Light"/>
      </rPr>
      <t xml:space="preserve"> Licencia Basica (5 usuarios)</t>
    </r>
  </si>
  <si>
    <r>
      <t xml:space="preserve">Software de Gestión Documental e process Extended Suite - </t>
    </r>
    <r>
      <rPr>
        <b/>
        <sz val="12"/>
        <color theme="1"/>
        <rFont val="Geomanist Light"/>
      </rPr>
      <t>PQRSDF</t>
    </r>
    <r>
      <rPr>
        <sz val="12"/>
        <color theme="1"/>
        <rFont val="Geomanist Light"/>
      </rPr>
      <t xml:space="preserve"> - Usuarios adicional</t>
    </r>
  </si>
  <si>
    <r>
      <t xml:space="preserve">Software de Gestión Documental e process Extended Suite - </t>
    </r>
    <r>
      <rPr>
        <b/>
        <sz val="12"/>
        <color theme="1"/>
        <rFont val="Geomanist Light"/>
      </rPr>
      <t>Tutelas</t>
    </r>
    <r>
      <rPr>
        <sz val="12"/>
        <color theme="1"/>
        <rFont val="Geomanist Light"/>
      </rPr>
      <t xml:space="preserve"> Licencia Basica (5 usuarios)</t>
    </r>
  </si>
  <si>
    <r>
      <t xml:space="preserve">Software de Gestión Documental e process Extended Suite - </t>
    </r>
    <r>
      <rPr>
        <b/>
        <sz val="12"/>
        <color theme="1"/>
        <rFont val="Geomanist Light"/>
      </rPr>
      <t>Tutelas</t>
    </r>
    <r>
      <rPr>
        <sz val="12"/>
        <color theme="1"/>
        <rFont val="Geomanist Light"/>
      </rPr>
      <t xml:space="preserve"> - Usuario adicional</t>
    </r>
  </si>
  <si>
    <r>
      <t xml:space="preserve">Software de Gestión Documental e process Extended Suite - </t>
    </r>
    <r>
      <rPr>
        <b/>
        <sz val="12"/>
        <color theme="1"/>
        <rFont val="Geomanist Light"/>
      </rPr>
      <t>Contratistas</t>
    </r>
    <r>
      <rPr>
        <sz val="12"/>
        <color theme="1"/>
        <rFont val="Geomanist Light"/>
      </rPr>
      <t xml:space="preserve"> Licencia Basica (300 Contratistas)</t>
    </r>
  </si>
  <si>
    <r>
      <t xml:space="preserve">Software de Gestión Documental e process Extended Suite - </t>
    </r>
    <r>
      <rPr>
        <b/>
        <sz val="12"/>
        <color theme="1"/>
        <rFont val="Geomanist Light"/>
      </rPr>
      <t>Contratistas</t>
    </r>
    <r>
      <rPr>
        <sz val="12"/>
        <color theme="1"/>
        <rFont val="Geomanist Light"/>
      </rPr>
      <t xml:space="preserve"> - Contratista adicional</t>
    </r>
  </si>
  <si>
    <r>
      <t xml:space="preserve">Software de Gestión Documental e process Extended Suite - </t>
    </r>
    <r>
      <rPr>
        <b/>
        <sz val="12"/>
        <color theme="1"/>
        <rFont val="Geomanist Light"/>
      </rPr>
      <t>Ventanilla Única de Registro</t>
    </r>
    <r>
      <rPr>
        <sz val="12"/>
        <color theme="1"/>
        <rFont val="Geomanist Light"/>
      </rPr>
      <t xml:space="preserve"> Gobernaciones Licencia Basica</t>
    </r>
  </si>
  <si>
    <r>
      <t xml:space="preserve">Software de Gestión Documental e process Extended Suite - </t>
    </r>
    <r>
      <rPr>
        <b/>
        <sz val="12"/>
        <color theme="1"/>
        <rFont val="Geomanist Light"/>
      </rPr>
      <t>Historias Laborales</t>
    </r>
    <r>
      <rPr>
        <sz val="12"/>
        <color theme="1"/>
        <rFont val="Geomanist Light"/>
      </rPr>
      <t xml:space="preserve"> Licencia Basica</t>
    </r>
  </si>
  <si>
    <r>
      <t xml:space="preserve">Software de Gestión Documental e process Extended Suite - </t>
    </r>
    <r>
      <rPr>
        <b/>
        <sz val="12"/>
        <color theme="1"/>
        <rFont val="Geomanist Light"/>
      </rPr>
      <t>Tareas</t>
    </r>
  </si>
  <si>
    <r>
      <t xml:space="preserve">Software de Gestión Documental e process Extended Suite </t>
    </r>
    <r>
      <rPr>
        <b/>
        <sz val="12"/>
        <color theme="1"/>
        <rFont val="Geomanist Light"/>
      </rPr>
      <t xml:space="preserve">- IA Busqueda Inteligente con respuesta  Natural </t>
    </r>
    <r>
      <rPr>
        <sz val="12"/>
        <color theme="1"/>
        <rFont val="Geomanist Light"/>
      </rPr>
      <t xml:space="preserve">Licencia Basica </t>
    </r>
  </si>
  <si>
    <r>
      <t>Software de Gestión Documental e process Extended Suite -</t>
    </r>
    <r>
      <rPr>
        <b/>
        <sz val="12"/>
        <color theme="1"/>
        <rFont val="Geomanist Light"/>
      </rPr>
      <t xml:space="preserve"> IA PQRSDF </t>
    </r>
    <r>
      <rPr>
        <sz val="12"/>
        <color theme="1"/>
        <rFont val="Geomanist Light"/>
      </rPr>
      <t xml:space="preserve">Licencia Basica </t>
    </r>
  </si>
  <si>
    <r>
      <t>Software de Gestión Documental e process Extended Suite -</t>
    </r>
    <r>
      <rPr>
        <b/>
        <sz val="12"/>
        <color theme="1"/>
        <rFont val="Geomanist Light"/>
      </rPr>
      <t xml:space="preserve"> IA Captura Inteligente de Documentos</t>
    </r>
    <r>
      <rPr>
        <sz val="12"/>
        <color theme="1"/>
        <rFont val="Geomanist Light"/>
      </rPr>
      <t xml:space="preserve"> Licencia Basica </t>
    </r>
  </si>
  <si>
    <r>
      <t xml:space="preserve">Software de Gestión Documental e process Extended Suite - </t>
    </r>
    <r>
      <rPr>
        <b/>
        <sz val="12"/>
        <color theme="1"/>
        <rFont val="Geomanist Light"/>
      </rPr>
      <t>IA Clasificación Inteligente de Documentos</t>
    </r>
    <r>
      <rPr>
        <sz val="12"/>
        <color theme="1"/>
        <rFont val="Geomanist Light"/>
      </rPr>
      <t xml:space="preserve"> Licencia Basica </t>
    </r>
  </si>
  <si>
    <r>
      <t xml:space="preserve">Software de Gestión Documental e process Extended Suite - </t>
    </r>
    <r>
      <rPr>
        <b/>
        <sz val="12"/>
        <color theme="1"/>
        <rFont val="Geomanist Light"/>
      </rPr>
      <t>Tramites Municipales (Tramites de Planeación</t>
    </r>
    <r>
      <rPr>
        <sz val="12"/>
        <color theme="1"/>
        <rFont val="Geomanist Light"/>
      </rPr>
      <t xml:space="preserve"> </t>
    </r>
    <r>
      <rPr>
        <b/>
        <sz val="12"/>
        <color theme="1"/>
        <rFont val="Geomanist Light"/>
      </rPr>
      <t>- Tramites de Hacienda -</t>
    </r>
    <r>
      <rPr>
        <sz val="12"/>
        <color theme="1"/>
        <rFont val="Geomanist Light"/>
      </rPr>
      <t xml:space="preserve"> </t>
    </r>
    <r>
      <rPr>
        <b/>
        <sz val="12"/>
        <color theme="1"/>
        <rFont val="Geomanist Light"/>
      </rPr>
      <t>Tramites de Taquilla)</t>
    </r>
    <r>
      <rPr>
        <sz val="12"/>
        <color theme="1"/>
        <rFont val="Geomanist Light"/>
      </rPr>
      <t xml:space="preserve">  </t>
    </r>
    <r>
      <rPr>
        <b/>
        <sz val="12"/>
        <color theme="1"/>
        <rFont val="Geomanist Light"/>
      </rPr>
      <t>Categoria 1</t>
    </r>
    <r>
      <rPr>
        <sz val="12"/>
        <color theme="1"/>
        <rFont val="Geomanist Light"/>
      </rPr>
      <t xml:space="preserve"> Nota: requiere Software de Gestión Documental e process Extended suite - ECM</t>
    </r>
  </si>
  <si>
    <r>
      <t xml:space="preserve">Software de Gestión Documental e process Extended Suite- </t>
    </r>
    <r>
      <rPr>
        <b/>
        <sz val="12"/>
        <color theme="1"/>
        <rFont val="Geomanist Light"/>
      </rPr>
      <t>Tramites Municipales</t>
    </r>
    <r>
      <rPr>
        <sz val="12"/>
        <color theme="1"/>
        <rFont val="Geomanist Light"/>
      </rPr>
      <t xml:space="preserve"> </t>
    </r>
    <r>
      <rPr>
        <b/>
        <sz val="12"/>
        <color theme="1"/>
        <rFont val="Geomanist Light"/>
      </rPr>
      <t xml:space="preserve">(Planeación - Hacienda  - Taquilla) Categoria 2 </t>
    </r>
    <r>
      <rPr>
        <sz val="12"/>
        <color theme="1"/>
        <rFont val="Geomanist Light"/>
      </rPr>
      <t>Nota: requiere Software de Gestión Documental e process Extended suite - ECM</t>
    </r>
  </si>
  <si>
    <r>
      <t xml:space="preserve">Software de Gestión Documental e process Extended Suite- </t>
    </r>
    <r>
      <rPr>
        <b/>
        <sz val="12"/>
        <color theme="1"/>
        <rFont val="Geomanist Light"/>
      </rPr>
      <t>Tramites Municipales</t>
    </r>
    <r>
      <rPr>
        <sz val="12"/>
        <color theme="1"/>
        <rFont val="Geomanist Light"/>
      </rPr>
      <t xml:space="preserve"> </t>
    </r>
    <r>
      <rPr>
        <b/>
        <sz val="12"/>
        <color theme="1"/>
        <rFont val="Geomanist Light"/>
      </rPr>
      <t>(Planeación - Hacienda - Taquilla) Categoria 3</t>
    </r>
    <r>
      <rPr>
        <sz val="12"/>
        <color theme="1"/>
        <rFont val="Geomanist Light"/>
      </rPr>
      <t xml:space="preserve">  Nota: requiere Software de Gestión Documental e process Extended suite - ECM</t>
    </r>
  </si>
  <si>
    <r>
      <t xml:space="preserve">Software de Gestión Documental e process Extended Suite- </t>
    </r>
    <r>
      <rPr>
        <b/>
        <sz val="12"/>
        <color theme="1"/>
        <rFont val="Geomanist Light"/>
      </rPr>
      <t>Tramites Municipales</t>
    </r>
    <r>
      <rPr>
        <sz val="12"/>
        <color theme="1"/>
        <rFont val="Geomanist Light"/>
      </rPr>
      <t xml:space="preserve"> </t>
    </r>
    <r>
      <rPr>
        <b/>
        <sz val="12"/>
        <color theme="1"/>
        <rFont val="Geomanist Light"/>
      </rPr>
      <t>(Planeación - Hacienda  - Taquilla) Categoria 4</t>
    </r>
    <r>
      <rPr>
        <sz val="12"/>
        <color theme="1"/>
        <rFont val="Geomanist Light"/>
      </rPr>
      <t xml:space="preserve">  Nota: requiere Software de Gestión Documental e process Extended suite - ECM</t>
    </r>
  </si>
  <si>
    <r>
      <t xml:space="preserve">Software de Gestión Documental e process Extended Suite- </t>
    </r>
    <r>
      <rPr>
        <b/>
        <sz val="12"/>
        <color theme="1"/>
        <rFont val="Geomanist Light"/>
      </rPr>
      <t>Tramites Municipales</t>
    </r>
    <r>
      <rPr>
        <sz val="12"/>
        <color theme="1"/>
        <rFont val="Geomanist Light"/>
      </rPr>
      <t xml:space="preserve"> </t>
    </r>
    <r>
      <rPr>
        <b/>
        <sz val="12"/>
        <color theme="1"/>
        <rFont val="Geomanist Light"/>
      </rPr>
      <t>(Planeación - Hacienda  - Taquilla) Categoria 5</t>
    </r>
    <r>
      <rPr>
        <sz val="12"/>
        <color theme="1"/>
        <rFont val="Geomanist Light"/>
      </rPr>
      <t xml:space="preserve"> Nota: requiere Software de Gestión Documental e process Extended suite - ECM</t>
    </r>
  </si>
  <si>
    <r>
      <t xml:space="preserve">Software de Gestión Documental e process Extended Suite- </t>
    </r>
    <r>
      <rPr>
        <b/>
        <sz val="12"/>
        <color theme="1"/>
        <rFont val="Geomanist Light"/>
      </rPr>
      <t>Tramites Municipales (Planeación - Hacienda  - Taquilla)</t>
    </r>
    <r>
      <rPr>
        <sz val="12"/>
        <color theme="1"/>
        <rFont val="Geomanist Light"/>
      </rPr>
      <t xml:space="preserve"> </t>
    </r>
    <r>
      <rPr>
        <b/>
        <sz val="12"/>
        <color theme="1"/>
        <rFont val="Geomanist Light"/>
      </rPr>
      <t>Categoria 6</t>
    </r>
    <r>
      <rPr>
        <sz val="12"/>
        <color theme="1"/>
        <rFont val="Geomanist Light"/>
      </rPr>
      <t xml:space="preserve">  Nota: requiere Software de Gestión Documental e process Extended suite - ECM</t>
    </r>
  </si>
  <si>
    <r>
      <t>Software de Gestión Documental e process Extended Suite-</t>
    </r>
    <r>
      <rPr>
        <b/>
        <sz val="12"/>
        <color theme="1"/>
        <rFont val="Geomanist Light"/>
      </rPr>
      <t xml:space="preserve"> Impuestos Municipales</t>
    </r>
    <r>
      <rPr>
        <sz val="12"/>
        <color theme="1"/>
        <rFont val="Geomanist Light"/>
      </rPr>
      <t xml:space="preserve"> </t>
    </r>
    <r>
      <rPr>
        <b/>
        <sz val="12"/>
        <color theme="1"/>
        <rFont val="Geomanist Light"/>
      </rPr>
      <t>(Predial, Industria y Comercio, ICA, Pasarela de Pagos)</t>
    </r>
    <r>
      <rPr>
        <sz val="12"/>
        <color theme="1"/>
        <rFont val="Geomanist Light"/>
      </rPr>
      <t xml:space="preserve"> </t>
    </r>
    <r>
      <rPr>
        <b/>
        <sz val="12"/>
        <color theme="1"/>
        <rFont val="Geomanist Light"/>
      </rPr>
      <t>Categoria 1</t>
    </r>
    <r>
      <rPr>
        <sz val="12"/>
        <color theme="1"/>
        <rFont val="Geomanist Light"/>
      </rPr>
      <t xml:space="preserve">  Nota: requiere Software de Gestión Documental e process Extended suite - ECM</t>
    </r>
  </si>
  <si>
    <r>
      <t xml:space="preserve">Software de Gestión Documental e process Extended Suite- </t>
    </r>
    <r>
      <rPr>
        <b/>
        <sz val="12"/>
        <color theme="1"/>
        <rFont val="Geomanist Light"/>
      </rPr>
      <t>Impuestos Municipales</t>
    </r>
    <r>
      <rPr>
        <sz val="12"/>
        <color theme="1"/>
        <rFont val="Geomanist Light"/>
      </rPr>
      <t xml:space="preserve"> </t>
    </r>
    <r>
      <rPr>
        <b/>
        <sz val="12"/>
        <color theme="1"/>
        <rFont val="Geomanist Light"/>
      </rPr>
      <t xml:space="preserve"> (Predial, Industria y Comercio, ICA, Pasarela de Pagos)</t>
    </r>
    <r>
      <rPr>
        <sz val="12"/>
        <color theme="1"/>
        <rFont val="Geomanist Light"/>
      </rPr>
      <t xml:space="preserve"> </t>
    </r>
    <r>
      <rPr>
        <b/>
        <sz val="12"/>
        <color theme="1"/>
        <rFont val="Geomanist Light"/>
      </rPr>
      <t>Categoria 2</t>
    </r>
    <r>
      <rPr>
        <sz val="12"/>
        <color theme="1"/>
        <rFont val="Geomanist Light"/>
      </rPr>
      <t xml:space="preserve">  Nota: requiere Software de Gestión Documental e process Extended suite - ECM</t>
    </r>
  </si>
  <si>
    <r>
      <t xml:space="preserve">Software de Gestión Documental e process Extended Suite- </t>
    </r>
    <r>
      <rPr>
        <b/>
        <sz val="12"/>
        <color theme="1"/>
        <rFont val="Geomanist Light"/>
      </rPr>
      <t>Impuestos Municipales</t>
    </r>
    <r>
      <rPr>
        <sz val="12"/>
        <color theme="1"/>
        <rFont val="Geomanist Light"/>
      </rPr>
      <t xml:space="preserve">  </t>
    </r>
    <r>
      <rPr>
        <b/>
        <sz val="12"/>
        <color theme="1"/>
        <rFont val="Geomanist Light"/>
      </rPr>
      <t>(Predial, Industria y Comercio, ICA, Pasarela de Pagos) Categoria 3</t>
    </r>
    <r>
      <rPr>
        <sz val="12"/>
        <color theme="1"/>
        <rFont val="Geomanist Light"/>
      </rPr>
      <t xml:space="preserve">  Nota: requiere Software de Gestión Documental e process Extended suite - ECM</t>
    </r>
  </si>
  <si>
    <r>
      <t xml:space="preserve">Software de Gestión Documental e process Extended Suite- </t>
    </r>
    <r>
      <rPr>
        <b/>
        <sz val="12"/>
        <color theme="1"/>
        <rFont val="Geomanist Light"/>
      </rPr>
      <t>Impuestos Municipales</t>
    </r>
    <r>
      <rPr>
        <sz val="12"/>
        <color theme="1"/>
        <rFont val="Geomanist Light"/>
      </rPr>
      <t xml:space="preserve">  </t>
    </r>
    <r>
      <rPr>
        <b/>
        <sz val="12"/>
        <color theme="1"/>
        <rFont val="Geomanist Light"/>
      </rPr>
      <t>(Predial, Industria y Comercio, ICA, Pasarela de Pagos)</t>
    </r>
    <r>
      <rPr>
        <sz val="12"/>
        <color theme="1"/>
        <rFont val="Geomanist Light"/>
      </rPr>
      <t xml:space="preserve"> </t>
    </r>
    <r>
      <rPr>
        <b/>
        <sz val="12"/>
        <color theme="1"/>
        <rFont val="Geomanist Light"/>
      </rPr>
      <t>Categoria 4</t>
    </r>
    <r>
      <rPr>
        <sz val="12"/>
        <color theme="1"/>
        <rFont val="Geomanist Light"/>
      </rPr>
      <t xml:space="preserve">  Nota: requiere Software de Gestión Documental e process Extended suite - ECM</t>
    </r>
  </si>
  <si>
    <r>
      <t xml:space="preserve">Software de Gestión Documental e process Extended Suite- </t>
    </r>
    <r>
      <rPr>
        <b/>
        <sz val="12"/>
        <color theme="1"/>
        <rFont val="Geomanist Light"/>
      </rPr>
      <t>Impuestos Municipales</t>
    </r>
    <r>
      <rPr>
        <sz val="12"/>
        <color theme="1"/>
        <rFont val="Geomanist Light"/>
      </rPr>
      <t xml:space="preserve">  </t>
    </r>
    <r>
      <rPr>
        <b/>
        <sz val="12"/>
        <color theme="1"/>
        <rFont val="Geomanist Light"/>
      </rPr>
      <t>(Predial, Industria y Comercio, ICA, Pasarela de Pagos)</t>
    </r>
    <r>
      <rPr>
        <sz val="12"/>
        <color theme="1"/>
        <rFont val="Geomanist Light"/>
      </rPr>
      <t xml:space="preserve"> </t>
    </r>
    <r>
      <rPr>
        <b/>
        <sz val="12"/>
        <color theme="1"/>
        <rFont val="Geomanist Light"/>
      </rPr>
      <t>Categoria 5</t>
    </r>
    <r>
      <rPr>
        <sz val="12"/>
        <color theme="1"/>
        <rFont val="Geomanist Light"/>
      </rPr>
      <t xml:space="preserve">  Nota: requiere Software de Gestión Documental e process Extended suite - ECM</t>
    </r>
  </si>
  <si>
    <r>
      <t xml:space="preserve">Software de Gestión Documental e process Extended Suite- </t>
    </r>
    <r>
      <rPr>
        <b/>
        <sz val="12"/>
        <color theme="1"/>
        <rFont val="Geomanist Light"/>
      </rPr>
      <t>Impuestos Municipales</t>
    </r>
    <r>
      <rPr>
        <sz val="12"/>
        <color theme="1"/>
        <rFont val="Geomanist Light"/>
      </rPr>
      <t xml:space="preserve">  </t>
    </r>
    <r>
      <rPr>
        <b/>
        <sz val="12"/>
        <color theme="1"/>
        <rFont val="Geomanist Light"/>
      </rPr>
      <t xml:space="preserve"> (Predial, Industria y Comercio, ICA, Pasarela de Pagos) Categoria 6</t>
    </r>
    <r>
      <rPr>
        <sz val="12"/>
        <color theme="1"/>
        <rFont val="Geomanist Light"/>
      </rPr>
      <t xml:space="preserve">  Nota: requiere Software de Gestión Documental e process Extended suite - ECM</t>
    </r>
  </si>
  <si>
    <r>
      <t xml:space="preserve">Software de Gestión Documental e process Extended suite - </t>
    </r>
    <r>
      <rPr>
        <b/>
        <sz val="12"/>
        <color theme="1"/>
        <rFont val="Geomanist Light"/>
      </rPr>
      <t>ECM</t>
    </r>
    <r>
      <rPr>
        <sz val="12"/>
        <color theme="1"/>
        <rFont val="Geomanist Light"/>
      </rPr>
      <t>, Nota1: El Cliente es responsable de la arquitectura (Servidores, Seguridad, Almacenamiento, etc.), Nota 2: El soporte del primer año esta incluido.</t>
    </r>
  </si>
  <si>
    <r>
      <t xml:space="preserve">Software de Gestión Documental e process Extended Suite - </t>
    </r>
    <r>
      <rPr>
        <b/>
        <sz val="12"/>
        <color theme="1"/>
        <rFont val="Geomanist Light"/>
      </rPr>
      <t>BPM</t>
    </r>
    <r>
      <rPr>
        <sz val="12"/>
        <color theme="1"/>
        <rFont val="Geomanist Light"/>
      </rPr>
      <t>, Nota1: El Cliente es responsable de la arquitectura (Servidores, Seguridad, Almacenamiento, etc.), Nota 2: El soporte del primer año esta incluido.</t>
    </r>
  </si>
  <si>
    <r>
      <t xml:space="preserve">Software de Gestión Documental e process Extended Suite - </t>
    </r>
    <r>
      <rPr>
        <b/>
        <sz val="12"/>
        <color theme="1"/>
        <rFont val="Geomanist Light"/>
      </rPr>
      <t>Sede Electrónica</t>
    </r>
    <r>
      <rPr>
        <sz val="12"/>
        <color theme="1"/>
        <rFont val="Geomanist Light"/>
      </rPr>
      <t>, Nota1: El Cliente es responsable de la arquitectura (Servidores, Seguridad, Almacenamiento, etc.), Nota 2: El soporte del primer año esta incluido.</t>
    </r>
  </si>
  <si>
    <r>
      <t xml:space="preserve">Software de Gestión Documental e process Extended Suite - </t>
    </r>
    <r>
      <rPr>
        <b/>
        <sz val="12"/>
        <color theme="1"/>
        <rFont val="Geomanist Light"/>
      </rPr>
      <t>PQRSDF</t>
    </r>
    <r>
      <rPr>
        <sz val="12"/>
        <color theme="1"/>
        <rFont val="Geomanist Light"/>
      </rPr>
      <t xml:space="preserve"> - Usuarios adicional, Nota: El Cliente es responsable de la arquitectura (Servidores, Seguridad, Almacenamiento, etc.), Nota 2: El soporte del primer año esta incluido.</t>
    </r>
  </si>
  <si>
    <r>
      <t xml:space="preserve">Software de Gestión Documental e process Extended Suite - </t>
    </r>
    <r>
      <rPr>
        <b/>
        <sz val="12"/>
        <color theme="1"/>
        <rFont val="Geomanist Light"/>
      </rPr>
      <t>Tutelas</t>
    </r>
    <r>
      <rPr>
        <sz val="12"/>
        <color theme="1"/>
        <rFont val="Geomanist Light"/>
      </rPr>
      <t>, Nota1: El Cliente es responsable de la arquitectura (Servidores, Seguridad, Almacenamiento, etc.), Nota 2: El soporte del primer año esta incluido.</t>
    </r>
  </si>
  <si>
    <r>
      <t xml:space="preserve">Software de Gestión Documental e process Extended Suite - </t>
    </r>
    <r>
      <rPr>
        <b/>
        <sz val="12"/>
        <color theme="1"/>
        <rFont val="Geomanist Light"/>
      </rPr>
      <t>Contratistas</t>
    </r>
    <r>
      <rPr>
        <sz val="12"/>
        <color theme="1"/>
        <rFont val="Geomanist Light"/>
      </rPr>
      <t>, Nota1: El Cliente es responsable de la arquitectura (Servidores, Seguridad, Almacenamiento, etc.), Nota 2: El soporte del primer año esta incluido.</t>
    </r>
  </si>
  <si>
    <r>
      <t xml:space="preserve">Software de Gestión Documental e process Extended Suite - </t>
    </r>
    <r>
      <rPr>
        <b/>
        <sz val="12"/>
        <color theme="1"/>
        <rFont val="Geomanist Light"/>
      </rPr>
      <t>Ventanilla Unica de Registro</t>
    </r>
    <r>
      <rPr>
        <sz val="12"/>
        <color theme="1"/>
        <rFont val="Geomanist Light"/>
      </rPr>
      <t>, Nota1: El Cliente es responsable de la arquitectura (Servidores, Seguridad, Almacenamiento, etc.), Nota 2: El soporte del primer año esta incluido.</t>
    </r>
  </si>
  <si>
    <r>
      <t xml:space="preserve">Software de Gestión Documental e process Extended Suite - </t>
    </r>
    <r>
      <rPr>
        <b/>
        <sz val="12"/>
        <color theme="1"/>
        <rFont val="Geomanist Light"/>
      </rPr>
      <t>Historias Laborales</t>
    </r>
    <r>
      <rPr>
        <sz val="12"/>
        <color theme="1"/>
        <rFont val="Geomanist Light"/>
      </rPr>
      <t>, Nota1: El Cliente es responsable de la arquitectura (Servidores, Seguridad, Almacenamiento, etc.), Nota 2: El soporte del primer año esta incluido.</t>
    </r>
  </si>
  <si>
    <r>
      <t xml:space="preserve">Software de Gestión Documental e process Extended Suite - </t>
    </r>
    <r>
      <rPr>
        <b/>
        <sz val="12"/>
        <color theme="1"/>
        <rFont val="Geomanist Light"/>
      </rPr>
      <t>Tareas</t>
    </r>
    <r>
      <rPr>
        <sz val="12"/>
        <color theme="1"/>
        <rFont val="Geomanist Light"/>
      </rPr>
      <t>, Nota1: El Cliente es responsable de la arquitectura (Servidores, Seguridad, Almacenamiento, etc.), Nota 2: El soporte del primer año esta incluido.</t>
    </r>
  </si>
  <si>
    <r>
      <t xml:space="preserve">Software de Gestión Documental e process Extended suite - soporte anual a partir del segundo año </t>
    </r>
    <r>
      <rPr>
        <b/>
        <sz val="12"/>
        <color theme="1"/>
        <rFont val="Geomanist Light"/>
      </rPr>
      <t>ECM</t>
    </r>
  </si>
  <si>
    <r>
      <t xml:space="preserve">Software de Gestión Documental e process Extended Suite - soporte anual a partir del Segundo año </t>
    </r>
    <r>
      <rPr>
        <b/>
        <sz val="12"/>
        <color theme="1"/>
        <rFont val="Geomanist Light"/>
      </rPr>
      <t>BPM</t>
    </r>
  </si>
  <si>
    <r>
      <t xml:space="preserve">Software de Gestión Documental e process Extended Suite - soporte anual a partir del segundo año </t>
    </r>
    <r>
      <rPr>
        <b/>
        <sz val="12"/>
        <color theme="1"/>
        <rFont val="Geomanist Light"/>
      </rPr>
      <t>Sede Electrónica</t>
    </r>
  </si>
  <si>
    <r>
      <t xml:space="preserve">Software de Gestión Documental e process Extended Suite - soporte anual a partir  del segundo año </t>
    </r>
    <r>
      <rPr>
        <b/>
        <sz val="12"/>
        <color theme="1"/>
        <rFont val="Geomanist Light"/>
      </rPr>
      <t>PQRSDF</t>
    </r>
  </si>
  <si>
    <r>
      <t xml:space="preserve">Software de Gestión Documental e process Extended Suite - soporte anual a partir  del segundo año </t>
    </r>
    <r>
      <rPr>
        <b/>
        <sz val="12"/>
        <color theme="1"/>
        <rFont val="Geomanist Light"/>
      </rPr>
      <t>Tutelas</t>
    </r>
  </si>
  <si>
    <r>
      <t xml:space="preserve">Software de Gestión Documental e process Extended Suite - soporte anual a partir  del segundo año </t>
    </r>
    <r>
      <rPr>
        <b/>
        <sz val="12"/>
        <color theme="1"/>
        <rFont val="Geomanist Light"/>
      </rPr>
      <t>Contratistas</t>
    </r>
  </si>
  <si>
    <r>
      <t xml:space="preserve">Software de Gestión Documental e process Extended Suite - soporte anual a partir del segundo año </t>
    </r>
    <r>
      <rPr>
        <b/>
        <sz val="12"/>
        <color theme="1"/>
        <rFont val="Geomanist Light"/>
      </rPr>
      <t>VUR</t>
    </r>
  </si>
  <si>
    <r>
      <t xml:space="preserve">Software de Gestión Documental e process Extended Suite - soporte anual a partir del segundo año </t>
    </r>
    <r>
      <rPr>
        <b/>
        <sz val="12"/>
        <color theme="1"/>
        <rFont val="Geomanist Light"/>
      </rPr>
      <t>Historias Laborales</t>
    </r>
  </si>
  <si>
    <r>
      <t xml:space="preserve">Software de Gestión Documental e process Extended Suite - soporte anual a partir del  segundo año  </t>
    </r>
    <r>
      <rPr>
        <b/>
        <sz val="12"/>
        <color theme="1"/>
        <rFont val="Geomanist Light"/>
      </rPr>
      <t>Tareas</t>
    </r>
  </si>
  <si>
    <r>
      <t xml:space="preserve">Software de Gestión Documental e process Extended Suite - </t>
    </r>
    <r>
      <rPr>
        <b/>
        <sz val="12"/>
        <color theme="1"/>
        <rFont val="Geomanist Light"/>
      </rPr>
      <t>Tramites Municipios</t>
    </r>
    <r>
      <rPr>
        <sz val="12"/>
        <color theme="1"/>
        <rFont val="Geomanist Light"/>
      </rPr>
      <t xml:space="preserve"> </t>
    </r>
    <r>
      <rPr>
        <b/>
        <sz val="12"/>
        <color theme="1"/>
        <rFont val="Geomanist Light"/>
      </rPr>
      <t xml:space="preserve">(Planeación - Hacienda  - Taquilla) Categoria  1 </t>
    </r>
    <r>
      <rPr>
        <sz val="12"/>
        <color theme="1"/>
        <rFont val="Geomanist Light"/>
      </rPr>
      <t xml:space="preserve"> Nota1: requiere Software de Gestión Documental e process Extended suite - ECM, Nota 2: El soporte del primer año esta incluido.</t>
    </r>
  </si>
  <si>
    <r>
      <t xml:space="preserve">Software de Gestión Documental e process Extended Suite - </t>
    </r>
    <r>
      <rPr>
        <b/>
        <sz val="12"/>
        <color theme="1"/>
        <rFont val="Geomanist Light"/>
      </rPr>
      <t>Tramites Municipales</t>
    </r>
    <r>
      <rPr>
        <sz val="12"/>
        <color theme="1"/>
        <rFont val="Geomanist Light"/>
      </rPr>
      <t xml:space="preserve"> </t>
    </r>
    <r>
      <rPr>
        <b/>
        <sz val="12"/>
        <color theme="1"/>
        <rFont val="Geomanist Light"/>
      </rPr>
      <t>(Planeación - Hacienda  - Taquilla) Categoria 2</t>
    </r>
    <r>
      <rPr>
        <sz val="12"/>
        <color theme="1"/>
        <rFont val="Geomanist Light"/>
      </rPr>
      <t xml:space="preserve">  Nota1: requiere Software de Gestión Documental e process Extended suite -ECM, Nota 2: El soporte del primer año esta incluido.</t>
    </r>
  </si>
  <si>
    <r>
      <t xml:space="preserve">Software de Gestión Documental e process Extended Suite - </t>
    </r>
    <r>
      <rPr>
        <b/>
        <sz val="12"/>
        <color theme="1"/>
        <rFont val="Geomanist Light"/>
      </rPr>
      <t>Tramites Municipales</t>
    </r>
    <r>
      <rPr>
        <sz val="12"/>
        <color theme="1"/>
        <rFont val="Geomanist Light"/>
      </rPr>
      <t xml:space="preserve"> </t>
    </r>
    <r>
      <rPr>
        <b/>
        <sz val="12"/>
        <color theme="1"/>
        <rFont val="Geomanist Light"/>
      </rPr>
      <t xml:space="preserve">(Planeación - Hacienda  - Taquilla) Categoria 3 </t>
    </r>
    <r>
      <rPr>
        <sz val="12"/>
        <color theme="1"/>
        <rFont val="Geomanist Light"/>
      </rPr>
      <t xml:space="preserve"> Nota 1: requiere Software de Gestión Documental e process Extended suite -ECM, Nota 2: El soporte del primer año esta incluido.</t>
    </r>
  </si>
  <si>
    <r>
      <t xml:space="preserve">Software de Gestión Documental e process Extended Suite - </t>
    </r>
    <r>
      <rPr>
        <b/>
        <sz val="12"/>
        <color theme="1"/>
        <rFont val="Geomanist Light"/>
      </rPr>
      <t>Tramites  Municipales (Planeación - Hacienda  - Taquilla) Categoria 4</t>
    </r>
    <r>
      <rPr>
        <sz val="12"/>
        <color theme="1"/>
        <rFont val="Geomanist Light"/>
      </rPr>
      <t xml:space="preserve">  Nota 1: requiere Software de Gestión Documental e process Extended suite -ECM,Nota 2: El soporte del primer año esta incluido.</t>
    </r>
  </si>
  <si>
    <r>
      <t xml:space="preserve">Software de Gestión Documental e process Extended Suite - </t>
    </r>
    <r>
      <rPr>
        <b/>
        <sz val="12"/>
        <color theme="1"/>
        <rFont val="Geomanist Light"/>
      </rPr>
      <t>Tramites Municipales</t>
    </r>
    <r>
      <rPr>
        <sz val="12"/>
        <color theme="1"/>
        <rFont val="Geomanist Light"/>
      </rPr>
      <t xml:space="preserve"> </t>
    </r>
    <r>
      <rPr>
        <b/>
        <sz val="12"/>
        <color theme="1"/>
        <rFont val="Geomanist Light"/>
      </rPr>
      <t>(Planeación - Hacienda  - Taquilla) Categoria 5</t>
    </r>
    <r>
      <rPr>
        <sz val="12"/>
        <color theme="1"/>
        <rFont val="Geomanist Light"/>
      </rPr>
      <t xml:space="preserve">  Nota 1: requiere Software de Gestión Documental e process Extended suite -ECM, Nota 2: El soporte del primer año esta incluido.</t>
    </r>
  </si>
  <si>
    <r>
      <t xml:space="preserve">Software de Gestión Documental e process Extended Suite - </t>
    </r>
    <r>
      <rPr>
        <b/>
        <sz val="12"/>
        <color rgb="FF000000"/>
        <rFont val="Geomanist Light"/>
      </rPr>
      <t xml:space="preserve">Tramites Municipales (Planeación - Hacienda  - Taquilla) Categoria 6 </t>
    </r>
    <r>
      <rPr>
        <sz val="12"/>
        <color rgb="FF000000"/>
        <rFont val="Geomanist Light"/>
      </rPr>
      <t xml:space="preserve"> Nota 1: requiere Software de Gestión Documental e process Extended suite -ECM, Nota 2: El soporte del primer año esta incluido.</t>
    </r>
  </si>
  <si>
    <r>
      <t xml:space="preserve">Software de Gestión Documental e process Extended Suite - </t>
    </r>
    <r>
      <rPr>
        <b/>
        <sz val="12"/>
        <color theme="1"/>
        <rFont val="Geomanist Light"/>
      </rPr>
      <t>soporte anual a partir del segundo año Tramites Municipales</t>
    </r>
    <r>
      <rPr>
        <sz val="12"/>
        <color theme="1"/>
        <rFont val="Geomanist Light"/>
      </rPr>
      <t xml:space="preserve"> </t>
    </r>
    <r>
      <rPr>
        <b/>
        <sz val="12"/>
        <color theme="1"/>
        <rFont val="Geomanist Light"/>
      </rPr>
      <t xml:space="preserve"> Categoria  1 </t>
    </r>
    <r>
      <rPr>
        <sz val="12"/>
        <color theme="1"/>
        <rFont val="Geomanist Light"/>
      </rPr>
      <t xml:space="preserve"> Nota: requiere Software de Gestión Documental e process Extended suite - ECM</t>
    </r>
  </si>
  <si>
    <r>
      <t xml:space="preserve">Software de Gestión Documental e process Extended Suite - </t>
    </r>
    <r>
      <rPr>
        <b/>
        <sz val="12"/>
        <color theme="1"/>
        <rFont val="Geomanist Light"/>
      </rPr>
      <t>soporte anual a partir del segundo año Tramites Municipales</t>
    </r>
    <r>
      <rPr>
        <sz val="12"/>
        <color theme="1"/>
        <rFont val="Geomanist Light"/>
      </rPr>
      <t xml:space="preserve"> </t>
    </r>
    <r>
      <rPr>
        <b/>
        <sz val="12"/>
        <color theme="1"/>
        <rFont val="Geomanist Light"/>
      </rPr>
      <t>Categoria 2</t>
    </r>
    <r>
      <rPr>
        <sz val="12"/>
        <color theme="1"/>
        <rFont val="Geomanist Light"/>
      </rPr>
      <t xml:space="preserve">  Nota: requiere Software de Gestión Documental e process Extended suite - ECM</t>
    </r>
  </si>
  <si>
    <r>
      <t xml:space="preserve">Software de Gestión Documental e process Extended Suite - </t>
    </r>
    <r>
      <rPr>
        <b/>
        <sz val="12"/>
        <color theme="1"/>
        <rFont val="Geomanist Light"/>
      </rPr>
      <t>soporte anual a partir del segundo año Tramites Municipales  Categoria 3</t>
    </r>
    <r>
      <rPr>
        <sz val="12"/>
        <color theme="1"/>
        <rFont val="Geomanist Light"/>
      </rPr>
      <t xml:space="preserve"> Nota: requiere Software de Gestión Documental e process Extended suite - ECM</t>
    </r>
  </si>
  <si>
    <r>
      <t xml:space="preserve">Software de Gestión Documental e process Extended Suite - </t>
    </r>
    <r>
      <rPr>
        <b/>
        <sz val="12"/>
        <color theme="1"/>
        <rFont val="Geomanist Light"/>
      </rPr>
      <t>soporte anual a partir del segundo año</t>
    </r>
    <r>
      <rPr>
        <sz val="12"/>
        <color theme="1"/>
        <rFont val="Geomanist Light"/>
      </rPr>
      <t xml:space="preserve"> </t>
    </r>
    <r>
      <rPr>
        <b/>
        <sz val="12"/>
        <color theme="1"/>
        <rFont val="Geomanist Light"/>
      </rPr>
      <t xml:space="preserve">Tramites Municipales </t>
    </r>
    <r>
      <rPr>
        <sz val="12"/>
        <color theme="1"/>
        <rFont val="Geomanist Light"/>
      </rPr>
      <t xml:space="preserve"> </t>
    </r>
    <r>
      <rPr>
        <b/>
        <sz val="12"/>
        <color theme="1"/>
        <rFont val="Geomanist Light"/>
      </rPr>
      <t>Categoria 4</t>
    </r>
    <r>
      <rPr>
        <sz val="12"/>
        <color theme="1"/>
        <rFont val="Geomanist Light"/>
      </rPr>
      <t xml:space="preserve"> Nota: requiere Software de Gestión Documental e process Extended suite - ECM</t>
    </r>
  </si>
  <si>
    <r>
      <t xml:space="preserve">Software de Gestión Documental e process Extended Suite - </t>
    </r>
    <r>
      <rPr>
        <b/>
        <sz val="12"/>
        <color theme="1"/>
        <rFont val="Geomanist Light"/>
      </rPr>
      <t xml:space="preserve">Soporte anual a partir del segundo año Tramites Municipales </t>
    </r>
    <r>
      <rPr>
        <sz val="12"/>
        <color theme="1"/>
        <rFont val="Geomanist Light"/>
      </rPr>
      <t xml:space="preserve"> </t>
    </r>
    <r>
      <rPr>
        <b/>
        <sz val="12"/>
        <color theme="1"/>
        <rFont val="Geomanist Light"/>
      </rPr>
      <t>Categoria 5</t>
    </r>
    <r>
      <rPr>
        <sz val="12"/>
        <color theme="1"/>
        <rFont val="Geomanist Light"/>
      </rPr>
      <t xml:space="preserve"> Nota: requiere Software de Gestión Documental e process Extended suite - ECM</t>
    </r>
  </si>
  <si>
    <r>
      <t xml:space="preserve">Software de Gestión Documental e process Extended Suite - </t>
    </r>
    <r>
      <rPr>
        <b/>
        <sz val="12"/>
        <color rgb="FF000000"/>
        <rFont val="Geomanist Light"/>
      </rPr>
      <t>Soporte anual a partir del segundo año Tramites Municipales</t>
    </r>
    <r>
      <rPr>
        <sz val="12"/>
        <color rgb="FF000000"/>
        <rFont val="Geomanist Light"/>
      </rPr>
      <t xml:space="preserve"> </t>
    </r>
    <r>
      <rPr>
        <b/>
        <sz val="12"/>
        <color rgb="FF000000"/>
        <rFont val="Geomanist Light"/>
      </rPr>
      <t xml:space="preserve">Categoria 6 </t>
    </r>
    <r>
      <rPr>
        <sz val="12"/>
        <color rgb="FF000000"/>
        <rFont val="Geomanist Light"/>
      </rPr>
      <t xml:space="preserve"> Nota: requiere Software de Gestión Documental e process Extended suite - ECM</t>
    </r>
  </si>
  <si>
    <r>
      <t xml:space="preserve">Software de Gestión Documental e process Extended Suite - </t>
    </r>
    <r>
      <rPr>
        <b/>
        <sz val="12"/>
        <color theme="1"/>
        <rFont val="Geomanist Light"/>
      </rPr>
      <t xml:space="preserve">Impuestos Municipales </t>
    </r>
    <r>
      <rPr>
        <sz val="12"/>
        <color theme="1"/>
        <rFont val="Geomanist Light"/>
      </rPr>
      <t>(</t>
    </r>
    <r>
      <rPr>
        <b/>
        <sz val="12"/>
        <color theme="1"/>
        <rFont val="Geomanist Light"/>
      </rPr>
      <t>Predial, Industria y Comercio, ICA, Pasarela de Pagos)</t>
    </r>
    <r>
      <rPr>
        <sz val="12"/>
        <color theme="1"/>
        <rFont val="Geomanist Light"/>
      </rPr>
      <t xml:space="preserve"> </t>
    </r>
    <r>
      <rPr>
        <b/>
        <sz val="12"/>
        <color theme="1"/>
        <rFont val="Geomanist Light"/>
      </rPr>
      <t>Categoria 1</t>
    </r>
    <r>
      <rPr>
        <sz val="12"/>
        <color theme="1"/>
        <rFont val="Geomanist Light"/>
      </rPr>
      <t>, Nota 1: El soporte del primer año esta incluido.</t>
    </r>
  </si>
  <si>
    <r>
      <t xml:space="preserve">Software de Gestión Documental e process Extended Suite - </t>
    </r>
    <r>
      <rPr>
        <b/>
        <sz val="12"/>
        <color theme="1"/>
        <rFont val="Geomanist Light"/>
      </rPr>
      <t>Impuestos Municipales  (Predial, Industria y Comercio, ICA, Pasarela de Pagos) Categoria 2</t>
    </r>
    <r>
      <rPr>
        <sz val="12"/>
        <color theme="1"/>
        <rFont val="Geomanist Light"/>
      </rPr>
      <t>, Nota 1: El soporte del primer año esta incluido.</t>
    </r>
  </si>
  <si>
    <r>
      <t xml:space="preserve">Software de Gestión Documental e process Extended Suite - </t>
    </r>
    <r>
      <rPr>
        <b/>
        <sz val="12"/>
        <color theme="1"/>
        <rFont val="Geomanist Light"/>
      </rPr>
      <t>Impuestos Municipales</t>
    </r>
    <r>
      <rPr>
        <sz val="12"/>
        <color theme="1"/>
        <rFont val="Geomanist Light"/>
      </rPr>
      <t xml:space="preserve">  </t>
    </r>
    <r>
      <rPr>
        <b/>
        <sz val="12"/>
        <color theme="1"/>
        <rFont val="Geomanist Light"/>
      </rPr>
      <t>(Predial, Industria y Comercio, ICA, Pasarela de Pagos)</t>
    </r>
    <r>
      <rPr>
        <sz val="12"/>
        <color theme="1"/>
        <rFont val="Geomanist Light"/>
      </rPr>
      <t xml:space="preserve"> </t>
    </r>
    <r>
      <rPr>
        <b/>
        <sz val="12"/>
        <color theme="1"/>
        <rFont val="Geomanist Light"/>
      </rPr>
      <t>Categoria 3</t>
    </r>
    <r>
      <rPr>
        <sz val="12"/>
        <color theme="1"/>
        <rFont val="Geomanist Light"/>
      </rPr>
      <t>, Nota 1: El soporte del primer año esta incluido.</t>
    </r>
  </si>
  <si>
    <r>
      <t xml:space="preserve">Software de Gestión Documental e process Extended Suite - </t>
    </r>
    <r>
      <rPr>
        <b/>
        <sz val="12"/>
        <color theme="1"/>
        <rFont val="Geomanist Light"/>
      </rPr>
      <t>Impuestos Municipales</t>
    </r>
    <r>
      <rPr>
        <sz val="12"/>
        <color theme="1"/>
        <rFont val="Geomanist Light"/>
      </rPr>
      <t xml:space="preserve">  </t>
    </r>
    <r>
      <rPr>
        <b/>
        <sz val="12"/>
        <color theme="1"/>
        <rFont val="Geomanist Light"/>
      </rPr>
      <t>(Predial, Industria y Comercio, ICA, Pasarela de Pagos) Categoria 4</t>
    </r>
    <r>
      <rPr>
        <sz val="12"/>
        <color theme="1"/>
        <rFont val="Geomanist Light"/>
      </rPr>
      <t>, Nota 1: El soporte del primer año esta incluido.</t>
    </r>
  </si>
  <si>
    <r>
      <t xml:space="preserve">Software de Gestión Documental e process Extended Suite - </t>
    </r>
    <r>
      <rPr>
        <b/>
        <sz val="12"/>
        <color theme="1"/>
        <rFont val="Geomanist Light"/>
      </rPr>
      <t>Impuestos Municipales</t>
    </r>
    <r>
      <rPr>
        <sz val="12"/>
        <color theme="1"/>
        <rFont val="Geomanist Light"/>
      </rPr>
      <t xml:space="preserve"> </t>
    </r>
    <r>
      <rPr>
        <b/>
        <sz val="12"/>
        <color theme="1"/>
        <rFont val="Geomanist Light"/>
      </rPr>
      <t xml:space="preserve"> (Predial, Industria y Comercio, ICA, Pasarela de Pagos) Categoria 5</t>
    </r>
    <r>
      <rPr>
        <sz val="12"/>
        <color theme="1"/>
        <rFont val="Geomanist Light"/>
      </rPr>
      <t>, Nota 1: El soporte del primer año esta incluido.</t>
    </r>
  </si>
  <si>
    <r>
      <t>Software de Gestión Documental e process Extended Suite -</t>
    </r>
    <r>
      <rPr>
        <b/>
        <sz val="12"/>
        <color theme="1"/>
        <rFont val="Geomanist Light"/>
      </rPr>
      <t xml:space="preserve"> Impuestos Municipales</t>
    </r>
    <r>
      <rPr>
        <sz val="12"/>
        <color theme="1"/>
        <rFont val="Geomanist Light"/>
      </rPr>
      <t xml:space="preserve">   </t>
    </r>
    <r>
      <rPr>
        <b/>
        <sz val="12"/>
        <color theme="1"/>
        <rFont val="Geomanist Light"/>
      </rPr>
      <t>(Predial, Industria y Comercio, ICA, Pasarela de Pagos)</t>
    </r>
    <r>
      <rPr>
        <sz val="12"/>
        <color theme="1"/>
        <rFont val="Geomanist Light"/>
      </rPr>
      <t xml:space="preserve"> </t>
    </r>
    <r>
      <rPr>
        <b/>
        <sz val="12"/>
        <color theme="1"/>
        <rFont val="Geomanist Light"/>
      </rPr>
      <t>Categoria 6</t>
    </r>
    <r>
      <rPr>
        <sz val="12"/>
        <color theme="1"/>
        <rFont val="Geomanist Light"/>
      </rPr>
      <t>, Nota 1: El soporte del primer año esta incluido.</t>
    </r>
  </si>
  <si>
    <r>
      <t xml:space="preserve">Software de Gestión Documental e process Extended Suite - </t>
    </r>
    <r>
      <rPr>
        <b/>
        <sz val="12"/>
        <color theme="1"/>
        <rFont val="Geomanist Light"/>
      </rPr>
      <t>Soporte anual a partir del segundo año  Impuestos Municipales</t>
    </r>
    <r>
      <rPr>
        <sz val="12"/>
        <color theme="1"/>
        <rFont val="Geomanist Light"/>
      </rPr>
      <t xml:space="preserve"> (Predial, Industria y Comercio, ICA, Pasarela de Pagos) </t>
    </r>
    <r>
      <rPr>
        <b/>
        <sz val="12"/>
        <color theme="1"/>
        <rFont val="Geomanist Light"/>
      </rPr>
      <t>Categoria 1</t>
    </r>
  </si>
  <si>
    <r>
      <t xml:space="preserve">Software de Gestión Documental e process Extended Suite - </t>
    </r>
    <r>
      <rPr>
        <b/>
        <sz val="12"/>
        <color theme="1"/>
        <rFont val="Geomanist Light"/>
      </rPr>
      <t xml:space="preserve">Soporte anual a partir del segundo año  Impuestos Municipales </t>
    </r>
    <r>
      <rPr>
        <sz val="12"/>
        <color theme="1"/>
        <rFont val="Geomanist Light"/>
      </rPr>
      <t xml:space="preserve"> (Predial, Industria y Comercio, ICA, Pasarela de Pagos) </t>
    </r>
    <r>
      <rPr>
        <b/>
        <sz val="12"/>
        <color theme="1"/>
        <rFont val="Geomanist Light"/>
      </rPr>
      <t>Categoria 2</t>
    </r>
  </si>
  <si>
    <r>
      <t xml:space="preserve">Software de Gestión Documental e process Extended Suite - </t>
    </r>
    <r>
      <rPr>
        <b/>
        <sz val="12"/>
        <color theme="1"/>
        <rFont val="Geomanist Light"/>
      </rPr>
      <t>Soporte anual a partir del segundo año Impuestos Municipales</t>
    </r>
    <r>
      <rPr>
        <sz val="12"/>
        <color theme="1"/>
        <rFont val="Geomanist Light"/>
      </rPr>
      <t xml:space="preserve">  (Predial, Industria y Comercio, ICA, Pasarela de Pagos) </t>
    </r>
    <r>
      <rPr>
        <b/>
        <sz val="12"/>
        <color theme="1"/>
        <rFont val="Geomanist Light"/>
      </rPr>
      <t>Categoria 3</t>
    </r>
  </si>
  <si>
    <r>
      <t xml:space="preserve">Software de Gestión Documental e process Extended Suite - </t>
    </r>
    <r>
      <rPr>
        <b/>
        <sz val="12"/>
        <color theme="1"/>
        <rFont val="Geomanist Light"/>
      </rPr>
      <t xml:space="preserve">Soporte anual a partir del segundo año  Impuestos Municipales </t>
    </r>
    <r>
      <rPr>
        <sz val="12"/>
        <color theme="1"/>
        <rFont val="Geomanist Light"/>
      </rPr>
      <t xml:space="preserve"> (Predial, Industria y Comercio, ICA, Pasarela de Pagos) </t>
    </r>
    <r>
      <rPr>
        <b/>
        <sz val="12"/>
        <color theme="1"/>
        <rFont val="Geomanist Light"/>
      </rPr>
      <t>Categoria 4</t>
    </r>
  </si>
  <si>
    <r>
      <t xml:space="preserve">Software de Gestión Documental e process Extended Suite - </t>
    </r>
    <r>
      <rPr>
        <b/>
        <sz val="12"/>
        <color theme="1"/>
        <rFont val="Geomanist Light"/>
      </rPr>
      <t xml:space="preserve">Soporte anual a partir del segundo año Impuestos Municipales </t>
    </r>
    <r>
      <rPr>
        <sz val="12"/>
        <color theme="1"/>
        <rFont val="Geomanist Light"/>
      </rPr>
      <t xml:space="preserve"> (Predial, Industria y Comercio, ICA, Pasarela de Pagos) </t>
    </r>
    <r>
      <rPr>
        <b/>
        <sz val="12"/>
        <color theme="1"/>
        <rFont val="Geomanist Light"/>
      </rPr>
      <t>Categoria 5</t>
    </r>
  </si>
  <si>
    <r>
      <t xml:space="preserve">Software de Gestión Documental e process Extended Suite - </t>
    </r>
    <r>
      <rPr>
        <b/>
        <sz val="12"/>
        <color theme="1"/>
        <rFont val="Geomanist Light"/>
      </rPr>
      <t xml:space="preserve">Soporte anual a partir del segundo año  Impuestos Municipales  </t>
    </r>
    <r>
      <rPr>
        <sz val="12"/>
        <color theme="1"/>
        <rFont val="Geomanist Light"/>
      </rPr>
      <t xml:space="preserve"> (Predial, Industria y Comercio, ICA, Pasarela de Pagos) </t>
    </r>
    <r>
      <rPr>
        <b/>
        <sz val="12"/>
        <color theme="1"/>
        <rFont val="Geomanist Light"/>
      </rPr>
      <t>Categoria 6</t>
    </r>
  </si>
  <si>
    <r>
      <t xml:space="preserve">Software de Gestión Documental e process Extended suite Cualquier modulo - </t>
    </r>
    <r>
      <rPr>
        <b/>
        <sz val="12"/>
        <color theme="1"/>
        <rFont val="Geomanist Light"/>
      </rPr>
      <t>Almacenamiento adicional</t>
    </r>
  </si>
  <si>
    <t>Xertica Colombia SAS</t>
  </si>
  <si>
    <t>XSK-SW-01</t>
  </si>
  <si>
    <t>Software  Xertica Colombia SAS</t>
  </si>
  <si>
    <t>Aplicación en la nube Smartkey  0-100  usuarios</t>
  </si>
  <si>
    <t>De contado</t>
  </si>
  <si>
    <t>XSK-SW-02</t>
  </si>
  <si>
    <t>Aplicación en la nube Smartkey  100-300  usuarios</t>
  </si>
  <si>
    <t>XSK-SW-03</t>
  </si>
  <si>
    <t>Aplicación en la nube Smartkey  300-500  usuarios</t>
  </si>
  <si>
    <t>XSK-SW-04</t>
  </si>
  <si>
    <t>Aplicación en la nube   500-1000  usuarios</t>
  </si>
  <si>
    <t>XSK-SW-05</t>
  </si>
  <si>
    <t>Aplicación en la nube Smartkey  1000-2500  usuarios</t>
  </si>
  <si>
    <t>XSK-SW-06</t>
  </si>
  <si>
    <t>Aplicación en la nube Smartkey  2500-5000  usuarios</t>
  </si>
  <si>
    <t>XSK-SW-07</t>
  </si>
  <si>
    <t>Aplicación en la nube Smartkey  de 5000 en adelante</t>
  </si>
  <si>
    <t>ADA</t>
  </si>
  <si>
    <t>ADA S.A.S</t>
  </si>
  <si>
    <t>ADA-01</t>
  </si>
  <si>
    <t>Sofware SICOF</t>
  </si>
  <si>
    <t xml:space="preserve">SICOF ERP - TODOS LOS MÓDULOS_Capacitación para usuario final - hasta 10 Personas.  </t>
  </si>
  <si>
    <t>ADA-02</t>
  </si>
  <si>
    <t>ADA-03</t>
  </si>
  <si>
    <t>ADA-04</t>
  </si>
  <si>
    <t>ADA-05</t>
  </si>
  <si>
    <t>ADA-06</t>
  </si>
  <si>
    <t>ADA-07</t>
  </si>
  <si>
    <t xml:space="preserve">SICOF ERP - TODOS LOS MÓDULOS_Capacitación para usuario final hasta 20 Personas.  </t>
  </si>
  <si>
    <t>ADA-08</t>
  </si>
  <si>
    <t>ADA-09</t>
  </si>
  <si>
    <t>ADA-10</t>
  </si>
  <si>
    <t>ADA-11</t>
  </si>
  <si>
    <t>ADA-12</t>
  </si>
  <si>
    <t>ADA-13</t>
  </si>
  <si>
    <t xml:space="preserve">SICOF ERP - TODOS LOS MÓDULOS_Capacitación para usuario técnico o administrador - hasta 10 Personas.  </t>
  </si>
  <si>
    <t>ADA-14</t>
  </si>
  <si>
    <t>ADA-15</t>
  </si>
  <si>
    <t>ADA-16</t>
  </si>
  <si>
    <t>ADA-17</t>
  </si>
  <si>
    <t>ADA-18</t>
  </si>
  <si>
    <t>ADA-19</t>
  </si>
  <si>
    <t xml:space="preserve">SICOF ERP - TODOS LOS MÓDULOS_Capacitación para usuario técnico o administrador hasta 20 Personas.  </t>
  </si>
  <si>
    <t>ADA-20</t>
  </si>
  <si>
    <t>ADA-21</t>
  </si>
  <si>
    <t>ADA-22</t>
  </si>
  <si>
    <t>ADA-23</t>
  </si>
  <si>
    <t>ADA-24</t>
  </si>
  <si>
    <t>ADA-25</t>
  </si>
  <si>
    <t xml:space="preserve">SICOF ERP - TODOS LOS MÓDULOS_Configuración y parametrización de los Productos </t>
  </si>
  <si>
    <t>MENSUALMENTE SE FACTURAN LAS HORAS PRESTADAS EN EL MES ANTERIOR</t>
  </si>
  <si>
    <t>ADA-26</t>
  </si>
  <si>
    <t>ADA-27</t>
  </si>
  <si>
    <t>ADA-28</t>
  </si>
  <si>
    <t>ADA-29</t>
  </si>
  <si>
    <t>ADA-30</t>
  </si>
  <si>
    <t>ADA-31</t>
  </si>
  <si>
    <t xml:space="preserve">SICOF ERP - TODOS LOS MÓDULOS_Gerente de cuenta (soporte) </t>
  </si>
  <si>
    <t>ADA-32</t>
  </si>
  <si>
    <t>ADA-33</t>
  </si>
  <si>
    <t>ADA-NOM-1</t>
  </si>
  <si>
    <t>SICOF ERP - NOMINA_Suscripción de licenciamiento anual SICOF ERP en modalidad Saas</t>
  </si>
  <si>
    <t>CONTRA ENTREGA DE CADA LICENCIA, FACTURADO A 30 DIAS</t>
  </si>
  <si>
    <t>ADA-NOM-2</t>
  </si>
  <si>
    <t>ADA-NOM-3</t>
  </si>
  <si>
    <t>ADA-NOM-4</t>
  </si>
  <si>
    <t>ADA-NOM-5</t>
  </si>
  <si>
    <t>ADA-NOM-6</t>
  </si>
  <si>
    <t>ADA-34</t>
  </si>
  <si>
    <t xml:space="preserve">SICOF ERP - TODOS LOS MÓDULOS_Migración de información por volumen de datos almacenados </t>
  </si>
  <si>
    <t>SE FACTURA UNA VEZ FINALIZADO EL PROCESO DE MIGRACIÓN</t>
  </si>
  <si>
    <t>ADA-35</t>
  </si>
  <si>
    <t>ADA-36</t>
  </si>
  <si>
    <t>ADA-37</t>
  </si>
  <si>
    <t>ADA-38</t>
  </si>
  <si>
    <t>ADA-39</t>
  </si>
  <si>
    <t>ADA-40</t>
  </si>
  <si>
    <t xml:space="preserve">SICOF ERP - TODOS LOS MÓDULOS_Soporte técnico en sitio </t>
  </si>
  <si>
    <t>ADA-41</t>
  </si>
  <si>
    <t>ADA-42</t>
  </si>
  <si>
    <t>ADA-43</t>
  </si>
  <si>
    <t xml:space="preserve">SICOF ERP - TODOS LOS MÓDULOS_Soporte técnico proactivo </t>
  </si>
  <si>
    <t>ADA-44</t>
  </si>
  <si>
    <t>ADA-45</t>
  </si>
  <si>
    <t>ADA-46</t>
  </si>
  <si>
    <t>ADA-47</t>
  </si>
  <si>
    <t>ADA-48</t>
  </si>
  <si>
    <t>ADA-49</t>
  </si>
  <si>
    <t xml:space="preserve">SICOF ERP - TODOS LOS MÓDULOS_Soporte técnico reactivo </t>
  </si>
  <si>
    <t>ADA-50</t>
  </si>
  <si>
    <t>ADA-51</t>
  </si>
  <si>
    <t>ADA-52</t>
  </si>
  <si>
    <t>ADA-53</t>
  </si>
  <si>
    <t>ADA-54</t>
  </si>
  <si>
    <t>ADA-TH-1</t>
  </si>
  <si>
    <t>SICOF ERP - TALENTO HUMANO_Suscripción de licenciamiento anual SICOF ERP en modalidad Saas</t>
  </si>
  <si>
    <t>ADA-TH-2</t>
  </si>
  <si>
    <t>ADA-TH-3</t>
  </si>
  <si>
    <t>ADA-TH-4</t>
  </si>
  <si>
    <t>ADA-TH-5</t>
  </si>
  <si>
    <t>ADA-TH-6</t>
  </si>
  <si>
    <t>ADA-ACT-1</t>
  </si>
  <si>
    <t>SICOF ERP - INVENTARIOS Y ACTIVOS FIJOS_Suscripción de licenciamiento anual SICOF ERP en modalidad Saas</t>
  </si>
  <si>
    <t>ADA-ACT-2</t>
  </si>
  <si>
    <t>ADA-ACT-3</t>
  </si>
  <si>
    <t>ADA-ACT-4</t>
  </si>
  <si>
    <t>ADA-ACT-5</t>
  </si>
  <si>
    <t>ADA-ACT-6</t>
  </si>
  <si>
    <t>ADA-P-1</t>
  </si>
  <si>
    <t>SICOF ERP - PRESUPUESTO_Suscripción de licenciamiento anual SICOF ERP en modalidad Saas</t>
  </si>
  <si>
    <t>ADA-P-2</t>
  </si>
  <si>
    <t>ADA-P-3</t>
  </si>
  <si>
    <t>ADA-P-4</t>
  </si>
  <si>
    <t>ADA-P-5</t>
  </si>
  <si>
    <t>ADA-P-6</t>
  </si>
  <si>
    <t>ADA-C-1</t>
  </si>
  <si>
    <t>SICOF ERP - CONTABILIDAD_Suscripción de licenciamiento anual SICOF ERP en modalidad Saas</t>
  </si>
  <si>
    <t>ADA-C-2</t>
  </si>
  <si>
    <t>ADA-C-3</t>
  </si>
  <si>
    <t>ADA-C-4</t>
  </si>
  <si>
    <t>ADA-C-5</t>
  </si>
  <si>
    <t>ADA-C-6</t>
  </si>
  <si>
    <t>ADA-T-1</t>
  </si>
  <si>
    <t>SICOF ERP - TESORERIA_Suscripción de licenciamiento anual SICOF ERP en modalidad Saas</t>
  </si>
  <si>
    <t>ADA-T-2</t>
  </si>
  <si>
    <t>ADA-T-3</t>
  </si>
  <si>
    <t>ADA-T-4</t>
  </si>
  <si>
    <t>ADA-T-5</t>
  </si>
  <si>
    <t>ADA-T-6</t>
  </si>
  <si>
    <t>ADA-GCP-1</t>
  </si>
  <si>
    <t>SICOF ERP - GESTIÓN DE CONTRATOS/CONTRATISTAS/PROYECTOS_Suscripción de licenciamiento anual SICOF ERP en modalidad Saas</t>
  </si>
  <si>
    <t>ADA-GCP-2</t>
  </si>
  <si>
    <t>ADA-GCP-3</t>
  </si>
  <si>
    <t>ADA-GCP-4</t>
  </si>
  <si>
    <t>ADA-GCP-5</t>
  </si>
  <si>
    <t>ADA-GCP-6</t>
  </si>
  <si>
    <t>ADA-CC-1</t>
  </si>
  <si>
    <t>SICOF ERP - COBRO COACTIVO_Suscripción de licenciamiento anual SICOF ERP en modalidad Saas</t>
  </si>
  <si>
    <t>ADA-CC-2</t>
  </si>
  <si>
    <t>ADA-CC-3</t>
  </si>
  <si>
    <t>ADA-CC-4</t>
  </si>
  <si>
    <t>ADA-CC-5</t>
  </si>
  <si>
    <t>ADA-CC-6</t>
  </si>
  <si>
    <t>ADA-GD-1</t>
  </si>
  <si>
    <t>SICOF ERP - GESTIÓN DOCUMENTAL_Suscripción de licenciamiento anual SICOF ERP en modalidad Saas</t>
  </si>
  <si>
    <t xml:space="preserve">  COP  </t>
  </si>
  <si>
    <t>ADA-GD-2</t>
  </si>
  <si>
    <t>ADA-GD-3</t>
  </si>
  <si>
    <t>ADA-GD-4</t>
  </si>
  <si>
    <t>ADA-GD-5</t>
  </si>
  <si>
    <t>ADA-GD-6</t>
  </si>
  <si>
    <t>ADA-V-1</t>
  </si>
  <si>
    <t>SICOF ERP - VIATICOS_Suscripción de licenciamiento anual SICOF ERP en modalidad Saas</t>
  </si>
  <si>
    <t>ADA-V-2</t>
  </si>
  <si>
    <t>ADA-V-3</t>
  </si>
  <si>
    <t>ADA-V-4</t>
  </si>
  <si>
    <t>ADA-V-5</t>
  </si>
  <si>
    <t>ADA-V-6</t>
  </si>
  <si>
    <t>ADA-FSE-1</t>
  </si>
  <si>
    <t>SICOF ERP - FONDOS DE SERVICIOS EDUCATIVOS_Suscripción de licenciamiento anual SICOF ERP en modalidad Saas</t>
  </si>
  <si>
    <t>ADA-FSE-2</t>
  </si>
  <si>
    <t>ADA-FSE-3</t>
  </si>
  <si>
    <t>ADA-FSE-4</t>
  </si>
  <si>
    <t>ADA-FSE-5</t>
  </si>
  <si>
    <t>ADA-FSE-6</t>
  </si>
  <si>
    <t>ADA-RI-1</t>
  </si>
  <si>
    <t>SICOF ERP - RENTAS/IMPUESTOS_Suscripción de licenciamiento anual SICOF ERP en modalidad Saas</t>
  </si>
  <si>
    <t>ADA-RI-2</t>
  </si>
  <si>
    <t>ADA-RI-3</t>
  </si>
  <si>
    <t>ADA-RI-4</t>
  </si>
  <si>
    <t>ADA-RI-5</t>
  </si>
  <si>
    <t>ADA-RI-6</t>
  </si>
  <si>
    <t>ADA-CAT-1</t>
  </si>
  <si>
    <t>SICOF ERP - CATASTRO_Suscripción de licenciamiento anual SICOF ERP en modalidad Saas</t>
  </si>
  <si>
    <t>ADA-CAT-2</t>
  </si>
  <si>
    <t>ADA-CAT-3</t>
  </si>
  <si>
    <t>ADA-CAT-4</t>
  </si>
  <si>
    <t>ADA-CAT-5</t>
  </si>
  <si>
    <t>ADA-CAT-6</t>
  </si>
  <si>
    <t>ADA-NOM-7</t>
  </si>
  <si>
    <t>SICOF ERP - NOMINA_Suscripción de licenciamiento vitalicio SICOF ERP en modalidad Saas</t>
  </si>
  <si>
    <t>ADA-NOM-8</t>
  </si>
  <si>
    <t>ADA-NOM-9</t>
  </si>
  <si>
    <t>ADA-NOM-10</t>
  </si>
  <si>
    <t>ADA-NOM-11</t>
  </si>
  <si>
    <t>ADA-NOM-12</t>
  </si>
  <si>
    <t>ADA-TH-7</t>
  </si>
  <si>
    <t>SICOF ERP - TALENTO HUMANO_Suscripción de licenciamiento vitalicio SICOF ERP en modalidad Saas</t>
  </si>
  <si>
    <t>ADA-TH-8</t>
  </si>
  <si>
    <t>ADA-TH-9</t>
  </si>
  <si>
    <t>ADA-TH-10</t>
  </si>
  <si>
    <t>ADA-TH-11</t>
  </si>
  <si>
    <t>ADA-TH-12</t>
  </si>
  <si>
    <t>ADA-ACT-7</t>
  </si>
  <si>
    <t>SICOF ERP - INVENTARIOS Y ACTIVOS FIJOS_Suscripción de licenciamiento vitalicio SICOF ERP en modalidad Saas</t>
  </si>
  <si>
    <t>ADA-ACT-8</t>
  </si>
  <si>
    <t>ADA-ACT-9</t>
  </si>
  <si>
    <t>ADA-ACT-10</t>
  </si>
  <si>
    <t>ADA-ACT-11</t>
  </si>
  <si>
    <t>ADA-ACT-12</t>
  </si>
  <si>
    <t>ADA-P-7</t>
  </si>
  <si>
    <t>SICOF ERP - PRESUPUESTO_Suscripción de licenciamiento vitalicio SICOF ERP en modalidad Saas</t>
  </si>
  <si>
    <t>ADA-P-8</t>
  </si>
  <si>
    <t>ADA-P-9</t>
  </si>
  <si>
    <t>ADA-P-10</t>
  </si>
  <si>
    <t>ADA-P-11</t>
  </si>
  <si>
    <t>ADA-P-12</t>
  </si>
  <si>
    <t>ADA-C-7</t>
  </si>
  <si>
    <t>SICOF ERP - CONTABILIDAD_Suscripción de licenciamiento vitalicio SICOF ERP en modalidad Saas</t>
  </si>
  <si>
    <t>ADA-C-8</t>
  </si>
  <si>
    <t>ADA-C-9</t>
  </si>
  <si>
    <t>ADA-C-10</t>
  </si>
  <si>
    <t>ADA-C-11</t>
  </si>
  <si>
    <t>ADA-C-12</t>
  </si>
  <si>
    <t>ADA-T-7</t>
  </si>
  <si>
    <t>SICOF ERP - TESORERIA_Suscripción de licenciamiento vitalicio SICOF ERP en modalidad Saas</t>
  </si>
  <si>
    <t>ADA-T-8</t>
  </si>
  <si>
    <t>ADA-T-9</t>
  </si>
  <si>
    <t>ADA-T-10</t>
  </si>
  <si>
    <t>ADA-T-11</t>
  </si>
  <si>
    <t>ADA-T-12</t>
  </si>
  <si>
    <t>ADA-GCP-7</t>
  </si>
  <si>
    <t>SICOF ERP - GESTIÓN DE CONTRATOS/CONTRATISTAS/PROYECTOS_Suscripción de licenciamiento vitalicio SICOF ERP en modalidad Saas</t>
  </si>
  <si>
    <t>ADA-GCP-8</t>
  </si>
  <si>
    <t>ADA-GCP-9</t>
  </si>
  <si>
    <t>ADA-GCP-10</t>
  </si>
  <si>
    <t>ADA-GCP-11</t>
  </si>
  <si>
    <t>ADA-GCP-12</t>
  </si>
  <si>
    <t>ADA-CC-7</t>
  </si>
  <si>
    <t>SICOF ERP - COBRO COATIVO_Suscripción de licenciamiento vitalicio SICOF ERP en modalidad Saas</t>
  </si>
  <si>
    <t>ADA-CC-8</t>
  </si>
  <si>
    <t>ADA-CC-9</t>
  </si>
  <si>
    <t>ADA-CC-10</t>
  </si>
  <si>
    <t>ADA-CC-11</t>
  </si>
  <si>
    <t>ADA-CC-12</t>
  </si>
  <si>
    <t>ADA-GD-7</t>
  </si>
  <si>
    <t>SICOF ERP - GESTIÓN DOCUMENTAL_Suscripción de licenciamiento vitalicio SICOF ERP en modalidad Saas</t>
  </si>
  <si>
    <t>ADA-GD-8</t>
  </si>
  <si>
    <t>ADA-GD-9</t>
  </si>
  <si>
    <t>ADA-GD-10</t>
  </si>
  <si>
    <t>ADA-GD-11</t>
  </si>
  <si>
    <t>ADA-GD-12</t>
  </si>
  <si>
    <t>ADA-V-7</t>
  </si>
  <si>
    <t>SICOF ERP - VIATICOS_Suscripción de licenciamiento vitalicio SICOF ERP en modalidad Saas</t>
  </si>
  <si>
    <t>ADA-V-8</t>
  </si>
  <si>
    <t>ADA-V-9</t>
  </si>
  <si>
    <t>ADA-V-10</t>
  </si>
  <si>
    <t>ADA-V-11</t>
  </si>
  <si>
    <t>ADA-V-12</t>
  </si>
  <si>
    <t>ADA-FSE-7</t>
  </si>
  <si>
    <t>SICOF ERP - FONDOS DE SERVICIOS EDUCATIVOS_Suscripción de licenciamiento vitalicio SICOF ERP en modalidad Saas</t>
  </si>
  <si>
    <t>ADA-FSE-8</t>
  </si>
  <si>
    <t>ADA-FSE-9</t>
  </si>
  <si>
    <t>ADA-FSE-10</t>
  </si>
  <si>
    <t>ADA-FSE-11</t>
  </si>
  <si>
    <t>ADA-FSE-12</t>
  </si>
  <si>
    <t>ADA-RI-7</t>
  </si>
  <si>
    <t>SICOF ERP - RENTAS/IMPUESTOS_Suscripción de licenciamiento vitalicio SICOF ERP en modalidad Saas</t>
  </si>
  <si>
    <t>ADA-RI-8</t>
  </si>
  <si>
    <t>ADA-RI-9</t>
  </si>
  <si>
    <t>ADA-RI-10</t>
  </si>
  <si>
    <t>ADA-RI-11</t>
  </si>
  <si>
    <t>ADA-RI-12</t>
  </si>
  <si>
    <t>ADA-CAT-7</t>
  </si>
  <si>
    <t>SICOF ERP - CATASTRO_Suscripción de licenciamiento vitalicio SICOF ERP en modalidad Saas</t>
  </si>
  <si>
    <t>ADA-CAT-8</t>
  </si>
  <si>
    <t>ADA-CAT-9</t>
  </si>
  <si>
    <t>ADA-CAT-10</t>
  </si>
  <si>
    <t>ADA-CAT-11</t>
  </si>
  <si>
    <t>ADA-CAT-12</t>
  </si>
  <si>
    <t>BEXTA</t>
  </si>
  <si>
    <t>BDC-S-001</t>
  </si>
  <si>
    <t>Software Gestion Documental BESTDOC</t>
  </si>
  <si>
    <t>BDC-S-002</t>
  </si>
  <si>
    <t>BDC-S-003</t>
  </si>
  <si>
    <t>BDC-S-004</t>
  </si>
  <si>
    <t>BDC-S-005</t>
  </si>
  <si>
    <t>BDC-S-006</t>
  </si>
  <si>
    <t>BDC-S-007</t>
  </si>
  <si>
    <t>BDC-S-008</t>
  </si>
  <si>
    <t>BDC-S-009</t>
  </si>
  <si>
    <t>BDC-S-010</t>
  </si>
  <si>
    <t>BDC-S-011</t>
  </si>
  <si>
    <t>BDC-S-012</t>
  </si>
  <si>
    <t>BDC-S-013</t>
  </si>
  <si>
    <t>BDC-S-014</t>
  </si>
  <si>
    <t>BDC-S-015</t>
  </si>
  <si>
    <t>BDC-S-016</t>
  </si>
  <si>
    <t>BDC-S-017</t>
  </si>
  <si>
    <t>BDC-S-018</t>
  </si>
  <si>
    <t>BDC-S-019</t>
  </si>
  <si>
    <t>BDC-S-020</t>
  </si>
  <si>
    <t>BDC-S-021</t>
  </si>
  <si>
    <t>BDC-S-022</t>
  </si>
  <si>
    <t>BDC-S-023</t>
  </si>
  <si>
    <t>BDC-S-024</t>
  </si>
  <si>
    <t>BDC-S-025</t>
  </si>
  <si>
    <t>BDC-S-026</t>
  </si>
  <si>
    <t>BDC-S-027</t>
  </si>
  <si>
    <t>BDC-S-028</t>
  </si>
  <si>
    <t>BDC-S-029</t>
  </si>
  <si>
    <t>BDC-S-030</t>
  </si>
  <si>
    <t>BDC-S-031</t>
  </si>
  <si>
    <t>BDC-S-032</t>
  </si>
  <si>
    <t>BDC-S-033</t>
  </si>
  <si>
    <t>BDC-S-034</t>
  </si>
  <si>
    <t xml:space="preserve">Instalación de Licencia o Suscripción Anual, o afines </t>
  </si>
  <si>
    <t>BDC-S-035</t>
  </si>
  <si>
    <t>BDC-S-036</t>
  </si>
  <si>
    <t>BDC-S-037</t>
  </si>
  <si>
    <t>BDC-S-038</t>
  </si>
  <si>
    <t>BDC-S-039</t>
  </si>
  <si>
    <t>BDC-S-040</t>
  </si>
  <si>
    <t>Migración de información por volumen de datos almacenados (no incluye la extracción y preparación de datos)</t>
  </si>
  <si>
    <t>BDC-S-041</t>
  </si>
  <si>
    <t>BDC-S-042</t>
  </si>
  <si>
    <t>BDC-S-043</t>
  </si>
  <si>
    <t>BDC-S-044</t>
  </si>
  <si>
    <t>BDC-S-045</t>
  </si>
  <si>
    <t>BDC-S-046</t>
  </si>
  <si>
    <t>BDC-S-047</t>
  </si>
  <si>
    <t>BDC-S-048</t>
  </si>
  <si>
    <t>BDC-S-049</t>
  </si>
  <si>
    <t>BDC-S-050</t>
  </si>
  <si>
    <t>BDC-S-051</t>
  </si>
  <si>
    <t>BDC-S-052</t>
  </si>
  <si>
    <t>BDC-S-053</t>
  </si>
  <si>
    <t>BDC-S-054</t>
  </si>
  <si>
    <t>BDC-S-055</t>
  </si>
  <si>
    <t>BDC-S-056</t>
  </si>
  <si>
    <t>BDC-S-057</t>
  </si>
  <si>
    <t>BDC-S-058</t>
  </si>
  <si>
    <t>BDC-S-059</t>
  </si>
  <si>
    <t>BDC-S-060</t>
  </si>
  <si>
    <t>BDC-L-001</t>
  </si>
  <si>
    <t>Licencia perpetua por usuario nombrado BestDoc - SGDEA (cubierto el primer año de soporte)</t>
  </si>
  <si>
    <t>Licencia perpetua</t>
  </si>
  <si>
    <t>BDC-L-002</t>
  </si>
  <si>
    <t>Licencia perpetua por usuario nombrado BestDoc - SGDEA PQRS, Flujos electronicos, Tramites y Servicios (cubierto el primer año de soporte)</t>
  </si>
  <si>
    <t>BDC-S-061</t>
  </si>
  <si>
    <t>Soporte anual usuario nombrado BestDoc</t>
  </si>
  <si>
    <t>BDC-S-062</t>
  </si>
  <si>
    <t>Plataforma BestDoc - SGDEA en la Nube - SAAS (1-10 Usuarios nombrados) 1 Tb</t>
  </si>
  <si>
    <t>BDC-S-063</t>
  </si>
  <si>
    <t>BDC-S-064</t>
  </si>
  <si>
    <t>BDC-S-065</t>
  </si>
  <si>
    <t>Plataforma BestDoc - SGDEA - PQRS, Flujos electronicos, Tramites y Servicios en la Nube - SAAS. (1-10 Usuarios nombrados) 1 Tb</t>
  </si>
  <si>
    <t>BDC-S-066</t>
  </si>
  <si>
    <t>BDC-S-067</t>
  </si>
  <si>
    <t>BDC-S-068</t>
  </si>
  <si>
    <t>Plataforma BestDoc - SGDEA - PQRS, Flujos electronicos, Tramites y Servicios, Inteligencia artificial para documentos en la Nube - SAAS. (1-10 Usuarios nombrados) 1 Tb</t>
  </si>
  <si>
    <t>BDC-S-069</t>
  </si>
  <si>
    <t>BDC-S-070</t>
  </si>
  <si>
    <t>BDC-S-071</t>
  </si>
  <si>
    <t>Plataforma BestDoc - SGDEA en la Nube - SAAS (11-50 Usuarios nombrados) 2 Tb</t>
  </si>
  <si>
    <t>BDC-S-072</t>
  </si>
  <si>
    <t>BDC-S-073</t>
  </si>
  <si>
    <t>BDC-S-074</t>
  </si>
  <si>
    <t>Plataforma BestDoc - SGDEA - PQRS, Flujos electronicos, Tramites y Servicios en la Nube - SAAS. (11-50 Usuarios nombrados) 2 Tb</t>
  </si>
  <si>
    <t>BDC-S-075</t>
  </si>
  <si>
    <t>BDC-S-076</t>
  </si>
  <si>
    <t>BDC-S-077</t>
  </si>
  <si>
    <t>Plataforma BestDoc - SGDEA - PQRS, Flujos electronicos, Tramites y Servicios, Inteligencia artificial para documentos en la Nube - SAAS. (11-50 Usuarios nombrados) 2 Tb</t>
  </si>
  <si>
    <t>BDC-S-078</t>
  </si>
  <si>
    <t>BDC-S-079</t>
  </si>
  <si>
    <t>BDC-S-080</t>
  </si>
  <si>
    <t>Plataforma BestDoc - SGDEA en la Nube - SAAS (51-100 Usuarios nombrados) 5 Tb</t>
  </si>
  <si>
    <t>BDC-S-081</t>
  </si>
  <si>
    <t>BDC-S-082</t>
  </si>
  <si>
    <t>BDC-S-083</t>
  </si>
  <si>
    <t>Plataforma BestDoc - SGDEA - PQRS, Flujos electronicos, Tramites y Servicios en la Nube - SAAS. (51-100 Usuarios nombrados) 5 Tb</t>
  </si>
  <si>
    <t>BDC-S-084</t>
  </si>
  <si>
    <t>BDC-S-085</t>
  </si>
  <si>
    <t>BDC-S-086</t>
  </si>
  <si>
    <t>Plataforma BestDoc - SGDEA - PQRS, Flujos electronicos, Tramites y Servicios, Inteligencia artificial para documentos en la Nube - SAAS. (51-100 Usuarios nombrados) 5 Tb</t>
  </si>
  <si>
    <t>BDC-S-087</t>
  </si>
  <si>
    <t>BDC-S-088</t>
  </si>
  <si>
    <t>BDC-S-089</t>
  </si>
  <si>
    <t>Plataforma BestDoc - SGDEA en la Nube - SAAS (100-500 Usuarios nombrados) 10 Tb</t>
  </si>
  <si>
    <t>BDC-S-090</t>
  </si>
  <si>
    <t>BDC-S-091</t>
  </si>
  <si>
    <t>BDC-S-092</t>
  </si>
  <si>
    <t>Plataforma BestDoc - SGDEA - PQRS, Flujos electronicos, Tramites y Servicios en la Nube - SAAS. (100-500 Usuarios nombrados) 10 Tb</t>
  </si>
  <si>
    <t>BDC-S-093</t>
  </si>
  <si>
    <t>BDC-S-094</t>
  </si>
  <si>
    <t>BDC-S-095</t>
  </si>
  <si>
    <t>Plataforma BestDoc - SGDEA - PQRS, Flujos electronicos, Tramites y Servicios, Inteligencia artificial para documentos en la Nube - SAAS. (100-500 Usuarios nombrados) 10 Tb</t>
  </si>
  <si>
    <t>BDC-S-096</t>
  </si>
  <si>
    <t>BDC-S-097</t>
  </si>
  <si>
    <t>BDC-S-098</t>
  </si>
  <si>
    <t>Plataforma BestDoc - SGDEA en la Nube - SAAS (501-1000 Usuarios nombrados) 20 Tb</t>
  </si>
  <si>
    <t>BDC-S-099</t>
  </si>
  <si>
    <t>BDC-S-100</t>
  </si>
  <si>
    <t>BDC-S-101</t>
  </si>
  <si>
    <t>Plataforma BestDoc - SGDEA - PQRS, Flujos electronicos, Tramites y Servicios en la Nube - SAAS. (501-1000 Usuarios nombrados) 20 Tb</t>
  </si>
  <si>
    <t>BDC-S-102</t>
  </si>
  <si>
    <t>BDC-S-103</t>
  </si>
  <si>
    <t>BDC-S-104</t>
  </si>
  <si>
    <t>Plataforma BestDoc - SGDEA - PQRS, Flujos electronicos, Tramites y Servicios, Inteligencia artificial para documentos en la Nube - SAAS. (501-1000 Usuarios nombrados) 20 Tb</t>
  </si>
  <si>
    <t>BDC-S-105</t>
  </si>
  <si>
    <t>BDC-S-106</t>
  </si>
  <si>
    <t>BDC-S-107</t>
  </si>
  <si>
    <t>Configuración y parametrización BestDoc - Científico de Datos</t>
  </si>
  <si>
    <t>BDC-S-108</t>
  </si>
  <si>
    <t>BDC-S-109</t>
  </si>
  <si>
    <t>BDC-S-110</t>
  </si>
  <si>
    <t>BDC-S-111</t>
  </si>
  <si>
    <t>Configuración y parametrización BestDoc - Arquitecto</t>
  </si>
  <si>
    <t>BDC-S-112</t>
  </si>
  <si>
    <t>BDC-S-113</t>
  </si>
  <si>
    <t>BDC-S-114</t>
  </si>
  <si>
    <t>BDC-S-115</t>
  </si>
  <si>
    <t>Configuración y parametrización BestDoc - Gerente de Proyecto</t>
  </si>
  <si>
    <t>BDC-S-116</t>
  </si>
  <si>
    <t>BDC-S-117</t>
  </si>
  <si>
    <t>BDC-S-118</t>
  </si>
  <si>
    <t>BDC-S-119</t>
  </si>
  <si>
    <t>Configuración y parametrización BestDoc - Analista de Negocio</t>
  </si>
  <si>
    <t>BDC-S-120</t>
  </si>
  <si>
    <t>BDC-S-121</t>
  </si>
  <si>
    <t>BDC-S-122</t>
  </si>
  <si>
    <t>BDC-S-123</t>
  </si>
  <si>
    <t>Configuración y parametrización BestDoc - Especialista de Datos</t>
  </si>
  <si>
    <t>BDC-S-124</t>
  </si>
  <si>
    <t>BDC-S-125</t>
  </si>
  <si>
    <t>BDC-S-126</t>
  </si>
  <si>
    <t>BDC-S-127</t>
  </si>
  <si>
    <t>Configuración y parametrización BestDoc - Especialista Cloud</t>
  </si>
  <si>
    <t>BDC-S-128</t>
  </si>
  <si>
    <t>BDC-S-129</t>
  </si>
  <si>
    <t>BDC-S-130</t>
  </si>
  <si>
    <t>BDC-S-131</t>
  </si>
  <si>
    <t>Configuración y parametrización BestDoc - Especialista Seguridad</t>
  </si>
  <si>
    <t>BDC-S-132</t>
  </si>
  <si>
    <t>BDC-S-133</t>
  </si>
  <si>
    <t>BDC-S-134</t>
  </si>
  <si>
    <t>BDC-S-135</t>
  </si>
  <si>
    <t>Configuración y parametrización BestDoc - Desarrollador integración</t>
  </si>
  <si>
    <t>BDC-S-136</t>
  </si>
  <si>
    <t>BDC-S-137</t>
  </si>
  <si>
    <t>BDC-S-138</t>
  </si>
  <si>
    <t>Configuración y parametrización BestDoc - Especialista de gestion de cambio</t>
  </si>
  <si>
    <t>BDC-S-139</t>
  </si>
  <si>
    <t>BDC-S-140</t>
  </si>
  <si>
    <t>BDC-S-141</t>
  </si>
  <si>
    <t>BDC-S-142</t>
  </si>
  <si>
    <t>Configuración y parametrización BestDoc - CX designer</t>
  </si>
  <si>
    <t>BDC-S-143</t>
  </si>
  <si>
    <t>BDC-S-144</t>
  </si>
  <si>
    <t>BDC-S-145</t>
  </si>
  <si>
    <t>BDC-S-146</t>
  </si>
  <si>
    <t>BDC-S-147</t>
  </si>
  <si>
    <t>BDC-S-148</t>
  </si>
  <si>
    <t>BDC-S-149</t>
  </si>
  <si>
    <t>BDC-S-150</t>
  </si>
  <si>
    <t>BDC-S-151</t>
  </si>
  <si>
    <t>BDC-S-152</t>
  </si>
  <si>
    <t>BDC-S-153</t>
  </si>
  <si>
    <t>BDC-S-154</t>
  </si>
  <si>
    <t>BDC-S-155</t>
  </si>
  <si>
    <t>BDC-S-156</t>
  </si>
  <si>
    <t>BDC-S-157</t>
  </si>
  <si>
    <t>BDC-S-158</t>
  </si>
  <si>
    <t>BDC-S-159</t>
  </si>
  <si>
    <t>BDC-S-160</t>
  </si>
  <si>
    <t>BDC-S-161</t>
  </si>
  <si>
    <t>BDC-S-162</t>
  </si>
  <si>
    <t>BDC-S-163</t>
  </si>
  <si>
    <t>BDC-S-164</t>
  </si>
  <si>
    <t>BestDoc Inteligencia Artificial Documentos PDF NLP</t>
  </si>
  <si>
    <t>BDC-S-165</t>
  </si>
  <si>
    <t>BestDoc Inteligencia Artificial Videos NLP</t>
  </si>
  <si>
    <t>BDC-S-166</t>
  </si>
  <si>
    <t>BestDoc Inteligencia Artificial Audios  NLP</t>
  </si>
  <si>
    <t>BDC-S-167</t>
  </si>
  <si>
    <t>BDC-S-168</t>
  </si>
  <si>
    <t>BDC-S-169</t>
  </si>
  <si>
    <t>BDC-S-170</t>
  </si>
  <si>
    <t>BDC-S-171</t>
  </si>
  <si>
    <t>BDC-S-172</t>
  </si>
  <si>
    <t>BEXTECHNOLOGY</t>
  </si>
  <si>
    <t>BSR-S-001</t>
  </si>
  <si>
    <t>Software BEXT SELFRESET</t>
  </si>
  <si>
    <t>BSR-S-002</t>
  </si>
  <si>
    <t>BSR-S-003</t>
  </si>
  <si>
    <t>BSR-S-004</t>
  </si>
  <si>
    <t>BSR-S-005</t>
  </si>
  <si>
    <t>BSR-S-006</t>
  </si>
  <si>
    <t>BSR-S-007</t>
  </si>
  <si>
    <t>BSR-S-008</t>
  </si>
  <si>
    <t>BSR-S-009</t>
  </si>
  <si>
    <t>BSR-S-010</t>
  </si>
  <si>
    <t>BSR-S-011</t>
  </si>
  <si>
    <t>BSR-S-012</t>
  </si>
  <si>
    <t>BSR-S-013</t>
  </si>
  <si>
    <t>BSR-S-014</t>
  </si>
  <si>
    <t>BSR-S-015</t>
  </si>
  <si>
    <t>BSR-S-016</t>
  </si>
  <si>
    <t>BSR-S-017</t>
  </si>
  <si>
    <t>BSR-S-018</t>
  </si>
  <si>
    <t>BSR-S-019</t>
  </si>
  <si>
    <t>BSR-S-020</t>
  </si>
  <si>
    <t>BSR-S-021</t>
  </si>
  <si>
    <t>BSR-S-022</t>
  </si>
  <si>
    <t>BSR-S-023</t>
  </si>
  <si>
    <t>BSR-S-024</t>
  </si>
  <si>
    <t>BSR-S-025</t>
  </si>
  <si>
    <t>BSR-S-026</t>
  </si>
  <si>
    <t>BSR-S-027</t>
  </si>
  <si>
    <t>BSR-S-028</t>
  </si>
  <si>
    <t>BSR-S-029</t>
  </si>
  <si>
    <t>BSR-S-030</t>
  </si>
  <si>
    <t>BSR-S-031</t>
  </si>
  <si>
    <t>BSR-S-032</t>
  </si>
  <si>
    <t>BSR-S-033</t>
  </si>
  <si>
    <t>BSR-S-034</t>
  </si>
  <si>
    <t>BSR-S-035</t>
  </si>
  <si>
    <t>BSR-S-036</t>
  </si>
  <si>
    <t>BSR-S-037</t>
  </si>
  <si>
    <t>BSR-S-038</t>
  </si>
  <si>
    <t>BSR-S-039</t>
  </si>
  <si>
    <t>BSR-S-040</t>
  </si>
  <si>
    <t>BSR-S-041</t>
  </si>
  <si>
    <t>BSR-S-042</t>
  </si>
  <si>
    <t>BSR-S-043</t>
  </si>
  <si>
    <t>BSR-S-044</t>
  </si>
  <si>
    <t>BSR-S-045</t>
  </si>
  <si>
    <t>BSR-S-046</t>
  </si>
  <si>
    <t>BSR-S-047</t>
  </si>
  <si>
    <t>BSR-S-048</t>
  </si>
  <si>
    <t>BSR-S-049</t>
  </si>
  <si>
    <t>BSR-S-050</t>
  </si>
  <si>
    <t>BSR-S-051</t>
  </si>
  <si>
    <t>BSR-S-052</t>
  </si>
  <si>
    <t>BSR-S-053</t>
  </si>
  <si>
    <t>BSR-S-054</t>
  </si>
  <si>
    <t>BSR-S-055</t>
  </si>
  <si>
    <t>BSR-S-056</t>
  </si>
  <si>
    <t>BSR-S-057</t>
  </si>
  <si>
    <t>BSR-S-058</t>
  </si>
  <si>
    <t>BSR-S-059</t>
  </si>
  <si>
    <t>BSR-S-060</t>
  </si>
  <si>
    <t>BSR-L-001</t>
  </si>
  <si>
    <t>Licencia perpetua por usuario nombrado BSR - SSO hasta 1500 liciencias (cubierto el primer año de soporte y/o actualizaciones)</t>
  </si>
  <si>
    <t>BSR-L-002</t>
  </si>
  <si>
    <t>Licencia perpetua por usuario nombrado BSR - SSO hasta 3000 liciencias (cubierto el primer año de soporte y/o actualizaciones)</t>
  </si>
  <si>
    <t>BSR-L-003</t>
  </si>
  <si>
    <t>Licencia perpetua por usuario nombrado BSR - SSO hasta 4500 liciencias (cubierto el primer año de soporte y/o actualizaciones)</t>
  </si>
  <si>
    <t>BSR-L-004</t>
  </si>
  <si>
    <t>Licencia perpetua por usuario nombrado BSR - SSO mas de 4500 liciencias (cubierto el primer año de soporte y/o actualizaciones)</t>
  </si>
  <si>
    <t>BSR-L-005</t>
  </si>
  <si>
    <t>Licencia perpetua por usuario nombrado BSR - BDM (cubierto el primer año de soporte)</t>
  </si>
  <si>
    <t>BSR-S-061</t>
  </si>
  <si>
    <t>Soporte anual usuario nombrado BSR - SSO</t>
  </si>
  <si>
    <t>BSR-S-062</t>
  </si>
  <si>
    <t>Soporte anual usuario nombrado BSR- BDM</t>
  </si>
  <si>
    <t>BSR-S-063</t>
  </si>
  <si>
    <t>Licencia suscripción anual por usuario nombrado BSR - SSO hasta 1500 liciencias.</t>
  </si>
  <si>
    <t>BSR-S-064</t>
  </si>
  <si>
    <t>Licencia suscripción anual por usuario nombrado BSR - SSO hasta 3000 liciencias.</t>
  </si>
  <si>
    <t>BSR-S-065</t>
  </si>
  <si>
    <t>Licencia suscripción anual por usuario nombrado BSR - SSO hasta 4500 liciencias.</t>
  </si>
  <si>
    <t>BSR-S-066</t>
  </si>
  <si>
    <t>Licencia suscripción anual por usuario nombrado BSR - SSO mas de 4500 liciencias.</t>
  </si>
  <si>
    <t>BSR-S-067</t>
  </si>
  <si>
    <t>Licencia suscripción anual por usuario nombrado BSR - BDM.</t>
  </si>
  <si>
    <t>BSR-S-068</t>
  </si>
  <si>
    <t>Plataforma BSR - SSO hasta 1500 usuarios nombrados - SAAS</t>
  </si>
  <si>
    <t>Mes por usuario nombrado</t>
  </si>
  <si>
    <t>BSR-S-069</t>
  </si>
  <si>
    <t>Plataforma BSR - SSO hasta 3000 usuarios nombrados - SAAS</t>
  </si>
  <si>
    <t>BSR-S-070</t>
  </si>
  <si>
    <t>Plataforma BSR - SSO hasta 4500 usuarios nombrados - SAAS</t>
  </si>
  <si>
    <t>BSR-S-071</t>
  </si>
  <si>
    <t>Plataforma BSR - SSO mas de 4500 usuarios nombrados - SAAS</t>
  </si>
  <si>
    <t>BSR-S-072</t>
  </si>
  <si>
    <t>BSR-S-073</t>
  </si>
  <si>
    <t>BSR-S-074</t>
  </si>
  <si>
    <t>BSR-S-075</t>
  </si>
  <si>
    <t>BSR-S-076</t>
  </si>
  <si>
    <t>BSR-S-077</t>
  </si>
  <si>
    <t>BSR-S-078</t>
  </si>
  <si>
    <t>BSR-S-079</t>
  </si>
  <si>
    <t>BSR-S-080</t>
  </si>
  <si>
    <t>BSR-S-081</t>
  </si>
  <si>
    <t>BSR-S-082</t>
  </si>
  <si>
    <t>BSR-S-083</t>
  </si>
  <si>
    <t>BSR-S-084</t>
  </si>
  <si>
    <t>BSR-S-085</t>
  </si>
  <si>
    <t>BSR-S-086</t>
  </si>
  <si>
    <t>BSR-S-087</t>
  </si>
  <si>
    <t>BSR-S-088</t>
  </si>
  <si>
    <t>BSR-S-089</t>
  </si>
  <si>
    <t>BSR-S-090</t>
  </si>
  <si>
    <t>Configuración y parametrización BSR - Científico de Datos</t>
  </si>
  <si>
    <t>BSR-S-091</t>
  </si>
  <si>
    <t>BSR-S-092</t>
  </si>
  <si>
    <t>BSR-S-093</t>
  </si>
  <si>
    <t>BSR-S-094</t>
  </si>
  <si>
    <t>Configuración y parametrización BSR - Arquitecto</t>
  </si>
  <si>
    <t>BSR-S-095</t>
  </si>
  <si>
    <t>BSR-S-096</t>
  </si>
  <si>
    <t>BSR-S-097</t>
  </si>
  <si>
    <t>BSR-S-098</t>
  </si>
  <si>
    <t>Configuración y parametrización BSR - Gerente de Proyecto</t>
  </si>
  <si>
    <t>BSR-S-099</t>
  </si>
  <si>
    <t>BSR-S-100</t>
  </si>
  <si>
    <t>BSR-S-101</t>
  </si>
  <si>
    <t>BSR-S-102</t>
  </si>
  <si>
    <t>Configuración y parametrización BSR - Analista de Negocio</t>
  </si>
  <si>
    <t>BSR-S-103</t>
  </si>
  <si>
    <t>BSR-S-104</t>
  </si>
  <si>
    <t>BSR-S-105</t>
  </si>
  <si>
    <t>BSR-S-106</t>
  </si>
  <si>
    <t>Configuración y parametrización BSR - Especialista de Datos</t>
  </si>
  <si>
    <t>BSR-S-107</t>
  </si>
  <si>
    <t>BSR-S-108</t>
  </si>
  <si>
    <t>BSR-S-109</t>
  </si>
  <si>
    <t>BSR-S-110</t>
  </si>
  <si>
    <t>Configuración y parametrización BSR - Especialista Cloud</t>
  </si>
  <si>
    <t>BSR-S-111</t>
  </si>
  <si>
    <t>BSR-S-112</t>
  </si>
  <si>
    <t>BSR-S-113</t>
  </si>
  <si>
    <t>BSR-S-114</t>
  </si>
  <si>
    <t>Configuración y parametrización BSR - Especialista Seguridad</t>
  </si>
  <si>
    <t>BSR-S-115</t>
  </si>
  <si>
    <t>BSR-S-116</t>
  </si>
  <si>
    <t>BSR-S-117</t>
  </si>
  <si>
    <t>BSR-S-118</t>
  </si>
  <si>
    <t>Configuración y parametrización BSR - Desarrollador integración</t>
  </si>
  <si>
    <t>BSR-S-119</t>
  </si>
  <si>
    <t>BSR-S-120</t>
  </si>
  <si>
    <t>BSR-S-121</t>
  </si>
  <si>
    <t>Configuración y parametrización BSR - Especialista de gestion de cambio</t>
  </si>
  <si>
    <t>BSR-S-122</t>
  </si>
  <si>
    <t>BSR-S-123</t>
  </si>
  <si>
    <t>BSR-S-124</t>
  </si>
  <si>
    <t>BSR-S-125</t>
  </si>
  <si>
    <t>Configuración y parametrización BSR - CX designer</t>
  </si>
  <si>
    <t>BSR-S-126</t>
  </si>
  <si>
    <t>BSR-S-127</t>
  </si>
  <si>
    <t>BSR-S-128</t>
  </si>
  <si>
    <t>BSR-S-129</t>
  </si>
  <si>
    <t>BSR-S-130</t>
  </si>
  <si>
    <t>BSR-S-131</t>
  </si>
  <si>
    <t>BSR-S-132</t>
  </si>
  <si>
    <t>BSR-S-133</t>
  </si>
  <si>
    <t>BSR-S-134</t>
  </si>
  <si>
    <t>BSR-S-135</t>
  </si>
  <si>
    <t>BSR-S-136</t>
  </si>
  <si>
    <t>BSR-S-137</t>
  </si>
  <si>
    <t>BSR-S-138</t>
  </si>
  <si>
    <t>BSR-S-139</t>
  </si>
  <si>
    <t>BSR-S-140</t>
  </si>
  <si>
    <t>BSR-S-141</t>
  </si>
  <si>
    <t>BSR-S-142</t>
  </si>
  <si>
    <t>BSR-S-143</t>
  </si>
  <si>
    <t>BSR-S-144</t>
  </si>
  <si>
    <t>BSR-S-145</t>
  </si>
  <si>
    <t>BSR-S-146</t>
  </si>
  <si>
    <t>BSR-S-147</t>
  </si>
  <si>
    <t>BSR Inteligencia Artificial Documentos PDF NLP</t>
  </si>
  <si>
    <t>BSR-S-148</t>
  </si>
  <si>
    <t>BSR Inteligencia Artificial Videos NLP</t>
  </si>
  <si>
    <t>BSR-S-149</t>
  </si>
  <si>
    <t>BSR Inteligencia Artificial Audios  NLP</t>
  </si>
  <si>
    <t>BSR-S-150</t>
  </si>
  <si>
    <t>BSR-S-151</t>
  </si>
  <si>
    <t>BSR-S-152</t>
  </si>
  <si>
    <t>BSR-S-153</t>
  </si>
  <si>
    <t>BSR-S-154</t>
  </si>
  <si>
    <t>BSR-S-155</t>
  </si>
  <si>
    <t>RICOH</t>
  </si>
  <si>
    <t>SOAINT-SOADOC-ONPREM-Contratos</t>
  </si>
  <si>
    <t>SOADOC - Modulo Flujo Documental Contratos</t>
  </si>
  <si>
    <t>SOAINT-SOADOC-ONPREM-PQRSD</t>
  </si>
  <si>
    <t>SOADOC - Modulo Flujo Documental PQRSD</t>
  </si>
  <si>
    <t>SOAINT-SOADOC-ONPREM-Tutelas</t>
  </si>
  <si>
    <t>SOADOC - Modulo Flujo Documental Tutelas</t>
  </si>
  <si>
    <t>SOAINT-SOADOC-ONPREM-Resoluciones</t>
  </si>
  <si>
    <t>SOADOC - Modulo Flujo Documental Resoluciones</t>
  </si>
  <si>
    <t>SOAINT-SOADOC-ONPREM-Sede Electrónica</t>
  </si>
  <si>
    <t>SOADOC - Sede Electrónica</t>
  </si>
  <si>
    <t>SOAINT-SOADOC-ONPREM-Actos Administrativos</t>
  </si>
  <si>
    <t>SOADOC - Modulo Flujo Documental Actos Administrativos</t>
  </si>
  <si>
    <t>SOAINT-SOADOC-ONPREM-Circulares</t>
  </si>
  <si>
    <t>SOADOC - Modulo Flujo Documental Circulares</t>
  </si>
  <si>
    <t>SOAINT-SOADOC-ONPREM-Trámite Complejidad Alta</t>
  </si>
  <si>
    <t>SOADOC - Modulo Trámite Conplejidad Alta</t>
  </si>
  <si>
    <t>SOAINT-SOADOC-ONPREM-Trámite Complejidad Media</t>
  </si>
  <si>
    <t>SOADOC - Modulo Trámite Complejidad Media</t>
  </si>
  <si>
    <t>SOAINT-SOADOC-ONPREM-Trámite Complejidad Baja</t>
  </si>
  <si>
    <t>SOADOC - Modulo Trámite Complejidad Baja</t>
  </si>
  <si>
    <t>SOAINT-SOADOC-ONPREM-Integración Complejidad Alta</t>
  </si>
  <si>
    <t>SOADOC - Modulo Integración Complejidad Alta</t>
  </si>
  <si>
    <t>SOAINT-SOADOC-ONPREM-Integración Complejidad Media</t>
  </si>
  <si>
    <t>SOADOC - Modulo Integración Complejidad Media</t>
  </si>
  <si>
    <t>SOAINT-SOADOC-ONPREM-Integración Complejidad Baja</t>
  </si>
  <si>
    <t>SOADOC - Modulo Integración Complejidad Baja</t>
  </si>
  <si>
    <t>SOAINT-SOADOC-SAAS-Contratos</t>
  </si>
  <si>
    <t>SOAINT-SOADOC-SAAS-PQRSD</t>
  </si>
  <si>
    <t>SOAINT-SOADOC-SAAS-Tutelas</t>
  </si>
  <si>
    <t>SOAINT-SOADOC-SAAS-Resoluciones</t>
  </si>
  <si>
    <t>SOAINT-SOADOC-SAAS-Sede Electrónica</t>
  </si>
  <si>
    <t>SOADOC - Sede Electronica</t>
  </si>
  <si>
    <t>SOAINT-SOADOC-SAAS-Actos Administrativos</t>
  </si>
  <si>
    <t>SOAINT-SOADOC-SAAS-Circulares</t>
  </si>
  <si>
    <t>SOAINT-SOADOC-SAAS-Trámite Complejidad Alta</t>
  </si>
  <si>
    <t>SOADOC - Modulo Trámite Complejidad Alta</t>
  </si>
  <si>
    <t>SOAINT-SOADOC-SAAS-Trámite Complejidad Media</t>
  </si>
  <si>
    <t>SOAINT-SOADOC-SAAS-Trámite Complejidad Baja</t>
  </si>
  <si>
    <t>SOAINT-SOADOC-SAAS-Integración Complejidad Alta</t>
  </si>
  <si>
    <t>SOAINT-SOADOC-SAAS-Integración Complejidad Media</t>
  </si>
  <si>
    <t>SOAINT-SOADOC-SAAS-Integración Complejidad Baja</t>
  </si>
  <si>
    <t>SOAINT-SOADOC-HORA IMPLEMENTACIÓN</t>
  </si>
  <si>
    <t>SOAINT-SOADOC-HORA MIGRACIÓN</t>
  </si>
  <si>
    <t>Control Online International S.A.S</t>
  </si>
  <si>
    <t>CON-SVE-13</t>
  </si>
  <si>
    <t>Bolsa de Horas Funcional</t>
  </si>
  <si>
    <t>Por sesión de 20 horas para un grupo de hasta 5 personas.</t>
  </si>
  <si>
    <t>Licenciamiento perpetuo SVE módulo básico NUEVO - entidad con menos de 200 empleados</t>
  </si>
  <si>
    <t>Licenciamiento perpetuo SVE módulo básico NUEVO - entidad entre 201 - 1000 empleados</t>
  </si>
  <si>
    <t>Licenciamiento perpetuo SVE módulo básico NUEVO - entidad con mas de 1.000 empleados</t>
  </si>
  <si>
    <t>LIC-SVE-45</t>
  </si>
  <si>
    <t>Licenciamiento perpetuo SVE módulo Plan Anual de Adquisiciones - entidad con menos de 200 funcionarios</t>
  </si>
  <si>
    <t>LIC-SVE-46</t>
  </si>
  <si>
    <t>Licenciamiento perpetuo SVE módulo Plan Anual de Adquisiciones - entidad 201 - 500 funcionarios</t>
  </si>
  <si>
    <t>LIC-SVE-47</t>
  </si>
  <si>
    <t>Licenciamiento perpetuo SVE módulo Plan Anual de Adquisiciones - entidad 501 - 1000 funcionarios</t>
  </si>
  <si>
    <t>LIC-SVE-48</t>
  </si>
  <si>
    <t>Licenciamiento perpetuo SVE módulo Plan Anual de Adquisiciones - entidad con más de 1000 funcionarios</t>
  </si>
  <si>
    <t>Suscripción anual SaaS SVE módulo básico NUEVO - entidad con menos de 200 empleados</t>
  </si>
  <si>
    <t>Suscripción anual SaaS SVE módulo básico NUEVO - entidad entre 201 - 1000 empleados</t>
  </si>
  <si>
    <t>Suscripción anual SaaS SVE módulo básico NUEVO - entidad con mas de 1.000 empleados</t>
  </si>
  <si>
    <t>SUS-SVE-45</t>
  </si>
  <si>
    <t>Suscripción anual SaaS SVE módulo Plan Anual de Adquisiciones - entidad con menos de 200 funcionarios</t>
  </si>
  <si>
    <t>SUS-SVE-46</t>
  </si>
  <si>
    <t>Suscripción anual SaaS SVE módulo Plan Anual de Adquisiciones - entidad 201 - 500 funcionarios</t>
  </si>
  <si>
    <t>SUS-SVE-47</t>
  </si>
  <si>
    <t>Suscripción anual SaaS SVE módulo Plan Anual de Adquisiciones - entidad 501 - 1000 funcionarios</t>
  </si>
  <si>
    <t>SUS-SVE-48</t>
  </si>
  <si>
    <t>Suscripción anual SaaS SVE módulo Plan Anual de Adquisiciones - entidad con más de 1000 funcionarios</t>
  </si>
  <si>
    <t>Soporte, Actualización y mantenimiento anual de SVE Gestión de la Estrategia (por 10 usuarios)</t>
  </si>
  <si>
    <t>Soporte, Actualización y mantenimiento anual de SVE Gestión de la Estrategia (por usuario adicional)</t>
  </si>
  <si>
    <t>Soporte, Actualización y mantenimiento anual de SVE Gestión de Calidad (por 10 usuarios)</t>
  </si>
  <si>
    <t>Soporte, Actualización y mantenimiento anual de SVE Gestión de Calidad (por usuario adicional)</t>
  </si>
  <si>
    <t>Soporte, Actualización y mantenimiento anual de SVE MIPG (por 10 usuarios)</t>
  </si>
  <si>
    <t>Soporte, Actualización y mantenimiento anual de SVE MIPG (por usuario adicional)</t>
  </si>
  <si>
    <t>Soporte, Actualización y mantenimiento anual de SVE Gestión de Proyectos (por 10 usuarios)</t>
  </si>
  <si>
    <t>Soporte, Actualización y mantenimiento anual de SVE Gestión de Proyectos (por usuario adicional)</t>
  </si>
  <si>
    <t>Soporte, Actualización y mantenimiento anual de SVE Gestión de Riesgos (por 10 usuarios)</t>
  </si>
  <si>
    <t>Soporte, Actualización y mantenimiento anual de SVE Gestión de Riesgos (por usuario adicional)</t>
  </si>
  <si>
    <t>Soporte, Actualización y mantenimiento anual de SVE Analítico (por 20 usuarios)</t>
  </si>
  <si>
    <t>Soporte, Actualización y mantenimiento anual de SVE Analítico (por usuario adicional)</t>
  </si>
  <si>
    <t>Soporte, Actualización y mantenimiento anual de SVE GRC (por 10 usuarios)</t>
  </si>
  <si>
    <t>Soporte, Actualización y mantenimiento anual de SVE GRC (por usuario adicional)</t>
  </si>
  <si>
    <t>Soporte, Actualización y mantenimiento anual de SVE módulo Indicadores (por usuario adicional)</t>
  </si>
  <si>
    <t>Soporte, Actualización y mantenimiento anual de SVE módulo planes (por usuario adicional)</t>
  </si>
  <si>
    <t>Soporte, Actualización y mantenimiento anual de SVE módulo portafolio (por usuario adicional)</t>
  </si>
  <si>
    <t>Soporte, Actualización y mantenimiento anual de SVE módulo alineación (por usuario adicional)</t>
  </si>
  <si>
    <t>Soporte, Actualización y mantenimiento anual de SVE módulo BSC (por usuario adicional)</t>
  </si>
  <si>
    <t>Soporte, Actualización y mantenimiento anual de SVE módulo reuniones (por usuario adicional)</t>
  </si>
  <si>
    <t>Soporte, Actualización y mantenimiento anual de SVE módulo eventos y decisiones (por usuario adicional)</t>
  </si>
  <si>
    <t>Soporte, Actualización y mantenimiento anual de SVE módulo compromisos (por usuario adicional)</t>
  </si>
  <si>
    <t>Soporte, Actualización y mantenimiento anual de SVE módulo documentos (por usuario adicional)</t>
  </si>
  <si>
    <t>Soporte, Actualización y mantenimiento anual de SVE módulo mejoras (por usuario adicional)</t>
  </si>
  <si>
    <t>Soporte, Actualización y mantenimiento anual de SVE módulo verificaciones (por usuario adicional)</t>
  </si>
  <si>
    <t>Soporte, Actualización y mantenimiento anual de SVE módulo riesgos (por usuario adicional)</t>
  </si>
  <si>
    <t>Soporte, Actualización y mantenimiento anual de SVE módulo SST entidad con menos de 200 empleados</t>
  </si>
  <si>
    <t>Soporte, Actualización y mantenimiento anual de SVE módulo SST  entidad entre 201 y 1000 empleados</t>
  </si>
  <si>
    <t>Soporte, Actualización y mantenimiento anual de SVE módulo Seguridad de la Información entidad con menos de 200 empleados</t>
  </si>
  <si>
    <t>Soporte, Actualización y mantenimiento anual de SVE módulo Seguridad de la Información  entidad entre 201 y 1000 empleados</t>
  </si>
  <si>
    <t>Soporte, Actualización y mantenimiento anual de SVE módulo Ambiental entidad con menos de 200 empleados</t>
  </si>
  <si>
    <t>Soporte, Actualización y mantenimiento anual de SVE módulo Ambiental  entidad entre 201 y 1000 empleados</t>
  </si>
  <si>
    <t>Soporte, Actualización y mantenimiento anual de SVE módulo metrologia entidad con menos de 200 empleados</t>
  </si>
  <si>
    <t>Soporte, Actualización y mantenimiento anual de SVE módulo metrologia  entidad entre 201 y 1000 empleados</t>
  </si>
  <si>
    <t>Soporte, Actualización y mantenimiento anual de SVE módulo metrologia entidades más de 100 trabajadores</t>
  </si>
  <si>
    <t>Soporte, Actualización y mantenimiento anual de SVE módulo SST  entidad más de 1000 empleados</t>
  </si>
  <si>
    <t>Soporte, Actualización y mantenimiento anual de SVE módulo Seguridad de la Información entidad más de 1000 empleados</t>
  </si>
  <si>
    <t>Soporte, Actualización y mantenimiento anual de SVE módulo Ambiental entidad más de 1.000 empleados</t>
  </si>
  <si>
    <t>Soporte, Actualización y mantenimiento anual de SVE módulo autodiagnostico- entidad con menos de 200 empleados</t>
  </si>
  <si>
    <t>Soporte, Actualización y mantenimiento anual de SVE módulo autodiagnostico- entidad entre 201 - 1000 empleados</t>
  </si>
  <si>
    <t>Soporte, Actualización y mantenimiento anual de SVE módulo autodiagnostico- entidad con mas de 1.000 empleados</t>
  </si>
  <si>
    <t>Soporte, Actualización y mantenimiento anual de SVE módulo NUEVO - entidad con menos de 200 empleados</t>
  </si>
  <si>
    <t>Soporte, Actualización y mantenimiento anual de SVE módulo NUEVO - entidad entre 201 - 1000 empleados</t>
  </si>
  <si>
    <t>Soporte, Actualización y mantenimiento anual de SVE módulo NUEVO - entidad con mas de 1.000 empleados</t>
  </si>
  <si>
    <t>AYM-SVE-45</t>
  </si>
  <si>
    <t>Soporte, Actualización y mantenimiento anual de SVE módulo Plan Anual de Adquisiciones - entidad con menos de 200 funcionarios</t>
  </si>
  <si>
    <t>AYM-SVE-46</t>
  </si>
  <si>
    <t>Soporte, Actualización y mantenimiento anual de SVE módulo Plan Anual de Adquisiciones - entidad 201 - 500 funcionarios</t>
  </si>
  <si>
    <t>AYM-SVE-47</t>
  </si>
  <si>
    <t>Soporte, Actualización y mantenimiento anual de SVE módulo Plan Anual de Adquisiciones - entidad 501 - 1000 funcionarios</t>
  </si>
  <si>
    <t>AYM-SVE-48</t>
  </si>
  <si>
    <t>Soporte, Actualización y mantenimiento anual de SVE módulo Plan Anual de Adquisicione - entidad con mas de 1.000 funcionarios</t>
  </si>
  <si>
    <t>AZDigital Licencia por usuario: SGDEA (Incluye soporte por el primer año- Mínimo 20 usuarios</t>
  </si>
  <si>
    <t>AZDigital Licencia por usuario: SGDEA + PQRSD (Incluye soporte por el primer año- Mínimo 20 usuarios</t>
  </si>
  <si>
    <t>AZDigital Licencia por usuario: SGDEA + BPMS Ilimitados Procedimientos (Incluye soporte por el primer año- Mínimo 20 usuarios</t>
  </si>
  <si>
    <t>AZDigital Licencia por usuario: SGDEA + PQRSD + BPMS Ilimitados Procedimientos (Incluye soporte por el primer año- Mínimo 20 usuarios</t>
  </si>
  <si>
    <t>AZDigital SaaS por usuario: SGDEA (Incluye soporte de la Licencia- Mínimo 20 usuarios - Suscripcion Anual</t>
  </si>
  <si>
    <t>AZDigital SaaS por usuario: SGDEA (Incluye soporte de la Licencia- Mínimo 20 usuarios - Suscripcion Mensual</t>
  </si>
  <si>
    <t>AZDigital SaaS por usuario: SGDEA + PQRSD (Incluye soporte de la Licencia- Minimo 20 usuarios - Suscripcion Anual</t>
  </si>
  <si>
    <t>AZDigital SaaS por usuario: SGDEA + PQRSD (Incluye soporte de la Licencia-  Mínimo 20 usuarios - Suscripcion Mensual</t>
  </si>
  <si>
    <t>AZDigital SaaS por usuario: SGDEA + BPMS Ilimitados Procedimientos (Incluye soporte de la Licencia-  Mínimo 20 usuarios - Suscripcion Anual</t>
  </si>
  <si>
    <t>AZDigital SaaS por usuario: SGDEA + BPMS Ilimitados Procedimientos (Incluye soporte de la Licencia-  Mínimo 20 usuarios - Suscripcion Mensual</t>
  </si>
  <si>
    <t>AZDigital SaaS por usuario: SGDEA + PQRS + BPMS  Ilimitados Procedimientos (Incluye soporte de la Licencia-  Mínimo 20 usuarios - Suscripcion Anual</t>
  </si>
  <si>
    <t>AZDigital SaaS por usuario: SGDEA + PQRS + BPMS Ilimitados Procedimientos (Incluye soporte de la Licencia-  Mínimo 20 usuarios - Suscripcion Mensual</t>
  </si>
  <si>
    <t>SGP Licencia por usuario: BPMS Ilimitados Procedimientos (Incluye soporte por el primer año- Mínimo 20 usuarios</t>
  </si>
  <si>
    <t>SGP SaaS por usuario: BPMS (Incluye soporte de la Licencia- Mínimo 20 usuarios - Suscripcion Anual</t>
  </si>
  <si>
    <t>SGP SaaS por usuario: BPMS (Incluye soporte de la Licencia- Mínimo 20 usuarios - Suscripcion Mensual</t>
  </si>
  <si>
    <t xml:space="preserve">Capacitación para usuario final hasta 20 Personas - AZDIGITAL (SGDEA </t>
  </si>
  <si>
    <t xml:space="preserve">Capacitación para usuario técnico o administrador - hasta 10 Personas AZDIGITAL (SGDEA </t>
  </si>
  <si>
    <t xml:space="preserve">Capacitación para usuario técnico o administrador - hasta 10 Personas -  AZDIGITAL (SGDEA </t>
  </si>
  <si>
    <t xml:space="preserve">Capacitación para usuario técnico o administrador hasta 20 Personas - AZDIGITAL (SGDEA </t>
  </si>
  <si>
    <t xml:space="preserve">Configuración y parametrización de los Productos  - AZDIGITAL (SGDEA </t>
  </si>
  <si>
    <t xml:space="preserve">Capacitación para usuario final hasta 20 Personas - SGP (BPMS </t>
  </si>
  <si>
    <t xml:space="preserve">Capacitación para usuario técnico o administrador - hasta 10 Personas SGP (BPMS </t>
  </si>
  <si>
    <t xml:space="preserve">Capacitación para usuario técnico o administrador - hasta 10 Personas -  SGP (BPMS </t>
  </si>
  <si>
    <t xml:space="preserve">Capacitación para usuario técnico o administrador hasta 20 Personas - SGP (BPMS </t>
  </si>
  <si>
    <t xml:space="preserve">Configuración y parametrización de los Productos  - SGP (BPMS </t>
  </si>
  <si>
    <t>Storage Cloud AZDIGITAL (SGDEA y/o SGP (BPMS- Mensual por 1 Gb (Almacenamiento)</t>
  </si>
  <si>
    <t>Storage Cloud AZDIGITAL (SGDEA y/o SGP (BPMS- Anual por 1 Gb (Almacenamiento)</t>
  </si>
  <si>
    <t>PM-SRV-1</t>
  </si>
  <si>
    <t>PM-SRV-2</t>
  </si>
  <si>
    <t>PM-SRV-3</t>
  </si>
  <si>
    <t>PM-SRV-4</t>
  </si>
  <si>
    <t>PM-SRV-5</t>
  </si>
  <si>
    <t>PM-SRV-6</t>
  </si>
  <si>
    <r>
      <rPr>
        <sz val="11"/>
        <color rgb="FF000000"/>
        <rFont val="Arial"/>
        <family val="2"/>
      </rPr>
      <t>NUV</t>
    </r>
    <r>
      <rPr>
        <b/>
        <sz val="11"/>
        <color rgb="FF000000"/>
        <rFont val="Arial"/>
        <family val="2"/>
      </rPr>
      <t>-</t>
    </r>
    <r>
      <rPr>
        <sz val="11"/>
        <color rgb="FF000000"/>
        <rFont val="Arial"/>
        <family val="2"/>
      </rPr>
      <t>HOU-01-01</t>
    </r>
  </si>
  <si>
    <t>NUV-HOU-20-01</t>
  </si>
  <si>
    <t>Houndoc -Modulo IA -Inteligencia Artificial Generativa</t>
  </si>
  <si>
    <t>NUV-HOU-20-02</t>
  </si>
  <si>
    <t>Houndoc -Modulo IA - Analítca de datos 1 hasta 10 Fuentes de información</t>
  </si>
  <si>
    <t>NUV-HOU-20-03</t>
  </si>
  <si>
    <t>Houndoc -Modulo IA - Analítca de datos 11 hasta 20 Fuentes de información</t>
  </si>
  <si>
    <t>NUV-HOU-20-04</t>
  </si>
  <si>
    <t>Houndoc -Modulo IA - Analítca de datos 21 hasta 30 Fuentes de información</t>
  </si>
  <si>
    <t>NUV-HOU-20-05</t>
  </si>
  <si>
    <t>Houndoc -Modulo IA - Analítca de datos 31 hasta 40 Fuentes de información</t>
  </si>
  <si>
    <t>NUV-HOU-20-06</t>
  </si>
  <si>
    <t>Houndoc -Modulo IA - Modulo de Ejecución de Modelos</t>
  </si>
  <si>
    <t>NUV-HOU-20-07</t>
  </si>
  <si>
    <t xml:space="preserve">Houndoc -Modulo IA - Modulo de configuración Inicial 1 a 3 Modelos de Analítica Descriptiva, predictiva, prescriptiva </t>
  </si>
  <si>
    <t>NUV-HOU-20-08</t>
  </si>
  <si>
    <t>Houndoc -Modulo IA - Modelos componente geografico 1 a 10 Mapas</t>
  </si>
  <si>
    <t>NUV-HOU-20-09</t>
  </si>
  <si>
    <t>Houndoc : Modulo IA  - Predicción de eventos - SAAS (1-1.000 eventos procesados año)</t>
  </si>
  <si>
    <t>NUV-HOU-20-10</t>
  </si>
  <si>
    <t>Houndoc : Modulo IA  - Predicción de eventos - SAAS (1.001-10.000 eventos procesados año)</t>
  </si>
  <si>
    <t>NUV-HOU-20-11</t>
  </si>
  <si>
    <t>Houndoc : Modulo IA - Predicción de eventos - SAAS (10.001-30.000 eventos procesados año)</t>
  </si>
  <si>
    <t>NUV-HOU-20-12</t>
  </si>
  <si>
    <t>Houndoc : Modulo IA - Predicción de eventos - SAAS (30.001-50.000 eventos procesados año)</t>
  </si>
  <si>
    <t>NUV-HOU-20-13</t>
  </si>
  <si>
    <t>Houndoc : Modulo IA - Predicción de eventos - SAAS (50.001 -100.000 eventos procesados año)</t>
  </si>
  <si>
    <t>NUV-HOU-20-14</t>
  </si>
  <si>
    <t>Houndoc : Modulo IA -Predicción de eventos - SAAS (100.001-160.000 eventos procesados año)</t>
  </si>
  <si>
    <t>NUV-HOU-20-15</t>
  </si>
  <si>
    <t>Houndoc : Modulo IA - Predicción de eventos - SAAS (160.001-240.000 eventos procesados año)</t>
  </si>
  <si>
    <t>NUV-HOU-20-16</t>
  </si>
  <si>
    <t>Houndoc : Modulo IA - Predicción de eventos - SAAS (240.001-500.000 eventos procesados año)</t>
  </si>
  <si>
    <t>NUV-HOU-21-01</t>
  </si>
  <si>
    <t>TM - EPP Encrypt  - 5-25 Users - EINN0097</t>
  </si>
  <si>
    <t>Usuarios</t>
  </si>
  <si>
    <t>NUV-HOU-21-02</t>
  </si>
  <si>
    <t>TM - EPP Encrypt  - 26-50 Users - EINN0098</t>
  </si>
  <si>
    <t>NUV-HOU-21-03</t>
  </si>
  <si>
    <t>TM - EPP Encrypt  - 51-250 Users - EINN0099</t>
  </si>
  <si>
    <t>NUV-HOU-21-04</t>
  </si>
  <si>
    <t>TM - EPP Encrypt  - 251-500 Users - EINN0100</t>
  </si>
  <si>
    <t>NUV-HOU-21-05</t>
  </si>
  <si>
    <t>TM - EPP Encrypt  - 501-1,000 Users - EINN0101</t>
  </si>
  <si>
    <t>NUV-HOU-21-06</t>
  </si>
  <si>
    <t>TM - EPP Encrypt  - 1,001-2,000 Users - EINN0102</t>
  </si>
  <si>
    <t>NUV-HOU-21-07</t>
  </si>
  <si>
    <t>TM - EPP Encrypt  - 2,001-5,000 Users - EINN0103</t>
  </si>
  <si>
    <t>NUV-HOU-21-08</t>
  </si>
  <si>
    <t>TM - EPP Encrypt  - 5,001-10,000 Users - EINN0104</t>
  </si>
  <si>
    <t>NUV-HOU-21-09</t>
  </si>
  <si>
    <t>TM - EPP Encrypt  - 10,001+ Users - EINN0105</t>
  </si>
  <si>
    <t>NUV-HOU-21-10</t>
  </si>
  <si>
    <t>TM - V1 Credits  - 1+ Creditos - VONA0000</t>
  </si>
  <si>
    <t>NUV-HOU-21-11</t>
  </si>
  <si>
    <t>TM -XDR for Users   - 51-100 Users - CTNA0048</t>
  </si>
  <si>
    <t>NUV-HOU-21-12</t>
  </si>
  <si>
    <t>TM -XDR for EPP Data Ret: 90 days - 1-25 dias - SKNA0066</t>
  </si>
  <si>
    <t>Dia(s)</t>
  </si>
  <si>
    <t>NUV-HOU-21-13</t>
  </si>
  <si>
    <t>TM -XDR for EPP Data Ret: 90 days - 26-50 dias - SKNA0067</t>
  </si>
  <si>
    <t>NUV-HOU-21-14</t>
  </si>
  <si>
    <t>TM -XDR for EPP Data Ret: 90 days - 51-100 dias - SKNA0076</t>
  </si>
  <si>
    <t>NUV-HOU-21-15</t>
  </si>
  <si>
    <t>TM -XDR for EPP Data Ret: 90 days - 101-250 dias - SKNA0077</t>
  </si>
  <si>
    <t>NUV-HOU-21-16</t>
  </si>
  <si>
    <t>TM -XDR for EPP Data Ret: 90 days - 251-500 dias - SKNA0078</t>
  </si>
  <si>
    <t>NUV-HOU-21-17</t>
  </si>
  <si>
    <t>TM -XDR for EPP Data Ret: 90 days - 501-1000 dias - SKNA0079</t>
  </si>
  <si>
    <t>NUV-HOU-21-18</t>
  </si>
  <si>
    <t>TM -XDR for EPP Data Ret: 90 days - 1001-2000 dias - SKNA0080</t>
  </si>
  <si>
    <t>NUV-HOU-21-19</t>
  </si>
  <si>
    <t>TM -XDR for EPP Data Ret: 90 days - 2001-5000 dias - SKNA0081</t>
  </si>
  <si>
    <t>NUV-HOU-21-20</t>
  </si>
  <si>
    <t>TM -XDR for EPP Data Ret: 90 days - 5001-10000 dias - SKNA0082</t>
  </si>
  <si>
    <t>NUV-HOU-21-21</t>
  </si>
  <si>
    <t>TM -XDR for EPP Data Ret: 90 days - 10001+ dias - SKNA0083</t>
  </si>
  <si>
    <t>NUV-HOU-21-22</t>
  </si>
  <si>
    <t>TM -XDR for EPP Data Ret: 180 days - 1-25 dias - SKNA0068</t>
  </si>
  <si>
    <t>NUV-HOU-21-23</t>
  </si>
  <si>
    <t>TM -XDR for EPP Data Ret: 180 days - 26-50 dias - SKNA0069</t>
  </si>
  <si>
    <t>NUV-HOU-21-24</t>
  </si>
  <si>
    <t>TM -XDR for EPP Data Ret: 180 days - 51-100 dias - SKNA0070</t>
  </si>
  <si>
    <t>NUV-HOU-21-25</t>
  </si>
  <si>
    <t>TM -XDR for EPP Data Ret: 180 days - 101-250 dias - SKNA0071</t>
  </si>
  <si>
    <t>NUV-HOU-21-26</t>
  </si>
  <si>
    <t>TM -XDR for EPP Data Ret: 180 days - 251-500 dias - SKNA0084</t>
  </si>
  <si>
    <t>NUV-HOU-21-27</t>
  </si>
  <si>
    <t>TM -XDR for EPP Data Ret: 180 days - 501-1000 dias - SKNA0085</t>
  </si>
  <si>
    <t>NUV-HOU-21-28</t>
  </si>
  <si>
    <t>TM -XDR for EPP Data Ret: 180 days - 1001-2000 dias - SKNA0086</t>
  </si>
  <si>
    <t>NUV-HOU-21-29</t>
  </si>
  <si>
    <t>TM -XDR for EPP Data Ret: 180 days - 2001-5000 dias - SKNA0087</t>
  </si>
  <si>
    <t>NUV-HOU-21-30</t>
  </si>
  <si>
    <t>TM -XDR for EPP Data Ret: 180 days - 5001-10000 dias - SKNA0088</t>
  </si>
  <si>
    <t>NUV-HOU-21-31</t>
  </si>
  <si>
    <t>TM -XDR for EPP Data Ret: 180 days - 10001+ dias - SKNA0089</t>
  </si>
  <si>
    <t>NUV-HOU-21-32</t>
  </si>
  <si>
    <t>TM -XDR for EPP Data Ret: 365 days - 1-25 dias - SKNA0072</t>
  </si>
  <si>
    <t>NUV-HOU-21-33</t>
  </si>
  <si>
    <t>TM -XDR for EPP Data Ret: 365 days - 26-50 dias - SKNA0073</t>
  </si>
  <si>
    <t>NUV-HOU-21-34</t>
  </si>
  <si>
    <t>TM -XDR for EPP Data Ret: 365 days - 51-100 dias - SKNA0074</t>
  </si>
  <si>
    <t>NUV-HOU-21-35</t>
  </si>
  <si>
    <t>TM -XDR for EPP Data Ret: 365 days - 101-250 dias - SKNA0075</t>
  </si>
  <si>
    <t>NUV-HOU-21-36</t>
  </si>
  <si>
    <t>TM -XDR for EPP Data Ret: 365 days - 251-500 dias - SKNA0090</t>
  </si>
  <si>
    <t>NUV-HOU-21-37</t>
  </si>
  <si>
    <t>TM -XDR for EPP Data Ret: 365 days - 501-1000 dias - SKNA0091</t>
  </si>
  <si>
    <t>NUV-HOU-21-38</t>
  </si>
  <si>
    <t>TM -XDR for EPP Data Ret: 365 days - 1001-2000 dias - SKNA0092</t>
  </si>
  <si>
    <t>NUV-HOU-21-39</t>
  </si>
  <si>
    <t>TM -XDR for EPP Data Ret: 365 days - 2001-5000 dias - SKNA0093</t>
  </si>
  <si>
    <t>NUV-HOU-21-40</t>
  </si>
  <si>
    <t>TM -XDR for EPP Data Ret: 365 days - 5001-10000 dias - SKNA0094</t>
  </si>
  <si>
    <t>NUV-HOU-21-41</t>
  </si>
  <si>
    <t>TM -XDR for EPP Data Ret: 365 days - 10001+ dias - SKNA0095</t>
  </si>
  <si>
    <t>NUV-HOU-21-42</t>
  </si>
  <si>
    <t>TM -V1 EDR/XDR Add-on: EPP, Srv and Cloud W/loads - 1-50 Users - SKNA0096</t>
  </si>
  <si>
    <t>NUV-HOU-21-43</t>
  </si>
  <si>
    <t>TM -V1 EDR/XDR Add-on: EPP, Srv and Cloud W/loads - 51-100 Users - SKNI0000</t>
  </si>
  <si>
    <t>NUV-HOU-21-44</t>
  </si>
  <si>
    <t>TM -V1 EDR/XDR Add-on: EPP, Srv and Cloud W/loads - 101-250 Users - SKNI0001</t>
  </si>
  <si>
    <t>NUV-HOU-21-45</t>
  </si>
  <si>
    <t>TM -V1 EDR/XDR Add-on: EPP, Srv and Cloud W/loads - 251-500 Users - SKNI0002</t>
  </si>
  <si>
    <t>NUV-HOU-21-46</t>
  </si>
  <si>
    <t>TM -V1 EDR/XDR Add-on: EPP, Srv and Cloud W/loads - 501-1,000 Users - SKNI0003</t>
  </si>
  <si>
    <t>NUV-HOU-21-47</t>
  </si>
  <si>
    <t>TM -V1 EDR/XDR Add-on: EPP, Srv and Cloud W/loads - 1,001-2,000 Users - SKNI0004</t>
  </si>
  <si>
    <t>NUV-HOU-21-48</t>
  </si>
  <si>
    <t>TM -V1 EDR/XDR Add-on: EPP, Srv and Cloud W/loads - 2,001-5,000 Users - SKNI0005</t>
  </si>
  <si>
    <t>NUV-HOU-21-49</t>
  </si>
  <si>
    <t>TM -V1 EDR/XDR Add-on: EPP, Srv and Cloud W/loads - 5,001-10,000 Users - SKNI0006</t>
  </si>
  <si>
    <t>NUV-HOU-21-50</t>
  </si>
  <si>
    <t>TM -V1 EDR/XDR Add-on: EPP, Srv and Cloud W/loads - 10,001+ Users - SKNI0007</t>
  </si>
  <si>
    <t>NUV-HOU-21-51</t>
  </si>
  <si>
    <t>TM -V1 XDR Add-on: Email - 1-250 Users - AXNA0025</t>
  </si>
  <si>
    <t>NUV-HOU-21-52</t>
  </si>
  <si>
    <t>TM -V1 XDR Add-on: Email - 251-500 Users - AXNA0001</t>
  </si>
  <si>
    <t>NUV-HOU-21-53</t>
  </si>
  <si>
    <t>TM -V1 XDR Add-on: Email - 501-1,000 Users - AXNA0002</t>
  </si>
  <si>
    <t>NUV-HOU-21-54</t>
  </si>
  <si>
    <t>TM -V1 XDR Add-on: Email - 1,001-2,000 Users - AXNA0003</t>
  </si>
  <si>
    <t>NUV-HOU-21-55</t>
  </si>
  <si>
    <t>TM -V1 XDR Add-on: Email - 2,001-5,000 Users - AXNA0004</t>
  </si>
  <si>
    <t>NUV-HOU-21-56</t>
  </si>
  <si>
    <t>TM -V1 XDR Add-on: Email - 5,001-10,000 Users - AXNA0005</t>
  </si>
  <si>
    <t>NUV-HOU-21-57</t>
  </si>
  <si>
    <t>TM -V1 XDR Add-on: Email - 10,001-25,000 Users - AXNA0006</t>
  </si>
  <si>
    <t>NUV-HOU-21-58</t>
  </si>
  <si>
    <t>TM -V1 XDR Add-on: Email - 25,001-50,000 Users - AXNA0007</t>
  </si>
  <si>
    <t>NUV-HOU-21-59</t>
  </si>
  <si>
    <t>TM -V1 XDR Add-on: Email - 50,001+ Users - AXNA0008</t>
  </si>
  <si>
    <t>NUV-HOU-21-60</t>
  </si>
  <si>
    <t>TM -V1 XDR Add-on: DDI per Gbps - 1-4 Gbps - DMNA0004</t>
  </si>
  <si>
    <t>NUV-HOU-21-61</t>
  </si>
  <si>
    <t>TM -V1 XDR Add-on: DDI per Gbps - 5-7 Gbps - DMNA0005</t>
  </si>
  <si>
    <t>NUV-HOU-21-62</t>
  </si>
  <si>
    <t>TM -V1 XDR Add-on: DDI per Gbps - 8-10 Gbps - DMNA0006</t>
  </si>
  <si>
    <t>NUV-HOU-21-63</t>
  </si>
  <si>
    <t>TM -V1 XDR Add-on: DDI per Gbps - 11-14 Gbps - DMNA0007</t>
  </si>
  <si>
    <t>NUV-HOU-21-64</t>
  </si>
  <si>
    <t>TM -V1 XDR Add-on: DDI per Gbps - 15-17 Gbps - DMNA0008</t>
  </si>
  <si>
    <t>NUV-HOU-21-65</t>
  </si>
  <si>
    <t>TM -V1 XDR Add-on: DDI per Gbps - 18-20 Gbps - DMNA0009</t>
  </si>
  <si>
    <t>NUV-HOU-21-66</t>
  </si>
  <si>
    <t>TM - V1 XDR for Networks, per 500Mbps - 1-9 Gbps - VONA0088</t>
  </si>
  <si>
    <t>NUV-HOU-21-67</t>
  </si>
  <si>
    <t>TM - V1 XDR for Networks, per 500Mbps - 10-19 Gbps - VONA0089</t>
  </si>
  <si>
    <t>NUV-HOU-21-68</t>
  </si>
  <si>
    <t>TM - V1 XDR for Networks, per 500Mbps - 20-99 Gbps - VONA0090</t>
  </si>
  <si>
    <t>NUV-HOU-21-69</t>
  </si>
  <si>
    <t>TM - V1 XDR for Networks, per 500Mbps - 100+ Gbps - VONA0091</t>
  </si>
  <si>
    <t>NUV-HOU-21-70</t>
  </si>
  <si>
    <t>TM - V1 XDR for Networks - Ext St - 90 days, per 500Mbps - 1+ Gbps - VONA0092</t>
  </si>
  <si>
    <t>NUV-HOU-21-71</t>
  </si>
  <si>
    <t>TM - V1 XDR for Networks - Ext St - 180 days, per 500Mbps - 1+ Gbps - VONA0093</t>
  </si>
  <si>
    <t>NUV-HOU-21-72</t>
  </si>
  <si>
    <t>TM - V1 XDR for Networks - Ext St - 365 days, per 500Mbps - 1+ Gbps - VONA0094</t>
  </si>
  <si>
    <t>NUV-HOU-21-73</t>
  </si>
  <si>
    <t>TM - V1 Container Sec - per container  - 1+Contenedor - VONA0095</t>
  </si>
  <si>
    <t>NUV-HOU-21-74</t>
  </si>
  <si>
    <t>TM - V1 Container Sec - per Srvless  - 1+Contenedor - VONA0096</t>
  </si>
  <si>
    <t>NUV-HOU-21-75</t>
  </si>
  <si>
    <t>TM - V1 - Data Pipeline  - 1+Contenedor - VONA0142</t>
  </si>
  <si>
    <t>NUV-HOU-21-76</t>
  </si>
  <si>
    <t>TM - V1 ASRM - 1-100 Users - VONA0097</t>
  </si>
  <si>
    <t>NUV-HOU-21-77</t>
  </si>
  <si>
    <t>TM - V1 ASRM - 101-250 Users - VONA0098</t>
  </si>
  <si>
    <t>NUV-HOU-21-78</t>
  </si>
  <si>
    <t>TM - V1 ASRM - 251-500 Users - VONA0099</t>
  </si>
  <si>
    <t>NUV-HOU-21-79</t>
  </si>
  <si>
    <t>TM - V1 ASRM - 501-1,000 Users - VONA0100</t>
  </si>
  <si>
    <t>NUV-HOU-21-80</t>
  </si>
  <si>
    <t>TM - V1 ASRM - 1,001-2,000 Users - VONA0101</t>
  </si>
  <si>
    <t>NUV-HOU-21-81</t>
  </si>
  <si>
    <t>TM - V1 ASRM - 2,001-2,500 Users - VONA0114</t>
  </si>
  <si>
    <t>NUV-HOU-21-82</t>
  </si>
  <si>
    <t>TM - V1 ASRM - 2,501-5,000 Users - VONA0102</t>
  </si>
  <si>
    <t>NUV-HOU-21-83</t>
  </si>
  <si>
    <t>TM - V1 ASRM - 5,001-10,000 Users - VONA0103</t>
  </si>
  <si>
    <t>NUV-HOU-21-84</t>
  </si>
  <si>
    <t>TM - V1 ASRM - 10,001-25,000 Users - VONA0104</t>
  </si>
  <si>
    <t>NUV-HOU-21-85</t>
  </si>
  <si>
    <t>TM - V1 ASRM - 25,001-50,000 Users - VONA0105</t>
  </si>
  <si>
    <t>NUV-HOU-21-86</t>
  </si>
  <si>
    <t>TM - V1 ASRM - 50,001-100,000 Users - VONA0106</t>
  </si>
  <si>
    <t>NUV-HOU-21-87</t>
  </si>
  <si>
    <t>TM - V1 ASRM - 100,001+ Users - VONA0107</t>
  </si>
  <si>
    <t>NUV-HOU-21-88</t>
  </si>
  <si>
    <t>TM - V1 ASRM for Cloud - 1-25 Users - VONA0108</t>
  </si>
  <si>
    <t>NUV-HOU-21-89</t>
  </si>
  <si>
    <t>TM - V1 ASRM for Cloud - 26-50 Users - VONA0109</t>
  </si>
  <si>
    <t>NUV-HOU-21-90</t>
  </si>
  <si>
    <t>TM - V1 ASRM for Cloud - 51-75 Users - VONA0110</t>
  </si>
  <si>
    <t>NUV-HOU-21-91</t>
  </si>
  <si>
    <t>TM - V1 ASRM for Cloud - 76-100 Users - VONA0111</t>
  </si>
  <si>
    <t>NUV-HOU-21-92</t>
  </si>
  <si>
    <t>TM - V1 ASRM for Cloud - 101-200 Users - VONA0112</t>
  </si>
  <si>
    <t>NUV-HOU-21-93</t>
  </si>
  <si>
    <t>TM - V1 ASRM for Cloud - 201+ Users - VONA0113</t>
  </si>
  <si>
    <t>NUV-HOU-21-94</t>
  </si>
  <si>
    <t>TM - V1 ZTSA - Priv Access - 1-50 Users - VONN0109</t>
  </si>
  <si>
    <t>NUV-HOU-21-95</t>
  </si>
  <si>
    <t>TM - V1 ZTSA - Priv Access - 51-250 Users - VONN0110</t>
  </si>
  <si>
    <t>NUV-HOU-21-96</t>
  </si>
  <si>
    <t>TM - V1 ZTSA - Priv Access - 251-500 Users - VONN0111</t>
  </si>
  <si>
    <t>NUV-HOU-21-97</t>
  </si>
  <si>
    <t>TM - V1 ZTSA - Priv Access - 501-1,000 Users - VONN0112</t>
  </si>
  <si>
    <t>NUV-HOU-21-98</t>
  </si>
  <si>
    <t>TM - V1 ZTSA - Priv Access - 1,001-2,000 Users - VONN0113</t>
  </si>
  <si>
    <t>NUV-HOU-21-99</t>
  </si>
  <si>
    <t>TM - V1 ZTSA - Priv Access - 2,001-5,000 Users - VONN0114</t>
  </si>
  <si>
    <t>NUV-HOU-21-100</t>
  </si>
  <si>
    <t>TM - V1 ZTSA - Priv Access - 5,001-10,000 Users - VONN0115</t>
  </si>
  <si>
    <t>NUV-HOU-21-101</t>
  </si>
  <si>
    <t>TM - V1 ZTSA - Priv Access - 10,001-25,000 Users - VONN0116</t>
  </si>
  <si>
    <t>NUV-HOU-21-102</t>
  </si>
  <si>
    <t>TM - V1 ZTSA - Priv Access - 25,001+ Users - VONN0117</t>
  </si>
  <si>
    <t>NUV-HOU-21-103</t>
  </si>
  <si>
    <t>TM - V1 ZTSA - Int Access  - 1-50 Users - VONN0118</t>
  </si>
  <si>
    <t>NUV-HOU-21-104</t>
  </si>
  <si>
    <t>TM - V1 ZTSA - Int Access  - 51-250 Users - VONN0119</t>
  </si>
  <si>
    <t>NUV-HOU-21-105</t>
  </si>
  <si>
    <t>TM - V1 ZTSA - Int Access  - 251-500 Users - VONN0120</t>
  </si>
  <si>
    <t>NUV-HOU-21-106</t>
  </si>
  <si>
    <t>TM - V1 ZTSA - Int Access  - 501-1,000 Users - VONN0121</t>
  </si>
  <si>
    <t>NUV-HOU-21-107</t>
  </si>
  <si>
    <t>TM - V1 ZTSA - Int Access  - 1,001-2,000 Users - VONN0122</t>
  </si>
  <si>
    <t>NUV-HOU-21-108</t>
  </si>
  <si>
    <t>TM - V1 ZTSA - Int Access  - 2,001-5,000 Users - VONN0123</t>
  </si>
  <si>
    <t>NUV-HOU-21-109</t>
  </si>
  <si>
    <t>TM - V1 ZTSA - Int Access  - 5,001-10,000 Users - VONN0124</t>
  </si>
  <si>
    <t>NUV-HOU-21-110</t>
  </si>
  <si>
    <t>TM - V1 ZTSA - Int Access  - 10,001-25,000 Users - VONN0125</t>
  </si>
  <si>
    <t>NUV-HOU-21-111</t>
  </si>
  <si>
    <t>TM - V1 ZTSA - Int Access  - 25,001+ Users - VONN0126</t>
  </si>
  <si>
    <t>NUV-HOU-21-112</t>
  </si>
  <si>
    <t>TM - V1 ZTSA - Private + Int Access - 1-50 Users - VONN0127</t>
  </si>
  <si>
    <t>NUV-HOU-21-113</t>
  </si>
  <si>
    <t>TM - V1 ZTSA - Private + Int Access - 51-250 Users - VONN0128</t>
  </si>
  <si>
    <t>NUV-HOU-21-114</t>
  </si>
  <si>
    <t>TM - V1 ZTSA - Private + Int Access - 251-500 Users - VONN0129</t>
  </si>
  <si>
    <t>NUV-HOU-21-115</t>
  </si>
  <si>
    <t>TM - V1 ZTSA - Private + Int Access - 501-1,000 Users - VONN0130</t>
  </si>
  <si>
    <t>NUV-HOU-21-116</t>
  </si>
  <si>
    <t>TM - V1 ZTSA - Private + Int Access - 1,001-2,000 Users - VONN0131</t>
  </si>
  <si>
    <t>NUV-HOU-21-117</t>
  </si>
  <si>
    <t>TM - V1 ZTSA - Private + Int Access - 2,001-5,000 Users - VONN0132</t>
  </si>
  <si>
    <t>NUV-HOU-21-118</t>
  </si>
  <si>
    <t>TM - V1 ZTSA - Private + Int Access - 5,001-10,000 Users - VONN0133</t>
  </si>
  <si>
    <t>NUV-HOU-21-119</t>
  </si>
  <si>
    <t>TM - V1 ZTSA - Private + Int Access - 10,001-25,000 Users - VONN0134</t>
  </si>
  <si>
    <t>NUV-HOU-21-120</t>
  </si>
  <si>
    <t>TM - V1 ZTSA - Private + Int Access - 25,001+ Users - VONN0135</t>
  </si>
  <si>
    <t>NUV-HOU-21-121</t>
  </si>
  <si>
    <t>TM - V1 - EPP Sec (Core) - 1-50 Users - VONA0024</t>
  </si>
  <si>
    <t>NUV-HOU-21-122</t>
  </si>
  <si>
    <t>TM - V1 - EPP Sec (Core) - 51-250 Users - VONA0025</t>
  </si>
  <si>
    <t>NUV-HOU-21-123</t>
  </si>
  <si>
    <t>TM - V1 - EPP Sec (Core) - 251-500 Users - VONA0026</t>
  </si>
  <si>
    <t>NUV-HOU-21-124</t>
  </si>
  <si>
    <t>TM - V1 - EPP Sec (Core) - 501-1,000 Users - VONA0027</t>
  </si>
  <si>
    <t>NUV-HOU-21-125</t>
  </si>
  <si>
    <t>TM - V1 - EPP Sec (Core) - 1,001-2,000 Users - VONA0028</t>
  </si>
  <si>
    <t>NUV-HOU-21-126</t>
  </si>
  <si>
    <t>TM - V1 - EPP Sec (Core) - 2,001-5,000 Users - VONA0029</t>
  </si>
  <si>
    <t>NUV-HOU-21-127</t>
  </si>
  <si>
    <t>TM - V1 - EPP Sec (Core) - 5,001-10,000 Users - VONA0030</t>
  </si>
  <si>
    <t>NUV-HOU-21-128</t>
  </si>
  <si>
    <t>TM - V1 - EPP Sec (Core) - 10,001-25,000 Users - VONA0031</t>
  </si>
  <si>
    <t>NUV-HOU-21-129</t>
  </si>
  <si>
    <t>TM - V1 - EPP Sec (Core) - 25,001+ Users - VONA0032</t>
  </si>
  <si>
    <t>NUV-HOU-21-130</t>
  </si>
  <si>
    <t>TM - V1 - EPP Sec (Ess) - 1-50 Users - VONA0033</t>
  </si>
  <si>
    <t>NUV-HOU-21-131</t>
  </si>
  <si>
    <t>TM - V1 - EPP Sec (Ess) - 51-250 Users - VONA0034</t>
  </si>
  <si>
    <t>NUV-HOU-21-132</t>
  </si>
  <si>
    <t>TM - V1 - EPP Sec (Ess) - 251-500 Users - VONA0035</t>
  </si>
  <si>
    <t>NUV-HOU-21-133</t>
  </si>
  <si>
    <t>TM - V1 - EPP Sec (Ess) - 501-1,000 Users - VONA0036</t>
  </si>
  <si>
    <t>NUV-HOU-21-134</t>
  </si>
  <si>
    <t>TM - V1 - EPP Sec (Ess) - 1,001-2,000 Users - VONA0037</t>
  </si>
  <si>
    <t>NUV-HOU-21-135</t>
  </si>
  <si>
    <t>TM - V1 - EPP Sec (Ess) - 2,001-5,000 Users - VONA0038</t>
  </si>
  <si>
    <t>NUV-HOU-21-136</t>
  </si>
  <si>
    <t>TM - V1 - EPP Sec (Ess) - 5,001-10,000 Users - VONA0039</t>
  </si>
  <si>
    <t>NUV-HOU-21-137</t>
  </si>
  <si>
    <t>TM - V1 - EPP Sec (Ess) - 10,001-25,000 Users - VONA0040</t>
  </si>
  <si>
    <t>NUV-HOU-21-138</t>
  </si>
  <si>
    <t>TM - V1 - EPP Sec (Ess) - 25,001+ Users - VONA0041</t>
  </si>
  <si>
    <t>NUV-HOU-21-139</t>
  </si>
  <si>
    <t>TM - V1 - EPP Sec (Pro) - 1-50 Users - VONA0042</t>
  </si>
  <si>
    <t>NUV-HOU-21-140</t>
  </si>
  <si>
    <t>TM - V1 - EPP Sec (Pro) - 51-250 Users - VONA0043</t>
  </si>
  <si>
    <t>NUV-HOU-21-141</t>
  </si>
  <si>
    <t>TM - V1 - EPP Sec (Pro) - 251-500 Users - VONA0044</t>
  </si>
  <si>
    <t>NUV-HOU-21-142</t>
  </si>
  <si>
    <t>TM - V1 - EPP Sec (Pro) - 501-1,000 Users - VONA0045</t>
  </si>
  <si>
    <t>NUV-HOU-21-143</t>
  </si>
  <si>
    <t>TM - V1 - EPP Sec (Pro) - 1,001-2,000 Users - VONA0046</t>
  </si>
  <si>
    <t>NUV-HOU-21-144</t>
  </si>
  <si>
    <t>TM - V1 - EPP Sec (Pro) - 2,001-5,000 Users - VONA0047</t>
  </si>
  <si>
    <t>NUV-HOU-21-145</t>
  </si>
  <si>
    <t>TM - V1 - EPP Sec (Pro) - 5,001-10,000 Users - VONA0048</t>
  </si>
  <si>
    <t>NUV-HOU-21-146</t>
  </si>
  <si>
    <t>TM - V1 - EPP Sec (Pro) - 10,001-25,000 Users - VONA0049</t>
  </si>
  <si>
    <t>NUV-HOU-21-147</t>
  </si>
  <si>
    <t>TM - V1 - EPP Sec (Pro) - 25,001+ Users - VONA0050</t>
  </si>
  <si>
    <t>NUV-HOU-21-148</t>
  </si>
  <si>
    <t>TM -SAP Scanner for V1 – EPP Sec (Pro)  - 1+ Instancia - VONA0051</t>
  </si>
  <si>
    <t>Instancia</t>
  </si>
  <si>
    <t>NUV-HOU-21-149</t>
  </si>
  <si>
    <t>TM -A1 Sandbox SaaS Add-on to A1 - 1-25 Users - ADNA0010</t>
  </si>
  <si>
    <t>NUV-HOU-21-150</t>
  </si>
  <si>
    <t>TM -A1 Sandbox SaaS Add-on to A1 - 26-50 Users - ADNA0011</t>
  </si>
  <si>
    <t>NUV-HOU-21-151</t>
  </si>
  <si>
    <t>TM -A1 Sandbox SaaS Add-on to A1 - 51-250 Users - ADNA0012</t>
  </si>
  <si>
    <t>NUV-HOU-21-152</t>
  </si>
  <si>
    <t>TM -A1 Sandbox SaaS Add-on to A1 - 251-500 Users - ADNA0013</t>
  </si>
  <si>
    <t>NUV-HOU-21-153</t>
  </si>
  <si>
    <t>TM -A1 Sandbox SaaS Add-on to A1 - 501-1000 Users - ADNA0014</t>
  </si>
  <si>
    <t>NUV-HOU-21-154</t>
  </si>
  <si>
    <t>TM -A1 Sandbox SaaS Add-on to A1 - 1001-2000 Users - ADNA0015</t>
  </si>
  <si>
    <t>NUV-HOU-21-155</t>
  </si>
  <si>
    <t>TM -A1 Sandbox SaaS Add-on to A1 - 2001-5000 Users - ADNA0016</t>
  </si>
  <si>
    <t>NUV-HOU-21-156</t>
  </si>
  <si>
    <t>TM -A1 Sandbox SaaS Add-on to A1 - 5001-10000 Users - ADNA0017</t>
  </si>
  <si>
    <t>NUV-HOU-21-157</t>
  </si>
  <si>
    <t>TM -A1 Sandbox SaaS Add-on to A1 - 10001+ Users - ADNA0018</t>
  </si>
  <si>
    <t>NUV-HOU-21-158</t>
  </si>
  <si>
    <t>TM -A1 ApCentral Full Win-Mac Incl iDLP,iVP,iAC (Onprem) - 5-25 Users - OSNA0051</t>
  </si>
  <si>
    <t>NUV-HOU-21-159</t>
  </si>
  <si>
    <t>TM -A1 ApCentral Full Win-Mac Incl iDLP,iVP,iAC (Onprem) - 26-50 Users - OSNA0052</t>
  </si>
  <si>
    <t>NUV-HOU-21-160</t>
  </si>
  <si>
    <t>TM -A1 ApCentral Full Win-Mac Incl iDLP,iVP,iAC (Onprem) - 51-250 Users - OSNA0053</t>
  </si>
  <si>
    <t>NUV-HOU-21-161</t>
  </si>
  <si>
    <t>TM -A1 ApCentral Full Win-Mac Incl iDLP,iVP,iAC (Onprem) - 251-500 Users - OSNA0054</t>
  </si>
  <si>
    <t>NUV-HOU-21-162</t>
  </si>
  <si>
    <t>TM -A1 ApCentral Full Win-Mac Incl iDLP,iVP,iAC (Onprem) - 501-1,000 Users - OSNA0055</t>
  </si>
  <si>
    <t>NUV-HOU-21-163</t>
  </si>
  <si>
    <t>TM -A1 ApCentral Full Win-Mac Incl iDLP,iVP,iAC (Onprem) - 1,001-2,000 Users - OSNA0056</t>
  </si>
  <si>
    <t>NUV-HOU-21-164</t>
  </si>
  <si>
    <t>TM -A1 ApCentral Full Win-Mac Incl iDLP,iVP,iAC (Onprem) - 2,001-5,000 Users - OSNA0057</t>
  </si>
  <si>
    <t>NUV-HOU-21-165</t>
  </si>
  <si>
    <t>TM -A1 ApCentral Full Win-Mac Incl iDLP,iVP,iAC (Onprem) - 5,001-10,000 Users - OSNA0058</t>
  </si>
  <si>
    <t>NUV-HOU-21-166</t>
  </si>
  <si>
    <t>TM -A1 ApCentral Full Win-Mac Incl iDLP,iVP,iAC (Onprem) - 10,001+ Users - OSNA0059</t>
  </si>
  <si>
    <t>NUV-HOU-21-167</t>
  </si>
  <si>
    <t>TM -A1 EPP Sensor Add-on for A1 Onprem - 5-25 Users - SKNA0018</t>
  </si>
  <si>
    <t>NUV-HOU-21-168</t>
  </si>
  <si>
    <t>TM -A1 EPP Sensor Add-on for A1 Onprem - 26-50 Users - SKNA0019</t>
  </si>
  <si>
    <t>NUV-HOU-21-169</t>
  </si>
  <si>
    <t>TM -A1 EPP Sensor Add-on for A1 Onprem - 51-250 Users - SKNA0020</t>
  </si>
  <si>
    <t>NUV-HOU-21-170</t>
  </si>
  <si>
    <t>TM -A1 EPP Sensor Add-on for A1 Onprem - 251-500 Users - SKNA0021</t>
  </si>
  <si>
    <t>NUV-HOU-21-171</t>
  </si>
  <si>
    <t>TM -A1 EPP Sensor Add-on for A1 Onprem - 501-1000 Users - SKNA0022</t>
  </si>
  <si>
    <t>NUV-HOU-21-172</t>
  </si>
  <si>
    <t>TM -A1 EPP Sensor Add-on for A1 Onprem - 1001-2000 Users - SKNA0023</t>
  </si>
  <si>
    <t>NUV-HOU-21-173</t>
  </si>
  <si>
    <t>TM -A1 EPP Sensor Add-on for A1 Onprem - 2001-5000 Users - SKNA0024</t>
  </si>
  <si>
    <t>NUV-HOU-21-174</t>
  </si>
  <si>
    <t>TM -A1 EPP Sensor Add-on for A1 Onprem - 5001-10000 Users - SKNA0025</t>
  </si>
  <si>
    <t>NUV-HOU-21-175</t>
  </si>
  <si>
    <t>TM -A1 EPP Sensor Add-on for A1 Onprem - 10001+ Users - SKNA0026</t>
  </si>
  <si>
    <t>NUV-HOU-21-176</t>
  </si>
  <si>
    <t>TM - Smart Protect for EPPs - 51-250 Users - CTNA0011</t>
  </si>
  <si>
    <t>NUV-HOU-21-177</t>
  </si>
  <si>
    <t>TM - Smart Protect Compl   - 1-250 Users - CTNA0039</t>
  </si>
  <si>
    <t>NUV-HOU-21-178</t>
  </si>
  <si>
    <t>TM - Smart Protect Compl (incl CAS XDR)  - 5-25 Users - CTNA0000</t>
  </si>
  <si>
    <t>NUV-HOU-21-179</t>
  </si>
  <si>
    <t>TM - V1 Email Coll Sec - Core - 1-250 Users - VONA0115</t>
  </si>
  <si>
    <t>NUV-HOU-21-180</t>
  </si>
  <si>
    <t>TM - V1 Email Coll Sec - Core - 251-500 Users - VONA0116</t>
  </si>
  <si>
    <t>NUV-HOU-21-181</t>
  </si>
  <si>
    <t>TM - V1 Email Coll Sec - Core - 501-1,000 Users - VONA0117</t>
  </si>
  <si>
    <t>NUV-HOU-21-182</t>
  </si>
  <si>
    <t>TM - V1 Email Coll Sec - Core - 1,001-2,000 Users - VONA0118</t>
  </si>
  <si>
    <t>NUV-HOU-21-183</t>
  </si>
  <si>
    <t>TM - V1 Email Coll Sec - Core - 2,001-5,000 Users - VONA0119</t>
  </si>
  <si>
    <t>NUV-HOU-21-184</t>
  </si>
  <si>
    <t>TM - V1 Email Coll Sec - Core - 5,001-10,000 Users - VONA0120</t>
  </si>
  <si>
    <t>NUV-HOU-21-185</t>
  </si>
  <si>
    <t>TM - V1 Email Coll Sec - Core - 10,001-25,000 Users - VONA0121</t>
  </si>
  <si>
    <t>NUV-HOU-21-186</t>
  </si>
  <si>
    <t>TM - V1 Email Coll Sec - Core - 25,001-50,000 Users - VONA0122</t>
  </si>
  <si>
    <t>NUV-HOU-21-187</t>
  </si>
  <si>
    <t>TM - V1 Email Coll Sec - Core - 50,001+ Users - VONA0123</t>
  </si>
  <si>
    <t>NUV-HOU-21-188</t>
  </si>
  <si>
    <t>TM - V1 Email Coll Sec - Ess - 1-250 Users - VONA0124</t>
  </si>
  <si>
    <t>NUV-HOU-21-189</t>
  </si>
  <si>
    <t>TM - V1 Email Coll Sec - Ess - 251-500 Users - VONA0125</t>
  </si>
  <si>
    <t>NUV-HOU-21-190</t>
  </si>
  <si>
    <t>TM - V1 Email Coll Sec - Ess - 501-1,000 Users - VONA0126</t>
  </si>
  <si>
    <t>NUV-HOU-21-191</t>
  </si>
  <si>
    <t>TM - V1 Email Coll Sec - Ess - 1,001-2,000 Users - VONA0127</t>
  </si>
  <si>
    <t>NUV-HOU-21-192</t>
  </si>
  <si>
    <t>TM - V1 Email Coll Sec - Ess - 2,001-5,000 Users - VONA0128</t>
  </si>
  <si>
    <t>NUV-HOU-21-193</t>
  </si>
  <si>
    <t>TM - V1 Email Coll Sec - Ess - 5,001-10,000 Users - VONA0129</t>
  </si>
  <si>
    <t>NUV-HOU-21-194</t>
  </si>
  <si>
    <t>TM - V1 Email Coll Sec - Ess - 10,001-25,000 Users - VONA0130</t>
  </si>
  <si>
    <t>NUV-HOU-21-195</t>
  </si>
  <si>
    <t>TM - V1 Email Coll Sec - Ess - 25,001-50,000 Users - VONA0131</t>
  </si>
  <si>
    <t>NUV-HOU-21-196</t>
  </si>
  <si>
    <t>TM - V1 Email Coll Sec - Ess - 50,001+ Users - VONA0132</t>
  </si>
  <si>
    <t>NUV-HOU-21-197</t>
  </si>
  <si>
    <t>TM - V1 Email Coll Sec - Pro - 1-250 Users - VONA0133</t>
  </si>
  <si>
    <t>NUV-HOU-21-198</t>
  </si>
  <si>
    <t>TM - V1 Email Coll Sec - Pro - 251-500 Users - VONA0134</t>
  </si>
  <si>
    <t>NUV-HOU-21-199</t>
  </si>
  <si>
    <t>TM - V1 Email Coll Sec - Pro - 501-1,000 Users - VONA0135</t>
  </si>
  <si>
    <t>NUV-HOU-21-200</t>
  </si>
  <si>
    <t>TM - V1 Email Coll Sec - Pro - 1,001-2,000 Users - VONA0136</t>
  </si>
  <si>
    <t>NUV-HOU-21-201</t>
  </si>
  <si>
    <t>TM - V1 Email Coll Sec - Pro - 2,001-5,000 Users - VONA0137</t>
  </si>
  <si>
    <t>NUV-HOU-21-202</t>
  </si>
  <si>
    <t>TM - V1 Email Coll Sec - Pro - 5,001-10,000 Users - VONA0138</t>
  </si>
  <si>
    <t>NUV-HOU-21-203</t>
  </si>
  <si>
    <t>TM - V1 Email Coll Sec - Pro - 10,001-25,000 Users - VONA0139</t>
  </si>
  <si>
    <t>NUV-HOU-21-204</t>
  </si>
  <si>
    <t>TM - V1 Email Coll Sec - Pro - 25,001-50,000 Users - VONA0140</t>
  </si>
  <si>
    <t>NUV-HOU-21-205</t>
  </si>
  <si>
    <t>TM - V1 Email Coll Sec - Pro - 50,001+ Users - VONA0141</t>
  </si>
  <si>
    <t>NUV-HOU-21-206</t>
  </si>
  <si>
    <t>TM -CAS Adv - 1-250 Users - NNNA0070</t>
  </si>
  <si>
    <t>NUV-HOU-21-207</t>
  </si>
  <si>
    <t>TM -CAS Adv - 251-500 Users - NNNA0071</t>
  </si>
  <si>
    <t>NUV-HOU-21-208</t>
  </si>
  <si>
    <t>TM -CAS Adv - 501-1,000 Users - NNNA0072</t>
  </si>
  <si>
    <t>NUV-HOU-21-209</t>
  </si>
  <si>
    <t>TM -CAS Adv - 1,001-2,000 Users - NNNA0073</t>
  </si>
  <si>
    <t>NUV-HOU-21-210</t>
  </si>
  <si>
    <t>TM -CAS Adv - 2,001-5,000 Users - NNNA0074</t>
  </si>
  <si>
    <t>NUV-HOU-21-211</t>
  </si>
  <si>
    <t>TM -CAS Adv - 5,001-10,000 Users - NNNA0075</t>
  </si>
  <si>
    <t>NUV-HOU-21-212</t>
  </si>
  <si>
    <t>TM -CAS Adv - 10,001-25,000 Users - NNNA0076</t>
  </si>
  <si>
    <t>NUV-HOU-21-213</t>
  </si>
  <si>
    <t>TM -CAS Adv - 25,001-50,000 Users - NNNA0077</t>
  </si>
  <si>
    <t>NUV-HOU-21-214</t>
  </si>
  <si>
    <t>TM -CAS Adv - 50,001+ Users - NNNA0078</t>
  </si>
  <si>
    <t>NUV-HOU-21-215</t>
  </si>
  <si>
    <t>TM -CAS Adv Add-on - 1-250 Users - NNNA0079</t>
  </si>
  <si>
    <t>NUV-HOU-21-216</t>
  </si>
  <si>
    <t>TM -CAS Adv Add-on - 251-500 Users - NNNA0080</t>
  </si>
  <si>
    <t>NUV-HOU-21-217</t>
  </si>
  <si>
    <t>TM -CAS Adv Add-on - 501-1,000 Users - NNNA0081</t>
  </si>
  <si>
    <t>NUV-HOU-21-218</t>
  </si>
  <si>
    <t>TM -CAS Adv Add-on - 1,001-2,000 Users - NNNA0082</t>
  </si>
  <si>
    <t>NUV-HOU-21-219</t>
  </si>
  <si>
    <t>TM -CAS Adv Add-on - 2,001-5,000 Users - NNNA0083</t>
  </si>
  <si>
    <t>NUV-HOU-21-220</t>
  </si>
  <si>
    <t>TM -CAS Adv Add-on - 5,001-10,000 Users - NNNA0084</t>
  </si>
  <si>
    <t>NUV-HOU-21-221</t>
  </si>
  <si>
    <t>TM -CAS Adv Add-on - 10,001-25,000 Users - NNNA0085</t>
  </si>
  <si>
    <t>NUV-HOU-21-222</t>
  </si>
  <si>
    <t>TM -CAS Adv Add-on - 25,001-50,000 Users - NNNA0086</t>
  </si>
  <si>
    <t>NUV-HOU-21-223</t>
  </si>
  <si>
    <t>TM -CAS Adv Add-on - 50,001+ Users - NNNA0087</t>
  </si>
  <si>
    <t>NUV-HOU-21-224</t>
  </si>
  <si>
    <t>TM -Cloud App Sec Standard  - 1-250 Users - NNNI0008</t>
  </si>
  <si>
    <t>NUV-HOU-21-225</t>
  </si>
  <si>
    <t>TM -Cloud App Sec Standard  - 251-500 Users - NNNA0055</t>
  </si>
  <si>
    <t>NUV-HOU-21-226</t>
  </si>
  <si>
    <t>TM -Cloud App Sec Standard  - 501-1,000 Users - NNNA0056</t>
  </si>
  <si>
    <t>NUV-HOU-21-227</t>
  </si>
  <si>
    <t>TM -Cloud App Sec Standard  - 1,001-2,000 Users - NNNA0057</t>
  </si>
  <si>
    <t>NUV-HOU-21-228</t>
  </si>
  <si>
    <t>TM -Cloud App Sec Standard  - 2,001-5,000 Users - NNNA0058</t>
  </si>
  <si>
    <t>NUV-HOU-21-229</t>
  </si>
  <si>
    <t>TM -Cloud App Sec Standard  - 5,001-10,000 Users - NNNA0059</t>
  </si>
  <si>
    <t>NUV-HOU-21-230</t>
  </si>
  <si>
    <t>TM -Cloud App Sec Standard  - 10,001-25,000 Users - NNNI0009</t>
  </si>
  <si>
    <t>NUV-HOU-21-231</t>
  </si>
  <si>
    <t>TM -Cloud App Sec Standard  - 25,001-50,000 Users - NNNI0010</t>
  </si>
  <si>
    <t>NUV-HOU-21-232</t>
  </si>
  <si>
    <t>TM -Cloud App Sec Standard  - 50,001+ Users - NNNA0060</t>
  </si>
  <si>
    <t>NUV-HOU-21-233</t>
  </si>
  <si>
    <t>TM -Cloud App Sec with XDR  - 1-250 Users - NNNA0046</t>
  </si>
  <si>
    <t>NUV-HOU-21-234</t>
  </si>
  <si>
    <t>TM -SP for M365 - 1-250 Users - NNNA0061</t>
  </si>
  <si>
    <t>NUV-HOU-21-235</t>
  </si>
  <si>
    <t>TM -SP for M365 - 251-500 Users - NNNA0062</t>
  </si>
  <si>
    <t>NUV-HOU-21-236</t>
  </si>
  <si>
    <t>TM -SP for M365 - 501-1,000 Users - NNNA0063</t>
  </si>
  <si>
    <t>NUV-HOU-21-237</t>
  </si>
  <si>
    <t>TM -SP for M365 - 1,001-2,000 Users - NNNA0064</t>
  </si>
  <si>
    <t>NUV-HOU-21-238</t>
  </si>
  <si>
    <t>TM -SP for M365 - 2,001-5,000 Users - NNNA0065</t>
  </si>
  <si>
    <t>NUV-HOU-21-239</t>
  </si>
  <si>
    <t>TM -SP for M365 - 5,001-10,000 Users - NNNA0066</t>
  </si>
  <si>
    <t>NUV-HOU-21-240</t>
  </si>
  <si>
    <t>TM -SP for M365 - 10,001-25,000 Users - NNNA0067</t>
  </si>
  <si>
    <t>NUV-HOU-21-241</t>
  </si>
  <si>
    <t>TM -SP for M365 - 25,001-50,000 Users - NNNA0068</t>
  </si>
  <si>
    <t>NUV-HOU-21-242</t>
  </si>
  <si>
    <t>TM -SP for M365 - 50,001+ Users - NNNA0069</t>
  </si>
  <si>
    <t>NUV-HOU-21-243</t>
  </si>
  <si>
    <t>TM -SP for M365 (incl CAS XDR) - 1-250 Users - NNNA0036</t>
  </si>
  <si>
    <t>NUV-HOU-21-244</t>
  </si>
  <si>
    <t>TM - Email Sec Standard - 5-250 Users - DFNA0009</t>
  </si>
  <si>
    <t>NUV-HOU-21-245</t>
  </si>
  <si>
    <t>TM - Email Sec Standard - 251-500 Users - DFNA0010</t>
  </si>
  <si>
    <t>NUV-HOU-21-246</t>
  </si>
  <si>
    <t>TM - Email Sec Standard - 501-1000 Users - DFNA0011</t>
  </si>
  <si>
    <t>NUV-HOU-21-247</t>
  </si>
  <si>
    <t>TM - Email Sec Standard - 1001-2000 Users - DFNA0012</t>
  </si>
  <si>
    <t>NUV-HOU-21-248</t>
  </si>
  <si>
    <t>TM - Email Sec Standard - 2001+ Users - DFNA0013</t>
  </si>
  <si>
    <t>NUV-HOU-21-249</t>
  </si>
  <si>
    <t>TM - Email Sec Adv - 5-250 Users - DFNA0000</t>
  </si>
  <si>
    <t>NUV-HOU-21-250</t>
  </si>
  <si>
    <t>TM - Email Sec Adv - 251-500 Users - DFNA0001</t>
  </si>
  <si>
    <t>NUV-HOU-21-251</t>
  </si>
  <si>
    <t>TM - Email Sec Adv - 501-1000 Users - DFNA0002</t>
  </si>
  <si>
    <t>NUV-HOU-21-252</t>
  </si>
  <si>
    <t>TM - Email Sec Adv - 1001-2000 Users - DFNA0003</t>
  </si>
  <si>
    <t>NUV-HOU-21-253</t>
  </si>
  <si>
    <t>TM - Email Sec Adv - 2001-5000 Users - DFNA0004</t>
  </si>
  <si>
    <t>NUV-HOU-21-254</t>
  </si>
  <si>
    <t>TM - Email Sec Adv - 5001-10000 Users - DFNA0005</t>
  </si>
  <si>
    <t>NUV-HOU-21-255</t>
  </si>
  <si>
    <t>TM - Email Sec Adv - 10001-25000 Users - DFNA0006</t>
  </si>
  <si>
    <t>NUV-HOU-21-256</t>
  </si>
  <si>
    <t>TM - Email Sec Adv - 25001-50000 Users - DFNA0007</t>
  </si>
  <si>
    <t>NUV-HOU-21-257</t>
  </si>
  <si>
    <t>TM - Email Sec Adv - 50001+ Users - DFNA0008</t>
  </si>
  <si>
    <t>NUV-HOU-21-258</t>
  </si>
  <si>
    <t>TM - Email Sec Adv Add-on - 5-250 Users - DFNI0000</t>
  </si>
  <si>
    <t>NUV-HOU-21-259</t>
  </si>
  <si>
    <t>TM - Email Sec Adv Add-on - 251-500 Users - DFNI0001</t>
  </si>
  <si>
    <t>NUV-HOU-21-260</t>
  </si>
  <si>
    <t>TM - Email Sec Adv Add-on - 501-1000 Users - DFNI0002</t>
  </si>
  <si>
    <t>NUV-HOU-21-261</t>
  </si>
  <si>
    <t>TM - Email Sec Adv Add-on - 1001-2000 Users - DFNI0003</t>
  </si>
  <si>
    <t>NUV-HOU-21-262</t>
  </si>
  <si>
    <t>TM - Email Sec Adv Add-on - 2001-5000 Users - DFNI0004</t>
  </si>
  <si>
    <t>NUV-HOU-21-263</t>
  </si>
  <si>
    <t>TM - Email Sec Adv Add-on - 5001-10000 Users - DFNI0005</t>
  </si>
  <si>
    <t>NUV-HOU-21-264</t>
  </si>
  <si>
    <t>TM - Email Sec Adv Add-on - 10001-25000 Users - DFNI0006</t>
  </si>
  <si>
    <t>NUV-HOU-21-265</t>
  </si>
  <si>
    <t>TM - Email Sec Adv Add-on - 25001-50000 Users - DFNI0007</t>
  </si>
  <si>
    <t>NUV-HOU-21-266</t>
  </si>
  <si>
    <t>TM - Email Sec Adv Add-on - 50001+ Users - DFNI0008</t>
  </si>
  <si>
    <t>NUV-HOU-21-267</t>
  </si>
  <si>
    <t>TM - Email Sec Adv: Sandbox SaaS  - 5+ Users - ADNA0025</t>
  </si>
  <si>
    <t>NUV-HOU-21-268</t>
  </si>
  <si>
    <t>TM -InterScan Messaging Sec V.Appl - 5-25 Users - IMN40000</t>
  </si>
  <si>
    <t>NUV-HOU-21-269</t>
  </si>
  <si>
    <t>TM -Email Rep Serv 1 Yr Subcrip. - 39227 Users - STNA0000</t>
  </si>
  <si>
    <t>NUV-HOU-21-270</t>
  </si>
  <si>
    <t>TM -Email Rep Serv 1 Yr Subcrip. - 26-50 Users - STNA0001</t>
  </si>
  <si>
    <t>NUV-HOU-21-271</t>
  </si>
  <si>
    <t>TM -Email Rep Serv 1 Yr Subcrip. - 51-250 Users - STNA0002</t>
  </si>
  <si>
    <t>NUV-HOU-21-272</t>
  </si>
  <si>
    <t>TM -Email Rep Serv 1 Yr Subcrip. - 251-500 Users - STNA0004</t>
  </si>
  <si>
    <t>NUV-HOU-21-273</t>
  </si>
  <si>
    <t>TM -Email Rep Serv 1 Yr Subcrip. - 501-1000 Users - STNA0005</t>
  </si>
  <si>
    <t>NUV-HOU-21-274</t>
  </si>
  <si>
    <t>TM -Email Rep Serv 1 Yr Subcrip. - 1001-2000 Users - STNA0006</t>
  </si>
  <si>
    <t>NUV-HOU-21-275</t>
  </si>
  <si>
    <t>TM -Email Rep Serv 1 Yr Subcrip. - 2001-5000 Users - STNA0007</t>
  </si>
  <si>
    <t>NUV-HOU-21-276</t>
  </si>
  <si>
    <t>TM -Email Rep Serv 1 Yr Subcrip. - 5001-10001 Users - STNA0008</t>
  </si>
  <si>
    <t>NUV-HOU-21-277</t>
  </si>
  <si>
    <t>TM -Email Rep Serv 1 Yr Subcrip. - 10001-25000 Users - STNA0009</t>
  </si>
  <si>
    <t>NUV-HOU-21-278</t>
  </si>
  <si>
    <t>TM -Email Rep Serv 1 Yr Subcrip. - 25001-50000 Users - STNA0010</t>
  </si>
  <si>
    <t>NUV-HOU-21-279</t>
  </si>
  <si>
    <t>TM -Email Rep Serv 1 Yr Subcrip. - 50001+ Users - STNA0011</t>
  </si>
  <si>
    <t>NUV-HOU-21-280</t>
  </si>
  <si>
    <t>TM - Web Sec Standard - 5-25 Users - IYNA0000</t>
  </si>
  <si>
    <t>NUV-HOU-21-281</t>
  </si>
  <si>
    <t>TM - Web Sec Standard - 26-50 Users - IYNA0001</t>
  </si>
  <si>
    <t>NUV-HOU-21-282</t>
  </si>
  <si>
    <t>TM - Web Sec Standard - 51-250 Users - IYNA0002</t>
  </si>
  <si>
    <t>NUV-HOU-21-283</t>
  </si>
  <si>
    <t>TM - Web Sec Standard - 251-500 Users - IYNA0003</t>
  </si>
  <si>
    <t>NUV-HOU-21-284</t>
  </si>
  <si>
    <t>TM - Web Sec Standard - 501-1,000 Users - IYNA0004</t>
  </si>
  <si>
    <t>NUV-HOU-21-285</t>
  </si>
  <si>
    <t>TM - Web Sec Standard - 1,001-2,000 Users - IYNA0005</t>
  </si>
  <si>
    <t>NUV-HOU-21-286</t>
  </si>
  <si>
    <t>TM - Web Sec Standard - 2,001-5,000 Users - IYNA0006</t>
  </si>
  <si>
    <t>NUV-HOU-21-287</t>
  </si>
  <si>
    <t>TM - Web Sec Standard - 5,001-10,000 Users - IYNA0007</t>
  </si>
  <si>
    <t>NUV-HOU-21-288</t>
  </si>
  <si>
    <t>TM - Web Sec Standard - 10,001+ Users - IYNA0008</t>
  </si>
  <si>
    <t>NUV-HOU-21-289</t>
  </si>
  <si>
    <t>TM - Web Sec Adv - 5-25 Users - IYNI0000</t>
  </si>
  <si>
    <t>NUV-HOU-21-290</t>
  </si>
  <si>
    <t>TM - Web Sec Adv - 26-50 Users - IYNI0001</t>
  </si>
  <si>
    <t>NUV-HOU-21-291</t>
  </si>
  <si>
    <t>TM - Web Sec Adv - 51-250 Users - IYNI0002</t>
  </si>
  <si>
    <t>NUV-HOU-21-292</t>
  </si>
  <si>
    <t>TM - Web Sec Adv - 251-500 Users - IYNI0003</t>
  </si>
  <si>
    <t>NUV-HOU-21-293</t>
  </si>
  <si>
    <t>TM - Web Sec Adv - 501-1,000 Users - IYNI0004</t>
  </si>
  <si>
    <t>NUV-HOU-21-294</t>
  </si>
  <si>
    <t>TM - Web Sec Adv - 1,001-2,000 Users - IYNI0005</t>
  </si>
  <si>
    <t>NUV-HOU-21-295</t>
  </si>
  <si>
    <t>TM - Web Sec Adv - 2,001-5,000 Users - IYNI0006</t>
  </si>
  <si>
    <t>NUV-HOU-21-296</t>
  </si>
  <si>
    <t>TM - Web Sec Adv - 5,001-10,000 Users - IYNI0007</t>
  </si>
  <si>
    <t>NUV-HOU-21-297</t>
  </si>
  <si>
    <t>TM - Web Sec Adv - 10,001+ Users - IYNA0018</t>
  </si>
  <si>
    <t>NUV-HOU-21-298</t>
  </si>
  <si>
    <t>TM - Web Sec Adv add-on - 5-250 Users - IYNA0019</t>
  </si>
  <si>
    <t>NUV-HOU-21-299</t>
  </si>
  <si>
    <t>TM - Web Sec Adv add-on - 251-500 Users - IYNA0020</t>
  </si>
  <si>
    <t>NUV-HOU-21-300</t>
  </si>
  <si>
    <t>TM - Web Sec Adv add-on - 501-1,000 Users - IYNA0021</t>
  </si>
  <si>
    <t>NUV-HOU-21-301</t>
  </si>
  <si>
    <t>TM - Web Sec Adv add-on - 1,001-2,000 Users - IYNA0022</t>
  </si>
  <si>
    <t>NUV-HOU-21-302</t>
  </si>
  <si>
    <t>TM - Web Sec Adv add-on - 2,001-5,000 Users - IYNA0023</t>
  </si>
  <si>
    <t>NUV-HOU-21-303</t>
  </si>
  <si>
    <t>TM - Web Sec Adv add-on - 5,001-10,000 Users - IYNA0024</t>
  </si>
  <si>
    <t>NUV-HOU-21-304</t>
  </si>
  <si>
    <t>TM - Web Sec Adv add-on - 10,001+ Users - IYNA0025</t>
  </si>
  <si>
    <t>NUV-HOU-21-305</t>
  </si>
  <si>
    <t>TM - Web Sec Static Outbound IP add-on - 1+ Users - IYNA0026</t>
  </si>
  <si>
    <t>NUV-HOU-21-306</t>
  </si>
  <si>
    <t>TM - Mobile Sec - 5-25 Users - MSNA0064</t>
  </si>
  <si>
    <t>NUV-HOU-21-307</t>
  </si>
  <si>
    <t>TM - Mobile Sec - 26-50 Users - MSNA0065</t>
  </si>
  <si>
    <t>NUV-HOU-21-308</t>
  </si>
  <si>
    <t>TM - Mobile Sec - 51-250 Users - MSNA0066</t>
  </si>
  <si>
    <t>NUV-HOU-21-309</t>
  </si>
  <si>
    <t>TM - Mobile Sec - 251-500 Users - MSNA0067</t>
  </si>
  <si>
    <t>NUV-HOU-21-310</t>
  </si>
  <si>
    <t>TM - Mobile Sec - 501-1000 Users - MSNA0068</t>
  </si>
  <si>
    <t>NUV-HOU-21-311</t>
  </si>
  <si>
    <t>TM - Mobile Sec - 1001-2000 Users - MSNA0069</t>
  </si>
  <si>
    <t>NUV-HOU-21-312</t>
  </si>
  <si>
    <t>TM - Mobile Sec - 2001-5000 Users - MSNA0070</t>
  </si>
  <si>
    <t>NUV-HOU-21-313</t>
  </si>
  <si>
    <t>TM - Mobile Sec - 5001-10000 Users - MSNA0071</t>
  </si>
  <si>
    <t>NUV-HOU-21-314</t>
  </si>
  <si>
    <t>TM - Mobile Sec - 10001+ Users - MSNA0072</t>
  </si>
  <si>
    <t>NUV-HOU-21-315</t>
  </si>
  <si>
    <t>TM - Mobile Sec 2 Years - 5-25 Users - MSYA0000</t>
  </si>
  <si>
    <t>NUV-HOU-21-316</t>
  </si>
  <si>
    <t>TM - Mobile Sec 2 Years - 26-50 Users - MSYA0001</t>
  </si>
  <si>
    <t>NUV-HOU-21-317</t>
  </si>
  <si>
    <t>TM - Mobile Sec 2 Years - 51-250 Users - MSYA0002</t>
  </si>
  <si>
    <t>NUV-HOU-21-318</t>
  </si>
  <si>
    <t>TM - Mobile Sec 2 Years - 251-500 Users - MSYA0003</t>
  </si>
  <si>
    <t>NUV-HOU-21-319</t>
  </si>
  <si>
    <t>TM - Mobile Sec 2 Years - 501-1000 Users - MSYA0004</t>
  </si>
  <si>
    <t>NUV-HOU-21-320</t>
  </si>
  <si>
    <t>TM - Mobile Sec 2 Years - 1001-2000 Users - MSYA0005</t>
  </si>
  <si>
    <t>NUV-HOU-21-321</t>
  </si>
  <si>
    <t>TM - Mobile Sec 2 Years - 2001-5000 Users - MSYA0006</t>
  </si>
  <si>
    <t>NUV-HOU-21-322</t>
  </si>
  <si>
    <t>TM - Mobile Sec 2 Years - 5001-10000 Users - MSYA0007</t>
  </si>
  <si>
    <t>NUV-HOU-21-323</t>
  </si>
  <si>
    <t>TM - Mobile Sec 2 Years - 10001+ Users - MSYA0008</t>
  </si>
  <si>
    <t>NUV-HOU-21-324</t>
  </si>
  <si>
    <t>TM - Mobile Sec 3 Years - 5-25 Users - MSTA0000</t>
  </si>
  <si>
    <t>NUV-HOU-21-325</t>
  </si>
  <si>
    <t>TM - Mobile Sec 3 Years - 26-50 Users - MSTA0001</t>
  </si>
  <si>
    <t>NUV-HOU-21-326</t>
  </si>
  <si>
    <t>TM - Mobile Sec 3 Years - 51-250 Users - MSTA0002</t>
  </si>
  <si>
    <t>NUV-HOU-21-327</t>
  </si>
  <si>
    <t>TM - Mobile Sec 3 Years - 251-500 Users - MSTA0003</t>
  </si>
  <si>
    <t>NUV-HOU-21-328</t>
  </si>
  <si>
    <t>TM - Mobile Sec 3 Years - 501-1000 Users - MSTA0004</t>
  </si>
  <si>
    <t>NUV-HOU-21-329</t>
  </si>
  <si>
    <t>TM - Mobile Sec 3 Years - 1001-2000 Users - MSTA0005</t>
  </si>
  <si>
    <t>NUV-HOU-21-330</t>
  </si>
  <si>
    <t>TM - Mobile Sec 3 Years - 2001-5000 Users - MSTA0006</t>
  </si>
  <si>
    <t>NUV-HOU-21-331</t>
  </si>
  <si>
    <t>TM - Mobile Sec 3 Years - 5001-10000 Users - MSTA0007</t>
  </si>
  <si>
    <t>NUV-HOU-21-332</t>
  </si>
  <si>
    <t>TM - Mobile Sec 3 Years - 10001+ Users - MSTA0008</t>
  </si>
  <si>
    <t>NUV-HOU-21-333</t>
  </si>
  <si>
    <t>TM -DS - Malware Prevention – per Srv (VM)  - 1-100 Srv-Maq - DXNA0574</t>
  </si>
  <si>
    <t>NUV-HOU-21-334</t>
  </si>
  <si>
    <t>TM -DS - Malware Prevention – per Srv (VM)  - 101-1,000 Srv-Maq - DXNA0575</t>
  </si>
  <si>
    <t>NUV-HOU-21-335</t>
  </si>
  <si>
    <t>TM -DS - Malware Prevention – per Srv (VM)  - 1,001-10,000 Srv-Maq - DXNA0576</t>
  </si>
  <si>
    <t>NUV-HOU-21-336</t>
  </si>
  <si>
    <t>TM -DS - Malware Prevention – per Srv (VM)  - 10,001+ Srv-Maq - DXNA0577</t>
  </si>
  <si>
    <t>NUV-HOU-21-337</t>
  </si>
  <si>
    <t>TM -DS - Malware Prevention - per Non-Srv System  - 1-500 Srv-Maq - DXNA0590</t>
  </si>
  <si>
    <t>NUV-HOU-21-338</t>
  </si>
  <si>
    <t>TM -DS - Malware Prevention - per Non-Srv System  - 501-5,000 Srv-Maq - DXNA0591</t>
  </si>
  <si>
    <t>NUV-HOU-21-339</t>
  </si>
  <si>
    <t>TM -DS - Malware Prevention - per Non-Srv System - 5,001-50,000 Srv-Maq - DXNA0592</t>
  </si>
  <si>
    <t>NUV-HOU-21-340</t>
  </si>
  <si>
    <t>TM -DS - Malware Prevention - per Non-Srv System  - 50,001+ Srv-Maq - DXNA0593</t>
  </si>
  <si>
    <t>NUV-HOU-21-341</t>
  </si>
  <si>
    <t>TM -DS - Net Sec – per Srv (VM)  - 1-100 Srv-Maq - DXNA0582</t>
  </si>
  <si>
    <t>NUV-HOU-21-342</t>
  </si>
  <si>
    <t>TM -DS - Net Sec – per Srv (VM)  - 101-1,000 Srv-Maq - DXNA0583</t>
  </si>
  <si>
    <t>NUV-HOU-21-343</t>
  </si>
  <si>
    <t>TM -DS - Net Sec – per Srv (VM)  - 1,001-10,000 Srv-Maq - DXNA0584</t>
  </si>
  <si>
    <t>NUV-HOU-21-344</t>
  </si>
  <si>
    <t>TM -DS - Net Sec – per Srv (VM)  - 10,001+ Srv-Maq - DXNA0585</t>
  </si>
  <si>
    <t>NUV-HOU-21-345</t>
  </si>
  <si>
    <t>TM -DS - Net Sec - per Non-Srv System (Kiosk/POS/VDI) - 1-500 Srv-Maq - DXNA0598</t>
  </si>
  <si>
    <t>NUV-HOU-21-346</t>
  </si>
  <si>
    <t>TM -DS - Net Sec - per Non-Srv System (Kiosk/POS/VDI) - 501-5,000 Srv-Maq - DXNA0599</t>
  </si>
  <si>
    <t>NUV-HOU-21-347</t>
  </si>
  <si>
    <t>TM -DS - Net Sec - per Non-Srv System (Kiosk/POS/VDI) - 5,001-50,000 Srv-Maq - DXNA0600</t>
  </si>
  <si>
    <t>NUV-HOU-21-348</t>
  </si>
  <si>
    <t>TM -DS - Net Sec - per Non-Srv System (Kiosk/POS/VDI) - 50,001+ Srv-Maq - DXNA0601</t>
  </si>
  <si>
    <t>NUV-HOU-21-349</t>
  </si>
  <si>
    <t>TM -DS - System Sec – per Srv (VM)  - 1-100 Srv-Maq - DXNA0602</t>
  </si>
  <si>
    <t>NUV-HOU-21-350</t>
  </si>
  <si>
    <t>TM -DS - System Sec – per Srv (VM)  - 101-1,000 Srv-Maq - DXNA0603</t>
  </si>
  <si>
    <t>NUV-HOU-21-351</t>
  </si>
  <si>
    <t>TM -DS - System Sec – per Srv (VM)  - 1,001-10,000 Srv-Maq - DXNA0604</t>
  </si>
  <si>
    <t>NUV-HOU-21-352</t>
  </si>
  <si>
    <t>TM -DS - System Sec – per Srv (VM)  - 10,001+ Srv-Maq - DXNA0605</t>
  </si>
  <si>
    <t>NUV-HOU-21-353</t>
  </si>
  <si>
    <t>TM -DS - System Sec - per Non-Srv System (Kiosk/POS/VDI) - 1-500 Srv-Maq - DXNA0610</t>
  </si>
  <si>
    <t>NUV-HOU-21-354</t>
  </si>
  <si>
    <t>TM -DS - System Sec - per Non-Srv System (Kiosk/POS/VDI) - 501-5,000 Srv-Maq - DXNA0611</t>
  </si>
  <si>
    <t>NUV-HOU-21-355</t>
  </si>
  <si>
    <t>TM -DS - System Sec - per Non-Srv System (Kiosk/POS/VDI) - 5,001-50,000 Srv-Maq - DXNA0612</t>
  </si>
  <si>
    <t>NUV-HOU-21-356</t>
  </si>
  <si>
    <t>TM -DS - System Sec - per Non-Srv System (Kiosk/POS/VDI) - 50,001+ Srv-Maq - DXNA0613</t>
  </si>
  <si>
    <t>NUV-HOU-21-357</t>
  </si>
  <si>
    <t>TM -DS - Ent SW Annual Subcrip. – per Srv (VM) or WL  - 1-100 Srv-Maq - DXNA0643</t>
  </si>
  <si>
    <t>NUV-HOU-21-358</t>
  </si>
  <si>
    <t>TM -DS - Ent SW Annual Subcrip. – per Srv (VM) or WL  - 101-1,000 Srv-Maq - DXNA0644</t>
  </si>
  <si>
    <t>NUV-HOU-21-359</t>
  </si>
  <si>
    <t>TM -DS - Ent SW Annual Subcrip. – per Srv (VM) or WL  - 1,001-10,000 Srv-Maq - DXNA0645</t>
  </si>
  <si>
    <t>NUV-HOU-21-360</t>
  </si>
  <si>
    <t>TM -DS - Ent SW Annual Subcrip. – per Srv (VM) or WL  - 10,001+ Srv-Maq - DXNA0646</t>
  </si>
  <si>
    <t>NUV-HOU-21-361</t>
  </si>
  <si>
    <t>TM -DS Sandbox SaaS add-on - 1-100 Srv-Maq - ADNA0021</t>
  </si>
  <si>
    <t>NUV-HOU-21-362</t>
  </si>
  <si>
    <t>TM -DS Sandbox SaaS add-on - 101-1,000 Srv-Maq - ADNA0022</t>
  </si>
  <si>
    <t>NUV-HOU-21-363</t>
  </si>
  <si>
    <t>TM -DS Sandbox SaaS add-on - 1,001-10,000 Srv-Maq - ADNA0023</t>
  </si>
  <si>
    <t>NUV-HOU-21-364</t>
  </si>
  <si>
    <t>TM -DS Sandbox SaaS add-on - 10,001+ Srv-Maq - ADNA0024</t>
  </si>
  <si>
    <t>NUV-HOU-21-365</t>
  </si>
  <si>
    <t>TM -DS - Ent Perpetual - per Srv (VM) - 1-100 Srv-Maq - DXNA0614</t>
  </si>
  <si>
    <t>NUV-HOU-21-366</t>
  </si>
  <si>
    <t>TM -DS - Ent Perpetual - per Srv (VM) - 101-1,000 Srv-Maq - DXNA0615</t>
  </si>
  <si>
    <t>NUV-HOU-21-367</t>
  </si>
  <si>
    <t>TM -DS - Ent Perpetual - per Srv (VM) - 1,001-10,000 Srv-Maq - DXNA0616</t>
  </si>
  <si>
    <t>NUV-HOU-21-368</t>
  </si>
  <si>
    <t>TM -DS - Ent Perpetual - per Srv (VM) - 10,001+ Srv-Maq - DXNA0617</t>
  </si>
  <si>
    <t>NUV-HOU-21-369</t>
  </si>
  <si>
    <t>TM -DS - Ent - per Non-Srv System (Kiosk/POS/VDI) - 1-500 Srv-Maq - DXNA0622</t>
  </si>
  <si>
    <t>NUV-HOU-21-370</t>
  </si>
  <si>
    <t>TM -DS - Ent - per Non-Srv System (Kiosk/POS/VDI) - 501-5,000 Srv-Maq - DXNA0623</t>
  </si>
  <si>
    <t>NUV-HOU-21-371</t>
  </si>
  <si>
    <t>TM -DS - Ent - per Non-Srv System (Kiosk/POS/VDI) - 5,001-50,000 Srv-Maq - DXNA0624</t>
  </si>
  <si>
    <t>NUV-HOU-21-372</t>
  </si>
  <si>
    <t>TM -DS - Ent - per Non-Srv System (Kiosk/POS/VDI) - 50,001+ Srv-Maq - DXNA0625</t>
  </si>
  <si>
    <t>NUV-HOU-21-373</t>
  </si>
  <si>
    <t>TM -DS for SAP (Scanner) - 1+ Srv-Maq - DXNA0634</t>
  </si>
  <si>
    <t>NUV-HOU-21-374</t>
  </si>
  <si>
    <t>TM - C1- Container Sec - Solution - per Srvless container per year - 1+ Cont/buket/blob - CXNA0031</t>
  </si>
  <si>
    <t>NUV-HOU-21-375</t>
  </si>
  <si>
    <t>TM - C1- Container Sec - Solution - per container node per year - 1+ Cont/buket/blob - CXNA0032</t>
  </si>
  <si>
    <t>NUV-HOU-21-376</t>
  </si>
  <si>
    <t>TM - C1- File Stg Sec per bucket/blob annual Subcrip. - 1-25 Cont/buket/blob - CXNA0027</t>
  </si>
  <si>
    <t>NUV-HOU-21-377</t>
  </si>
  <si>
    <t>TM - C1- File Stg Sec per bucket/blob annual Subcrip. - 26-50 Cont/buket/blob - CXNA0028</t>
  </si>
  <si>
    <t>NUV-HOU-21-378</t>
  </si>
  <si>
    <t>TM - C1- File Stg Sec per bucket/blob annual Subcrip. - 51-100 Cont/buket/blob - CXNA0029</t>
  </si>
  <si>
    <t>NUV-HOU-21-379</t>
  </si>
  <si>
    <t>TM - C1- File Stg Sec per bucket/blob annual Subcrip. - 101+ Cont/buket/blob - CXNA0030</t>
  </si>
  <si>
    <t>NUV-HOU-21-380</t>
  </si>
  <si>
    <t>TM - C1- Conformity - per cloud account - 1-25 Cuenta - CXNA0048</t>
  </si>
  <si>
    <t>NUV-HOU-21-381</t>
  </si>
  <si>
    <t>TM - C1- Conformity - per cloud account - 26-50 Cuenta - CXNA0043</t>
  </si>
  <si>
    <t>NUV-HOU-21-382</t>
  </si>
  <si>
    <t>TM - C1- Conformity - per cloud account - 51-100 Cuenta - CXNA0044</t>
  </si>
  <si>
    <t>NUV-HOU-21-383</t>
  </si>
  <si>
    <t>TM - C1- Conformity - per cloud account - 101+ Cuenta - CXNA0045</t>
  </si>
  <si>
    <t>NUV-HOU-21-384</t>
  </si>
  <si>
    <t>TM - C1- Net Sec per 1 gbps - 1-3 Gbps - CXNA0016</t>
  </si>
  <si>
    <t>NUV-HOU-21-385</t>
  </si>
  <si>
    <t>TM - C1- Net Sec per 1 gbps - 4-9 Gbps - CXNA0017</t>
  </si>
  <si>
    <t>NUV-HOU-21-386</t>
  </si>
  <si>
    <t>TM - C1- Net Sec per 1 gbps - 10+ Gbps - CXNA0018</t>
  </si>
  <si>
    <t>NUV-HOU-21-387</t>
  </si>
  <si>
    <t>TM - C1- Net Sec 100 mbps Lic - 1+ Gbps - CXNA0046</t>
  </si>
  <si>
    <t>NUV-HOU-21-388</t>
  </si>
  <si>
    <t>TM -C1- Net Sec - Inspected Traffic per 100k GB (100 TB) - 1+Tbps - CXNA0076</t>
  </si>
  <si>
    <t>NUV-HOU-21-389</t>
  </si>
  <si>
    <t>TM -C1- Net Sec - Inspected Traffic per 1M GB (1000 TB)  - 1+Tbps - CXNA0077</t>
  </si>
  <si>
    <t>NUV-HOU-21-390</t>
  </si>
  <si>
    <t>TM -C1- Net Sec - Hosted Infra. per EPP depl. + 50TB - 1+Tbps - CXNA0078</t>
  </si>
  <si>
    <t>NUV-HOU-21-391</t>
  </si>
  <si>
    <t>TM -SrvProtect Multi-Platform - 5-25 Users - SPNA0000</t>
  </si>
  <si>
    <t>NUV-HOU-21-392</t>
  </si>
  <si>
    <t>TM -SrvProtect Multi-Platform - 26-50 Users - SPNA0001</t>
  </si>
  <si>
    <t>NUV-HOU-21-393</t>
  </si>
  <si>
    <t>TM -SrvProtect Multi-Platform - 51-250 Users - SPNA0002</t>
  </si>
  <si>
    <t>NUV-HOU-21-394</t>
  </si>
  <si>
    <t>TM -SrvProtect Multi-Platform - 251-500 Users - SPNA0004</t>
  </si>
  <si>
    <t>NUV-HOU-21-395</t>
  </si>
  <si>
    <t>TM -SrvProtect Multi-Platform - 501-1,000 Users - SPNA0005</t>
  </si>
  <si>
    <t>NUV-HOU-21-396</t>
  </si>
  <si>
    <t>TM -SrvProtect Multi-Platform - 1,001-2,000 Users - SPNA0006</t>
  </si>
  <si>
    <t>NUV-HOU-21-397</t>
  </si>
  <si>
    <t>TM -SrvProtect Multi-Platform - 2,001-5,000 Users - SPNA0007</t>
  </si>
  <si>
    <t>NUV-HOU-21-398</t>
  </si>
  <si>
    <t>TM -SrvProtect Multi-Platform - 5,001-10,000 Users - SPNA0008</t>
  </si>
  <si>
    <t>NUV-HOU-21-399</t>
  </si>
  <si>
    <t>TM -SrvProtect Multi-Platform - 10,001-25,000 Users - SPNA0009</t>
  </si>
  <si>
    <t>NUV-HOU-21-400</t>
  </si>
  <si>
    <t>TM -SrvProtect Multi-Platform - 25,001-50,000 Users - SPNA0010</t>
  </si>
  <si>
    <t>NUV-HOU-21-401</t>
  </si>
  <si>
    <t>TM -SrvProtect Multi-Platform - 50,001+ Users - SPNA0011</t>
  </si>
  <si>
    <t>NUV-HOU-21-402</t>
  </si>
  <si>
    <t>TM -SrvProtect for Stg - All SupportStg Platf - Per User - 1-100 Users - SPNA0070</t>
  </si>
  <si>
    <t>NUV-HOU-21-403</t>
  </si>
  <si>
    <t>TM -SrvProtect for Stg - All SupportStg Platf - Per User - 101-500 Users - SPNA0071</t>
  </si>
  <si>
    <t>NUV-HOU-21-404</t>
  </si>
  <si>
    <t>TM -SrvProtect for Stg - All SupportStg Platf - Per User - 501-1,000 Users - SPNA0072</t>
  </si>
  <si>
    <t>NUV-HOU-21-405</t>
  </si>
  <si>
    <t>TM -SrvProtect for Stg - All SupportStg Platf - Per User - 1,001-2,500 Users - SPNA0073</t>
  </si>
  <si>
    <t>NUV-HOU-21-406</t>
  </si>
  <si>
    <t>TM -SrvProtect for Stg - All SupportStg Platf - Per User - 2,501-5,000 Users - SPNA0074</t>
  </si>
  <si>
    <t>NUV-HOU-21-407</t>
  </si>
  <si>
    <t>TM -SrvProtect for Stg - All SupportStg Platf - Per User - 5,001-10,000 Users - SPNI0000</t>
  </si>
  <si>
    <t>NUV-HOU-21-408</t>
  </si>
  <si>
    <t>TM -SrvProtect for Stg - All SupportStg Platf - Per User - 10,001+ Users - SPNA0075</t>
  </si>
  <si>
    <t>NUV-HOU-21-409</t>
  </si>
  <si>
    <t>TM -SrvProtect for Stg - All SupportStg Platf - Per TB - 42760 Users - SPNA0065</t>
  </si>
  <si>
    <t>NUV-HOU-21-410</t>
  </si>
  <si>
    <t>TM -SrvProtect for Stg - All SupportStg Platf - Per TB - 26-100 Users - SPNA0066</t>
  </si>
  <si>
    <t>NUV-HOU-21-411</t>
  </si>
  <si>
    <t>TM -SrvProtect for Stg - All SupportStg Platf - Per TB - 101-500 Users - SPNA0067</t>
  </si>
  <si>
    <t>NUV-HOU-21-412</t>
  </si>
  <si>
    <t>TM -SrvProtect for Stg - All SupportStg Platf - Per TB - 501-1,000 Users - SPNA0068</t>
  </si>
  <si>
    <t>NUV-HOU-21-413</t>
  </si>
  <si>
    <t>TM -SrvProtect for Stg - All SupportStg Platf - Per TB - 1,001+ Users - SPNA0069</t>
  </si>
  <si>
    <t>NUV-HOU-21-414</t>
  </si>
  <si>
    <t>TM -DDI Series Virtual 100: 100 Mbps V.App - 1 Mbps - SKUs disponibles para clientes Existentes</t>
  </si>
  <si>
    <t>NUV-HOU-21-415</t>
  </si>
  <si>
    <t xml:space="preserve">TM -DDI Series Virtual 250: 250 Mbps V.App - 1 Mbps - </t>
  </si>
  <si>
    <t>NUV-HOU-21-416</t>
  </si>
  <si>
    <t>TM -DDI Series Virtual 500: 500 Mbps V.App - 1 Gbps - DDNA0008</t>
  </si>
  <si>
    <t>NUV-HOU-21-417</t>
  </si>
  <si>
    <t>TM -DDI Series Virtual 1000: 1000 Mbps V.App - 1 Gbps - DDNA0007</t>
  </si>
  <si>
    <t>NUV-HOU-21-418</t>
  </si>
  <si>
    <t>TM -DDI Series Virtual 500: 500 Mbps w/ Sandbox SaaS - 1 Gbps - DDNA0036</t>
  </si>
  <si>
    <t>NUV-HOU-21-419</t>
  </si>
  <si>
    <t>TM -DDI Series Virtual 1000: 1000 Mbps w/ Sandbox SaaS - 1 Gbps - DDNA0037</t>
  </si>
  <si>
    <t>NUV-HOU-21-420</t>
  </si>
  <si>
    <t>TM -DDI Series Virtual 500: 500 Mbps V.App with XDR - 1 Gbps - Only Customer</t>
  </si>
  <si>
    <t>NUV-HOU-21-421</t>
  </si>
  <si>
    <t xml:space="preserve">TM -DDI Series Virtual 1000: 1000 Mbps V.App with XDR - 1 Gbps - </t>
  </si>
  <si>
    <t>NUV-HOU-21-422</t>
  </si>
  <si>
    <t>TM -DDI Series Virtual 500: 500 Mbps w/ Sandbox SaaS with XDR - 1 Gbps - DDNI0001</t>
  </si>
  <si>
    <t>NUV-HOU-21-423</t>
  </si>
  <si>
    <t>TM -DDI Series Virtual 1000: 1000 Mbps w/ Sandbox SaaS with XDR - 1 Gbps - DDNA0021</t>
  </si>
  <si>
    <t>NUV-HOU-21-424</t>
  </si>
  <si>
    <t>TM -Sandbox SaaS Add-on to DDI Series Virtual 250: 250 Mbps V.App - 1 Mbps - Only Customer</t>
  </si>
  <si>
    <t>NUV-HOU-21-425</t>
  </si>
  <si>
    <t>TM -Sandbox SaaS Add-on to DDI Series Virtual 500: 500 Mbps V.App - 1 Mbps - ADNI0002</t>
  </si>
  <si>
    <t>NUV-HOU-21-426</t>
  </si>
  <si>
    <t>TM -Sandbox SaaS Add-on to DDI Series Virtual 1000: 1000 Mbps V.App - 1 Gbps - ADNA0019</t>
  </si>
  <si>
    <t>NUV-HOU-21-427</t>
  </si>
  <si>
    <t>TM -DDBundle - DDI SV 250Mbps, Sandbox-aaS, DD Network Analytics 1Gbps - 1 Gbps - DMNA0010</t>
  </si>
  <si>
    <t>NUV-HOU-21-428</t>
  </si>
  <si>
    <t>TM -DDBundle - DDI SV 500Mbps, Sandbox-aaS, DD Network Analytics 1Gbps - 1 Gbps - DMNA0011</t>
  </si>
  <si>
    <t>NUV-HOU-21-429</t>
  </si>
  <si>
    <t>TM -DDBundle - DDI SV 1000Mbps, Sandbox-aaS, DD Network Analytics 1Gbps - 1 Gbps - DMNA0012</t>
  </si>
  <si>
    <t>NUV-HOU-21-430</t>
  </si>
  <si>
    <t>TM -DDEI - Adv Threat Protect SW - 1-1,000 Users - DENA0007</t>
  </si>
  <si>
    <t>NUV-HOU-21-431</t>
  </si>
  <si>
    <t>TM -DDEI - Adv Threat Protect SW - 1,001-5,000 Users - DENA0008</t>
  </si>
  <si>
    <t>NUV-HOU-21-432</t>
  </si>
  <si>
    <t>TM -DDEI - Adv Threat Protect SW - 5,001-10,000 Users - DENA0009</t>
  </si>
  <si>
    <t>NUV-HOU-21-433</t>
  </si>
  <si>
    <t>TM -DDEI - Adv Threat Protect SW - 10,001-20,000 Users - DENA0010</t>
  </si>
  <si>
    <t>NUV-HOU-21-434</t>
  </si>
  <si>
    <t>TM -DDEI - Adv Threat Protect SW - 20,001+ Users - DENA0011</t>
  </si>
  <si>
    <t>NUV-HOU-21-435</t>
  </si>
  <si>
    <t>TM -DDEI - GW Module SW - 1-1,000 Users - DENA0022</t>
  </si>
  <si>
    <t>NUV-HOU-21-436</t>
  </si>
  <si>
    <t>TM -DDEI - GW Module SW - 1,001-5,000 Users - DENA0023</t>
  </si>
  <si>
    <t>NUV-HOU-21-437</t>
  </si>
  <si>
    <t>TM -DDEI - GW Module SW - 5,001-10,000 Users - DENA0024</t>
  </si>
  <si>
    <t>NUV-HOU-21-438</t>
  </si>
  <si>
    <t>TM -DDEI - GW Module SW - 20,001+ Users - DENA0026</t>
  </si>
  <si>
    <t>NUV-HOU-21-439</t>
  </si>
  <si>
    <t>TM -DDEI - Adv Threat and GW Mod SW  - 1-1,000 Users - DENA0012</t>
  </si>
  <si>
    <t>NUV-HOU-21-440</t>
  </si>
  <si>
    <t>TM -DDEI - Adv Threat and GW Mod SW  - 1,001-5,000 Users - DENA0013</t>
  </si>
  <si>
    <t>NUV-HOU-21-441</t>
  </si>
  <si>
    <t>TM -DDEI - Adv Threat and GW Mod SW  - 5,001-10,000 Users - DENA0014</t>
  </si>
  <si>
    <t>NUV-HOU-21-442</t>
  </si>
  <si>
    <t>TM -DDEI - Adv Threat and GW Mod SW  - 10,001-20,000 Users - DENA0015</t>
  </si>
  <si>
    <t>NUV-HOU-21-443</t>
  </si>
  <si>
    <t>TM -DDEI - Adv Threat and GW Mod SW  - 20,001+ Users - DENA0016</t>
  </si>
  <si>
    <t>NUV-HOU-21-444</t>
  </si>
  <si>
    <t>TM -Managed XDR, EPPs, Srvs &amp; Cloud W/loads (Mail Incl) - 251-500 SRVs EPPs o Mqnas - MDNN0076</t>
  </si>
  <si>
    <t>NUV-HOU-21-445</t>
  </si>
  <si>
    <t>TM -Managed XDR, EPPs, Srvs &amp; Cloud W/loads (Mail Incl) - 501-1,000 SRVs EPPs o Mqnas - MDNN0077</t>
  </si>
  <si>
    <t>NUV-HOU-21-446</t>
  </si>
  <si>
    <t>TM -Managed XDR, EPPs, Srvs &amp; Cloud W/loads (Mail Incl) - 1,001-2,000 SRVs EPPs o Mqnas - MDNN0078</t>
  </si>
  <si>
    <t>NUV-HOU-21-447</t>
  </si>
  <si>
    <t>TM -Managed XDR, EPPs, Srvs &amp; Cloud W/loads (Mail Incl) - 2,001-5,000 SRVs EPPs o Mqnas - MDNN0079</t>
  </si>
  <si>
    <t>NUV-HOU-21-448</t>
  </si>
  <si>
    <t>TM -Managed XDR, EPPs, Srvs &amp; Cloud W/loads (Mail Incl) - 5,001-10,000 SRVs EPPs o Mqnas - MDNN0080</t>
  </si>
  <si>
    <t>NUV-HOU-21-449</t>
  </si>
  <si>
    <t>TM -Managed XDR, EPPs, Srvs &amp; Cloud W/loads (Mail Incl) - 10,001+ SRVs EPPs o Mqnas - MDNN0081</t>
  </si>
  <si>
    <t>NUV-HOU-21-450</t>
  </si>
  <si>
    <t>TM -Managed XDR, Networks 500 Mbps - 1+ Gbps - MDNN0128</t>
  </si>
  <si>
    <t>NUV-HOU-21-451</t>
  </si>
  <si>
    <t>TM -Managed XDR, Networks 1 Gbps - 1+ Gbps - MDNM0017</t>
  </si>
  <si>
    <t>NUV-HOU-21-452</t>
  </si>
  <si>
    <t>TM -Managed XDR, Networks 4 Gbps  - 1+ Gbps - MDN60003</t>
  </si>
  <si>
    <t>NUV-HOU-21-453</t>
  </si>
  <si>
    <t>TM -Managed XDR, Networks 10 Gbps  - 1+ Gbps - MDND0002</t>
  </si>
  <si>
    <t>NUV-HOU-21-454</t>
  </si>
  <si>
    <t>TM -Service One Ess EPP &amp; W/loads (Inl Mail) - 51-500 SRVs EPPs o Mqnas - SYNN0024</t>
  </si>
  <si>
    <t>NUV-HOU-21-455</t>
  </si>
  <si>
    <t>TM -Service One Ess EPP &amp; W/loads (Inl Mail) - 501-1,000 SRVs EPPs o Mqnas - SYNN0023</t>
  </si>
  <si>
    <t>NUV-HOU-21-456</t>
  </si>
  <si>
    <t>TM -Service One Ess EPP &amp; W/loads (Inl Mail) - 1,001-2,000 SRVs EPPs o Mqnas - SYNN0016</t>
  </si>
  <si>
    <t>NUV-HOU-21-457</t>
  </si>
  <si>
    <t>TM -Service One Ess EPP &amp; W/loads (Inl Mail) - 2,001-5,000 SRVs EPPs o Mqnas - SYNN0017</t>
  </si>
  <si>
    <t>NUV-HOU-21-458</t>
  </si>
  <si>
    <t>TM -Service One Ess EPP &amp; W/loads (Inl Mail) - 5,001-10,000 SRVs EPPs o Mqnas - SYNN0018</t>
  </si>
  <si>
    <t>NUV-HOU-21-459</t>
  </si>
  <si>
    <t>TM -Service One Ess EPP &amp; W/loads (Inl Mail) - 10,001+ SRVs EPPs o Mqnas - SYNN0019</t>
  </si>
  <si>
    <t>NUV-HOU-21-460</t>
  </si>
  <si>
    <t>TM -Service One Compl EPP &amp; W/loads (Inl Mail) - 501-1,000 SRVs EPPs o Mqnas - SYNN0022</t>
  </si>
  <si>
    <t>NUV-HOU-21-461</t>
  </si>
  <si>
    <t>TM -Service One Compl EPP &amp; W/loads (Inl Mail) - 1,001-2,000 SRVs EPPs o Mqnas - SYNN0012</t>
  </si>
  <si>
    <t>NUV-HOU-21-462</t>
  </si>
  <si>
    <t>TM -Service One Compl EPP &amp; W/loads (Inl Mail) - 2,001-5,000 SRVs EPPs o Mqnas - SYNN0013</t>
  </si>
  <si>
    <t>NUV-HOU-21-463</t>
  </si>
  <si>
    <t>TM -Service One Compl EPP &amp; W/loads (Inl Mail) - 5,001-10,000 SRVs EPPs o Mqnas - SYNN0014</t>
  </si>
  <si>
    <t>NUV-HOU-21-464</t>
  </si>
  <si>
    <t>TM -Service One Compl EPP &amp; W/loads (Inl Mail) - 10,001+ SRVs EPPs o Mqnas - SYNN0015</t>
  </si>
  <si>
    <t>NUV-HOU-21-465</t>
  </si>
  <si>
    <t>TM -Red Team Engagement Project  - 1+ SRVs EPPs o Mqnas - SRNN0035</t>
  </si>
  <si>
    <t>NUV-HOU-21-466</t>
  </si>
  <si>
    <t>TM -Purple Team 5 Day Program - 1 SRVs EPPs o Mqnas - SRNN0036</t>
  </si>
  <si>
    <t>NUV-HOU-21-467</t>
  </si>
  <si>
    <t>TM -Purple Team 5 Day Program add-on for Service One Compl - 1+ SRVs EPPs o Mqnas - SYNN0032</t>
  </si>
  <si>
    <t>LICEN HEINSOHN NOMIN ONPREMISE(Mód:HV,Nomencla y escala salar,Estruc organiza,Planta de perso,Cargos,Perfi y funciones,Organigra,Puestos,Normas,Actos administra,Nómin,reportes Planta,Portales)(min 100 emple)</t>
  </si>
  <si>
    <t>SOFTWARE HEINSOHN NOMINA WEB SaaS (Paquete Inicial 100 empleados) Incluye infraestrucen la nube, arrendamiento de la licencia, actualización y mantenimie del software y de la infraestructura</t>
  </si>
  <si>
    <t>SOFTWARE HEINSOHN NOMINA WEBSaaS (empleado adicional de 101 a 200 empleados) Incluye infraestruc en la nube,arrenda de la licencia,actualiza y mantenimiento del software y de la infraestruc</t>
  </si>
  <si>
    <t>SOFTWARE HEINSOHN NOMINA WEB SaaS (Paquete Inicial 201 a 300 empleados) Incluye infraestruc en la nube, arrenda de la licencia, actualización y mantenimi del software y de la infraestructura</t>
  </si>
  <si>
    <t>LICENCIA HEINSOHN GESTION HUMANA (mód: Capacitación, Desempeño, Mapeo de talentos, Bienestar y Beneficios, Clima y cultura, Desarrollo, Desvinculación, Indicadores y portales)(Mín 100 emple)</t>
  </si>
  <si>
    <t>SOFTWARE HEINSOHN GESTION HUMANA WEB SaaS(Paquete Inicial 100 empleados) Incluye infraestructura en la nube,arrendamiento de la licencia, actualiza y manteni del software y de la infraestruc</t>
  </si>
  <si>
    <t>SOFTWARE HEINSOHN GESTION HUMANA WEBSaaS(empleado adici de 101 a 200 empleados)Incluye infraestruc en la nube,arrendamiento de la licencia,actualiza y manten del software y de la infraestruc</t>
  </si>
  <si>
    <t>SOFTWARE HEINSOHN GESTION HUMANA WEB SaaS(Paquete Inicial 201 a 300 empleados) Incluye infraestrucen la nube,arrendamiento de la licencia, actualiz y manteni del software y de la infraestruc</t>
  </si>
  <si>
    <t xml:space="preserve">SOFTW HEINSOHN GESTION HUMANA WEB SaaS (Paquete Inicial de 5001 empleados en adelante )Incluye infraestructura en la nube, actualización y mantenimiento del software y de la infraestructura </t>
  </si>
  <si>
    <t>SOFTW HEINSOHN SEGURIDAD Y SALUD EN EL TRABAJO (SST) SaaS Incluye infraestru en la nube, arrendamient de la licenci, actual y manteni del software y de la infraestruc con un usuario administ</t>
  </si>
  <si>
    <t xml:space="preserve">Capacitación para usuario final  hasta 10 Personas.  </t>
  </si>
  <si>
    <t xml:space="preserve">Capacitación para usuario técnico o administrador  hasta 10 Personas.  </t>
  </si>
  <si>
    <t>TécnicoTecnólogo ó Profesional</t>
  </si>
  <si>
    <t>Licencia perpetua por usuario nombrado BestDoc  SGDEA (cubierto el primer año de soporte)</t>
  </si>
  <si>
    <t>Licencia perpetua por usuario nombrado BestDoc  SGDEA, PQRS, Flujos electronicos (cubierto el primer año de soporte)</t>
  </si>
  <si>
    <t>Soporte anual usuario nombrado BestDoc  SGDEA</t>
  </si>
  <si>
    <t xml:space="preserve">Soporte anual usuario nombrado BestDoc  SGDEA, PQRS, Flujos electronicos </t>
  </si>
  <si>
    <t>Licencia perpetua modulo BestDoc  SGDEA Nota 1. Cubierto el primer año de soporte Nota 2. No incluye infraestructura</t>
  </si>
  <si>
    <t>Licencia perpetua modulo BestDoc  SGDEA, PQRS, Flujos electronicos Nota 1. Cubierto el primer año de soporte Nota 2. No incluye infraestructura</t>
  </si>
  <si>
    <t>Soporte anual de licencia perpetua modulo BestDoc  SGDEA Nota 1. Cubierto el primer año de soporte Nota 2. No incluye infraestructura</t>
  </si>
  <si>
    <t>Soporte anual de licencia perpetua modulo BestDoc  SGDEA, PQRS, Flujos electronicos Nota 1. Cubierto el primer año de soporte Nota 2. No incluye infraestructura</t>
  </si>
  <si>
    <t>Plataforma BestDoc  SGDEA en la Nube  SAAS usuario nombrado hasta 50 Gb de almacenamiento</t>
  </si>
  <si>
    <t>Plataforma BestDoc  SGDEA, PQRS, Flujos electronicos en la Nube  SAAS usuario nombrado hasta 50 Gb de almacenamiento</t>
  </si>
  <si>
    <t>Plataforma BestDoc  SGDEA arrendamiento por usuario nombrado. Nota 1. No incluye infraestructura</t>
  </si>
  <si>
    <t>Plataforma BestDoc  SGDEA, PQRS, Flujos electronicos arrendamiento por usuario nombrado. Nota 1. No incluye infraestructura</t>
  </si>
  <si>
    <t>Plataforma BestDoc  Servicio de integracion y suministro de hasta 5 firmas digitales con vigencia de 1 año</t>
  </si>
  <si>
    <t>Configuración y parametrización BestDoc  Científico de Datos</t>
  </si>
  <si>
    <t>Configuración y parametrización BestDoc  Arquitecto</t>
  </si>
  <si>
    <t>Configuración y parametrización BestDoc  Gerente de Proyecto</t>
  </si>
  <si>
    <t>Configuración y parametrización BestDoc  Analista de Negocio</t>
  </si>
  <si>
    <t>Configuración y parametrización BestDoc  Especialista de Datos</t>
  </si>
  <si>
    <t>Configuración y parametrización BestDoc  Especialista Cloud</t>
  </si>
  <si>
    <t>Configuración y parametrización BestDoc  Especialista Seguridad</t>
  </si>
  <si>
    <t>Configuración y parametrización BestDoc  Desarrollador integración</t>
  </si>
  <si>
    <t>Configuración y parametrización BestDoc  Especialista de gestion de cambio</t>
  </si>
  <si>
    <t>Configuración y parametrización BestDoc  CX designer</t>
  </si>
  <si>
    <t>Licencia perpetua por usuario nombrado BSR  SSO hasta 1500 liciencias (cubierto el primer año de soporte yo actualizaciones)</t>
  </si>
  <si>
    <t>Licencia perpetua por usuario nombrado BSR  SSO hasta 3000 liciencias (cubierto el primer año de soporte yo actualizaciones)</t>
  </si>
  <si>
    <t>Licencia perpetua por usuario nombrado BSR  SSO hasta 4500 liciencias (cubierto el primer año de soporte yo actualizaciones)</t>
  </si>
  <si>
    <t>Licencia perpetua por usuario nombrado BSR  SSO mas de 4500 liciencias (cubierto el primer año de soporte yo actualizaciones)</t>
  </si>
  <si>
    <t>Licencia perpetua por usuario nombrado BSR  BDM (cubierto el primer año de soporte)</t>
  </si>
  <si>
    <t>Soporte anual usuario nombrado BSR  SSO</t>
  </si>
  <si>
    <t>Soporte anual usuario nombrado BSR BDM</t>
  </si>
  <si>
    <t>Licencia suscripción anual por usuario nombrado BSR  SSO hasta 1500 liciencias.</t>
  </si>
  <si>
    <t>Licencia suscripción anual por usuario nombrado BSR  SSO hasta 3000 liciencias.</t>
  </si>
  <si>
    <t>Licencia suscripción anual por usuario nombrado BSR  SSO hasta 4500 liciencias.</t>
  </si>
  <si>
    <t>Licencia suscripción anual por usuario nombrado BSR  SSO mas de 4500 liciencias.</t>
  </si>
  <si>
    <t>Licencia suscripción anual por usuario nombrado BSR  BDM.</t>
  </si>
  <si>
    <t>Plataforma BSR  SSO hasta 1500 usuarios nombrados  SAAS</t>
  </si>
  <si>
    <t>Plataforma BSR  SSO hasta 3000 usuarios nombrados  SAAS</t>
  </si>
  <si>
    <t>Plataforma BSR  SSO hasta 4500 usuarios nombrados  SAAS</t>
  </si>
  <si>
    <t>Plataforma BSR  SSO mas de 4500 usuarios nombrados  SAAS</t>
  </si>
  <si>
    <t>Configuración y parametrización BSR  Científico de Datos</t>
  </si>
  <si>
    <t>Configuración y parametrización BSR  Arquitecto</t>
  </si>
  <si>
    <t>Configuración y parametrización BSR  Gerente de Proyecto</t>
  </si>
  <si>
    <t>Configuración y parametrización BSR  Analista de Negocio</t>
  </si>
  <si>
    <t>Configuración y parametrización BSR  Especialista de Datos</t>
  </si>
  <si>
    <t>Configuración y parametrización BSR  Especialista Cloud</t>
  </si>
  <si>
    <t>Configuración y parametrización BSR  Especialista Seguridad</t>
  </si>
  <si>
    <t>Configuración y parametrización BSR  Desarrollador integración</t>
  </si>
  <si>
    <t>Configuración y parametrización BSR  Especialista de gestion de cambio</t>
  </si>
  <si>
    <t>Configuración y parametrización BSR  CX designer</t>
  </si>
  <si>
    <t>BDC-L-003</t>
  </si>
  <si>
    <t>BDC-L-004</t>
  </si>
  <si>
    <t>BDC-L-005</t>
  </si>
  <si>
    <t>BDC-L-006</t>
  </si>
  <si>
    <t>BDC-L-007</t>
  </si>
  <si>
    <t>BDC-L-008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</si>
</sst>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6" formatCode="&quot;$&quot;\ #,##0;[Red]\-&quot;$&quot;\ #,##0"/>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0.0000"/>
    <numFmt numFmtId="166" formatCode="[&lt;5]0.00;[&gt;5]#,###;General"/>
    <numFmt numFmtId="167" formatCode="_-&quot;$&quot;\ * #,##0.00_-;\-&quot;$&quot;\ * #,##0.00_-;_-&quot;$&quot;\ * &quot;-&quot;_-;_-@_-"/>
    <numFmt numFmtId="168" formatCode="[&lt;1]0.0000;[&lt;5]0.00;#,###.00"/>
    <numFmt numFmtId="169" formatCode="_(&quot;$&quot;* #,##0.00_);_(&quot;$&quot;* \(#,##0.00\);_(&quot;$&quot;* &quot;-&quot;??_);_(@_)"/>
    <numFmt numFmtId="170" formatCode="_-&quot;$&quot;\ * #,##0_-;\-&quot;$&quot;\ * #,##0_-;_-&quot;$&quot;\ * &quot;-&quot;??_-;_-@_-"/>
    <numFmt numFmtId="171" formatCode="_-&quot;$&quot;* #,##0_-;\-&quot;$&quot;* #,##0_-;_-&quot;$&quot;* &quot;-&quot;_-;_-@_-"/>
    <numFmt numFmtId="172" formatCode="_(* #,##0.00_);_(* \(#,##0.00\);_(* &quot;-&quot;??_);_(@_)"/>
    <numFmt numFmtId="174" formatCode="&quot;$&quot;\ #,##0"/>
    <numFmt numFmtId="175" formatCode="&quot;$&quot;#,##0.00_);[Red]\(&quot;$&quot;#,##0.00\)"/>
    <numFmt numFmtId="176" formatCode="_-&quot;$&quot;* #,##0.00_-;\-&quot;$&quot;* #,##0.00_-;_-&quot;$&quot;* &quot;-&quot;??_-;_-@_-"/>
    <numFmt numFmtId="177" formatCode="_-&quot;$&quot;\ * #,##0.00_-;\-&quot;$&quot;\ * #,##0.00_-;_-&quot;$&quot;\ * &quot;-&quot;??_-;_-@"/>
    <numFmt numFmtId="178" formatCode="_-&quot;$&quot;\ * #,##0_-;\-&quot;$&quot;\ * #,##0_-;_-&quot;$&quot;\ * &quot;-&quot;??_-;_-@"/>
    <numFmt numFmtId="179" formatCode="_-&quot;$&quot;\ * #,##0.00_-;\-&quot;$&quot;\ * #,##0.00_-;_-&quot;$&quot;\ * &quot;-&quot;??.0_-;_-@"/>
    <numFmt numFmtId="180" formatCode="_-&quot;$&quot;\ * #,##0.0000_-;\-&quot;$&quot;\ * #,##0.0000_-;_-&quot;$&quot;\ * &quot;-&quot;??.000_-;_-@"/>
    <numFmt numFmtId="181" formatCode="&quot;$&quot;#,##0.00_);\(&quot;$&quot;#,##0.00\);&quot;$&quot;0.00_);_(* @_)"/>
    <numFmt numFmtId="182" formatCode="_-* #,##0_-;\-* #,##0_-;_-* &quot;-&quot;??_-;_-@_-"/>
    <numFmt numFmtId="183" formatCode="_-&quot;$&quot;\ * #,##0.000_-;\-&quot;$&quot;\ * #,##0.000_-;_-&quot;$&quot;\ * &quot;-&quot;??_-;_-@_-"/>
    <numFmt numFmtId="184" formatCode="_-&quot;$&quot;\ * #,##0.00_-;\-&quot;$&quot;\ * #,##0.00_-;_-&quot;$&quot;\ * &quot;-&quot;??.00_-;_-@"/>
  </numFmts>
  <fonts count="57">
    <font>
      <sz val="11"/>
      <color theme="1"/>
      <name val="Calibri"/>
      <family val="2"/>
      <scheme val="minor"/>
    </font>
    <font>
      <sz val="11"/>
      <color theme="1"/>
      <name val="Calibri"/>
      <family val="2"/>
      <scheme val="minor"/>
    </font>
    <font>
      <sz val="10"/>
      <color rgb="FF000000"/>
      <name val="Arial"/>
      <family val="2"/>
    </font>
    <font>
      <sz val="11"/>
      <color theme="0"/>
      <name val="Geomanist Light"/>
      <family val="3"/>
    </font>
    <font>
      <b/>
      <sz val="12"/>
      <color theme="0"/>
      <name val="Geomanist Light"/>
      <family val="3"/>
    </font>
    <font>
      <sz val="11"/>
      <color theme="1"/>
      <name val="Geomanist Light"/>
      <family val="3"/>
    </font>
    <font>
      <sz val="11"/>
      <name val="Geomanist Light"/>
      <family val="3"/>
    </font>
    <font>
      <sz val="12"/>
      <color theme="0"/>
      <name val="Geomanist Light"/>
      <family val="3"/>
    </font>
    <font>
      <b/>
      <sz val="11"/>
      <color theme="0"/>
      <name val="Geomanist Light"/>
      <family val="3"/>
    </font>
    <font>
      <b/>
      <sz val="11"/>
      <color theme="1"/>
      <name val="Geomanist Light"/>
      <family val="3"/>
    </font>
    <font>
      <sz val="11"/>
      <color rgb="FF000000"/>
      <name val="Geomanist Light"/>
      <family val="3"/>
    </font>
    <font>
      <b/>
      <sz val="8"/>
      <color rgb="FFFFFFFF"/>
      <name val="Geomanist Light"/>
      <family val="3"/>
    </font>
    <font>
      <b/>
      <sz val="8"/>
      <color rgb="FF4E4D4D"/>
      <name val="Geomanist Light"/>
      <family val="3"/>
    </font>
    <font>
      <sz val="8"/>
      <color rgb="FF4E4D4D"/>
      <name val="Geomanist Light"/>
      <family val="3"/>
    </font>
    <font>
      <i/>
      <sz val="8"/>
      <color rgb="FF4E4D4D"/>
      <name val="Geomanist Light"/>
      <family val="3"/>
    </font>
    <font>
      <sz val="8"/>
      <color theme="1"/>
      <name val="Geomanist Light"/>
      <family val="3"/>
    </font>
    <font>
      <b/>
      <sz val="10"/>
      <color rgb="FF4E4D4D"/>
      <name val="Geomanist Light"/>
      <family val="3"/>
    </font>
    <font>
      <sz val="10"/>
      <color rgb="FF4E4D4D"/>
      <name val="Geomanist Light"/>
      <family val="3"/>
    </font>
    <font>
      <sz val="10"/>
      <color theme="1"/>
      <name val="Geomanist Light"/>
      <family val="3"/>
    </font>
    <font>
      <b/>
      <sz val="9"/>
      <color rgb="FF4E4D4D"/>
      <name val="Geomanist Light"/>
      <family val="3"/>
    </font>
    <font>
      <sz val="9"/>
      <color rgb="FF4E4D4D"/>
      <name val="Geomanist Light"/>
      <family val="3"/>
    </font>
    <font>
      <b/>
      <sz val="10"/>
      <color rgb="FFFFFFFF"/>
      <name val="Geomanist Light"/>
      <family val="3"/>
    </font>
    <font>
      <sz val="10"/>
      <color rgb="FF000000"/>
      <name val="Times New Roman"/>
      <family val="1"/>
    </font>
    <font>
      <b/>
      <i/>
      <sz val="10"/>
      <name val="Geomanist Light"/>
      <family val="3"/>
    </font>
    <font>
      <sz val="10"/>
      <color rgb="FF000000"/>
      <name val="Geomanist Light"/>
      <family val="3"/>
    </font>
    <font>
      <b/>
      <sz val="10"/>
      <color indexed="9"/>
      <name val="Geomanist Light"/>
      <family val="3"/>
    </font>
    <font>
      <sz val="10"/>
      <name val="Geomanist Light"/>
      <family val="3"/>
    </font>
    <font>
      <sz val="10"/>
      <color indexed="9"/>
      <name val="Geomanist Light"/>
      <family val="3"/>
    </font>
    <font>
      <sz val="10"/>
      <name val="Arial"/>
      <family val="2"/>
    </font>
    <font>
      <b/>
      <sz val="14"/>
      <color theme="0"/>
      <name val="Geomanist Light"/>
      <family val="3"/>
    </font>
    <font>
      <sz val="20"/>
      <color theme="1"/>
      <name val="Geomanist Light"/>
      <family val="3"/>
    </font>
    <font>
      <sz val="12"/>
      <color theme="1"/>
      <name val="Geomanist Light"/>
      <family val="3"/>
    </font>
    <font>
      <sz val="36"/>
      <color theme="1"/>
      <name val="Geomanist Light"/>
      <family val="3"/>
    </font>
    <font>
      <b/>
      <i/>
      <sz val="11"/>
      <color theme="1"/>
      <name val="Geomanist Light"/>
      <family val="3"/>
    </font>
    <font>
      <b/>
      <sz val="14"/>
      <color theme="1"/>
      <name val="Geomanist Light"/>
      <family val="3"/>
    </font>
    <font>
      <b/>
      <sz val="11"/>
      <color theme="1"/>
      <name val="Calibri"/>
      <family val="2"/>
      <scheme val="minor"/>
    </font>
    <font>
      <sz val="36"/>
      <name val="Geomanist Light"/>
      <family val="3"/>
    </font>
    <font>
      <sz val="11"/>
      <color theme="1"/>
      <name val="Arial"/>
      <family val="2"/>
    </font>
    <font>
      <sz val="12"/>
      <color theme="1"/>
      <name val="Calibri"/>
      <family val="2"/>
      <scheme val="minor"/>
    </font>
    <font>
      <sz val="11"/>
      <color theme="0"/>
      <name val="Geomanist Light"/>
    </font>
    <font>
      <b/>
      <sz val="12"/>
      <color theme="0"/>
      <name val="Geomanist Light"/>
    </font>
    <font>
      <sz val="11"/>
      <color theme="1"/>
      <name val="Geomanist Light"/>
    </font>
    <font>
      <sz val="11"/>
      <name val="Geomanist Light"/>
    </font>
    <font>
      <b/>
      <sz val="22"/>
      <color theme="1"/>
      <name val="Calibri"/>
      <family val="2"/>
      <scheme val="minor"/>
    </font>
    <font>
      <b/>
      <sz val="22"/>
      <color theme="1"/>
      <name val="Geomanist Light"/>
      <family val="3"/>
    </font>
    <font>
      <sz val="11"/>
      <name val="Calibri"/>
      <family val="2"/>
      <scheme val="minor"/>
    </font>
    <font>
      <b/>
      <sz val="16"/>
      <color theme="1"/>
      <name val="Geomanist Light"/>
    </font>
    <font>
      <sz val="12"/>
      <color theme="1"/>
      <name val="Geomanist Light"/>
    </font>
    <font>
      <b/>
      <sz val="12"/>
      <color theme="1"/>
      <name val="Geomanist Light"/>
    </font>
    <font>
      <sz val="12"/>
      <color rgb="FF000000"/>
      <name val="Geomanist Light"/>
    </font>
    <font>
      <b/>
      <sz val="12"/>
      <color rgb="FF000000"/>
      <name val="Geomanist Light"/>
    </font>
    <font>
      <b/>
      <sz val="20"/>
      <color theme="1"/>
      <name val="Geomanist Light"/>
    </font>
    <font>
      <b/>
      <sz val="12"/>
      <color theme="1"/>
      <name val="Calibri"/>
      <family val="2"/>
      <scheme val="minor"/>
    </font>
    <font>
      <sz val="36"/>
      <color theme="1"/>
      <name val="Geomanist Light"/>
    </font>
    <font>
      <sz val="11"/>
      <color theme="1"/>
      <name val="Roboto"/>
    </font>
    <font>
      <sz val="11"/>
      <color rgb="FF000000"/>
      <name val="Arial"/>
      <family val="2"/>
    </font>
    <font>
      <b/>
      <sz val="11"/>
      <color rgb="FF000000"/>
      <name val="Arial"/>
      <family val="2"/>
    </font>
  </fonts>
  <fills count="1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rgb="FF4E4D4D"/>
        <bgColor indexed="64"/>
      </patternFill>
    </fill>
    <fill>
      <patternFill patternType="solid">
        <fgColor rgb="FFFFFFFF"/>
        <bgColor indexed="64"/>
      </patternFill>
    </fill>
    <fill>
      <patternFill patternType="solid">
        <fgColor theme="1" tint="0.34998626667073579"/>
        <bgColor indexed="64"/>
      </patternFill>
    </fill>
    <fill>
      <patternFill patternType="solid">
        <fgColor rgb="FF002060"/>
        <bgColor indexed="64"/>
      </patternFill>
    </fill>
    <fill>
      <patternFill patternType="solid">
        <fgColor theme="0"/>
        <bgColor theme="0"/>
      </patternFill>
    </fill>
    <fill>
      <patternFill patternType="solid">
        <fgColor rgb="FFE2EFD9"/>
        <bgColor rgb="FFE2EFD9"/>
      </patternFill>
    </fill>
    <fill>
      <patternFill patternType="solid">
        <fgColor rgb="FF002060"/>
        <bgColor rgb="FF595959"/>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rgb="FFA3A3A3"/>
      </left>
      <right style="medium">
        <color rgb="FFA3A3A3"/>
      </right>
      <top style="medium">
        <color rgb="FFA3A3A3"/>
      </top>
      <bottom style="medium">
        <color rgb="FFA3A3A3"/>
      </bottom>
      <diagonal/>
    </border>
    <border>
      <left style="medium">
        <color rgb="FFA3A3A3"/>
      </left>
      <right style="medium">
        <color rgb="FFA3A3A3"/>
      </right>
      <top style="medium">
        <color rgb="FFA3A3A3"/>
      </top>
      <bottom/>
      <diagonal/>
    </border>
    <border>
      <left style="medium">
        <color rgb="FFA3A3A3"/>
      </left>
      <right style="medium">
        <color rgb="FFA3A3A3"/>
      </right>
      <top/>
      <bottom/>
      <diagonal/>
    </border>
    <border>
      <left style="medium">
        <color rgb="FFA3A3A3"/>
      </left>
      <right style="medium">
        <color rgb="FFA3A3A3"/>
      </right>
      <top/>
      <bottom style="medium">
        <color rgb="FFA3A3A3"/>
      </bottom>
      <diagonal/>
    </border>
    <border>
      <left/>
      <right style="medium">
        <color rgb="FFA3A3A3"/>
      </right>
      <top/>
      <bottom style="medium">
        <color rgb="FFA3A3A3"/>
      </bottom>
      <diagonal/>
    </border>
    <border>
      <left/>
      <right style="medium">
        <color rgb="FFA3A3A3"/>
      </right>
      <top/>
      <bottom/>
      <diagonal/>
    </border>
    <border>
      <left style="medium">
        <color rgb="FFCDCCCC"/>
      </left>
      <right style="medium">
        <color rgb="FFCDCCCC"/>
      </right>
      <top/>
      <bottom style="medium">
        <color rgb="FFCDCCCC"/>
      </bottom>
      <diagonal/>
    </border>
    <border>
      <left style="medium">
        <color rgb="FFCDCCCC"/>
      </left>
      <right/>
      <top/>
      <bottom style="medium">
        <color rgb="FFCDCCCC"/>
      </bottom>
      <diagonal/>
    </border>
    <border>
      <left style="medium">
        <color theme="2" tint="-0.249977111117893"/>
      </left>
      <right style="medium">
        <color theme="2" tint="-0.249977111117893"/>
      </right>
      <top style="medium">
        <color theme="2" tint="-0.249977111117893"/>
      </top>
      <bottom style="medium">
        <color rgb="FFCDCCCC"/>
      </bottom>
      <diagonal/>
    </border>
    <border>
      <left style="medium">
        <color rgb="FFA3A3A3"/>
      </left>
      <right/>
      <top style="medium">
        <color rgb="FFA3A3A3"/>
      </top>
      <bottom style="medium">
        <color rgb="FFA3A3A3"/>
      </bottom>
      <diagonal/>
    </border>
    <border>
      <left style="medium">
        <color theme="2" tint="-0.249977111117893"/>
      </left>
      <right style="medium">
        <color theme="2" tint="-0.249977111117893"/>
      </right>
      <top style="medium">
        <color rgb="FFA3A3A3"/>
      </top>
      <bottom style="medium">
        <color rgb="FFA3A3A3"/>
      </bottom>
      <diagonal/>
    </border>
    <border>
      <left style="medium">
        <color rgb="FFA3A3A3"/>
      </left>
      <right/>
      <top style="medium">
        <color rgb="FFA3A3A3"/>
      </top>
      <bottom/>
      <diagonal/>
    </border>
    <border>
      <left style="medium">
        <color theme="2" tint="-0.249977111117893"/>
      </left>
      <right style="medium">
        <color theme="2" tint="-0.249977111117893"/>
      </right>
      <top style="medium">
        <color rgb="FFA3A3A3"/>
      </top>
      <bottom/>
      <diagonal/>
    </border>
    <border>
      <left style="medium">
        <color rgb="FFA3A3A3"/>
      </left>
      <right/>
      <top/>
      <bottom style="medium">
        <color rgb="FFA3A3A3"/>
      </bottom>
      <diagonal/>
    </border>
    <border>
      <left style="medium">
        <color theme="2" tint="-0.249977111117893"/>
      </left>
      <right style="medium">
        <color theme="2" tint="-0.249977111117893"/>
      </right>
      <top/>
      <bottom/>
      <diagonal/>
    </border>
    <border>
      <left style="medium">
        <color rgb="FFCDCCCC"/>
      </left>
      <right/>
      <top/>
      <bottom/>
      <diagonal/>
    </border>
    <border>
      <left style="medium">
        <color theme="2" tint="-0.249977111117893"/>
      </left>
      <right/>
      <top style="medium">
        <color theme="2" tint="-0.249977111117893"/>
      </top>
      <bottom/>
      <diagonal/>
    </border>
    <border>
      <left style="medium">
        <color theme="2" tint="-0.249977111117893"/>
      </left>
      <right/>
      <top/>
      <bottom/>
      <diagonal/>
    </border>
    <border>
      <left style="medium">
        <color theme="2" tint="-0.249977111117893"/>
      </left>
      <right/>
      <top/>
      <bottom style="medium">
        <color theme="2" tint="-0.249977111117893"/>
      </bottom>
      <diagonal/>
    </border>
    <border>
      <left style="medium">
        <color theme="2" tint="-0.249977111117893"/>
      </left>
      <right style="medium">
        <color theme="2" tint="-0.249977111117893"/>
      </right>
      <top/>
      <bottom style="medium">
        <color theme="2" tint="-0.249977111117893"/>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333333"/>
      </left>
      <right style="thin">
        <color rgb="FF333333"/>
      </right>
      <top style="thin">
        <color rgb="FF333333"/>
      </top>
      <bottom style="thin">
        <color rgb="FF333333"/>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thin">
        <color rgb="FF333333"/>
      </left>
      <right style="thin">
        <color rgb="FF333333"/>
      </right>
      <top style="thin">
        <color rgb="FF333333"/>
      </top>
      <bottom/>
      <diagonal/>
    </border>
    <border>
      <left style="thin">
        <color theme="4"/>
      </left>
      <right/>
      <top style="thin">
        <color theme="4"/>
      </top>
      <bottom style="thin">
        <color theme="4"/>
      </bottom>
      <diagonal/>
    </border>
    <border>
      <left style="thin">
        <color theme="4"/>
      </left>
      <right/>
      <top/>
      <bottom style="thin">
        <color theme="4"/>
      </bottom>
      <diagonal/>
    </border>
    <border>
      <left style="thin">
        <color theme="4"/>
      </left>
      <right style="thin">
        <color theme="4"/>
      </right>
      <top/>
      <bottom style="thin">
        <color theme="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theme="4"/>
      </left>
      <right style="thin">
        <color theme="4"/>
      </right>
      <top style="thin">
        <color theme="4"/>
      </top>
      <bottom style="thin">
        <color theme="4"/>
      </bottom>
      <diagonal/>
    </border>
  </borders>
  <cellStyleXfs count="17">
    <xf numFmtId="0" fontId="0" fillId="0" borderId="0"/>
    <xf numFmtId="164" fontId="1" fillId="0" borderId="0" applyFont="0" applyFill="0" applyBorder="0" applyAlignment="0" applyProtection="0"/>
    <xf numFmtId="44" fontId="1" fillId="0" borderId="0" applyFont="0" applyFill="0" applyBorder="0" applyAlignment="0" applyProtection="0"/>
    <xf numFmtId="0" fontId="2" fillId="0" borderId="0"/>
    <xf numFmtId="16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41" fontId="1" fillId="0" borderId="0" applyFont="0" applyFill="0" applyBorder="0" applyAlignment="0" applyProtection="0"/>
    <xf numFmtId="0" fontId="22" fillId="0" borderId="0"/>
    <xf numFmtId="44" fontId="22" fillId="0" borderId="0" applyFont="0" applyFill="0" applyBorder="0" applyAlignment="0" applyProtection="0"/>
    <xf numFmtId="0" fontId="28" fillId="0" borderId="0"/>
    <xf numFmtId="0" fontId="38" fillId="0" borderId="0"/>
    <xf numFmtId="176" fontId="38" fillId="0" borderId="0" applyFont="0" applyFill="0" applyBorder="0" applyAlignment="0" applyProtection="0"/>
    <xf numFmtId="43" fontId="1" fillId="0" borderId="0" applyFont="0" applyFill="0" applyBorder="0" applyAlignment="0" applyProtection="0"/>
  </cellStyleXfs>
  <cellXfs count="345">
    <xf numFmtId="0" fontId="0" fillId="0" borderId="0" xfId="0"/>
    <xf numFmtId="0" fontId="0" fillId="0" borderId="0" xfId="0" applyAlignment="1">
      <alignment horizontal="left"/>
    </xf>
    <xf numFmtId="0" fontId="0" fillId="0" borderId="0" xfId="0" applyAlignment="1">
      <alignment horizont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165" fontId="3" fillId="2" borderId="0" xfId="0" applyNumberFormat="1" applyFont="1" applyFill="1" applyAlignment="1">
      <alignment horizontal="center" vertical="center"/>
    </xf>
    <xf numFmtId="0" fontId="5" fillId="0" borderId="0" xfId="0" applyFont="1" applyAlignment="1">
      <alignment horizontal="left"/>
    </xf>
    <xf numFmtId="0" fontId="5" fillId="0" borderId="0" xfId="0" applyFont="1"/>
    <xf numFmtId="166" fontId="6" fillId="0" borderId="0" xfId="0" applyNumberFormat="1" applyFont="1" applyAlignment="1">
      <alignment horizontal="left" vertical="center"/>
    </xf>
    <xf numFmtId="0" fontId="5" fillId="0" borderId="0" xfId="0" applyFont="1" applyAlignment="1">
      <alignment horizontal="center"/>
    </xf>
    <xf numFmtId="167" fontId="5" fillId="0" borderId="0" xfId="1" applyNumberFormat="1" applyFont="1" applyBorder="1"/>
    <xf numFmtId="168" fontId="6" fillId="0" borderId="0" xfId="0" applyNumberFormat="1" applyFont="1" applyAlignment="1">
      <alignment horizontal="center" vertical="center"/>
    </xf>
    <xf numFmtId="44" fontId="5" fillId="0" borderId="0" xfId="2" applyFont="1" applyBorder="1"/>
    <xf numFmtId="170" fontId="3" fillId="2" borderId="0" xfId="2" applyNumberFormat="1" applyFont="1" applyFill="1" applyAlignment="1">
      <alignment horizontal="left" vertical="center"/>
    </xf>
    <xf numFmtId="170" fontId="5" fillId="0" borderId="0" xfId="2" applyNumberFormat="1" applyFont="1"/>
    <xf numFmtId="0" fontId="8" fillId="2" borderId="0" xfId="0" applyFont="1" applyFill="1" applyAlignment="1">
      <alignment horizontal="left" vertical="center"/>
    </xf>
    <xf numFmtId="0" fontId="9" fillId="0" borderId="0" xfId="0" applyFont="1"/>
    <xf numFmtId="0" fontId="8" fillId="2" borderId="1" xfId="0" applyFont="1" applyFill="1" applyBorder="1" applyAlignment="1">
      <alignment horizontal="left" vertical="center"/>
    </xf>
    <xf numFmtId="0" fontId="4" fillId="2" borderId="1" xfId="0" applyFont="1" applyFill="1" applyBorder="1" applyAlignment="1">
      <alignment horizontal="center" vertical="center"/>
    </xf>
    <xf numFmtId="0" fontId="8" fillId="2" borderId="1" xfId="0" applyFont="1" applyFill="1" applyBorder="1" applyAlignment="1">
      <alignment horizontal="center" vertical="center"/>
    </xf>
    <xf numFmtId="165" fontId="8" fillId="2" borderId="1" xfId="0" applyNumberFormat="1" applyFont="1" applyFill="1" applyBorder="1" applyAlignment="1">
      <alignment horizontal="center" vertical="center"/>
    </xf>
    <xf numFmtId="170" fontId="8" fillId="2" borderId="1" xfId="2" applyNumberFormat="1" applyFont="1" applyFill="1" applyBorder="1" applyAlignment="1">
      <alignment horizontal="left" vertical="center"/>
    </xf>
    <xf numFmtId="170" fontId="5" fillId="0" borderId="0" xfId="2" applyNumberFormat="1" applyFont="1" applyBorder="1"/>
    <xf numFmtId="170" fontId="5" fillId="0" borderId="0" xfId="2" applyNumberFormat="1" applyFont="1" applyBorder="1" applyAlignment="1">
      <alignment horizontal="center"/>
    </xf>
    <xf numFmtId="170" fontId="0" fillId="0" borderId="0" xfId="2" applyNumberFormat="1" applyFont="1" applyBorder="1"/>
    <xf numFmtId="0" fontId="8" fillId="4" borderId="1" xfId="0" applyFont="1" applyFill="1" applyBorder="1" applyAlignment="1">
      <alignment horizontal="center"/>
    </xf>
    <xf numFmtId="0" fontId="5" fillId="0" borderId="1" xfId="0" applyFont="1" applyBorder="1"/>
    <xf numFmtId="0" fontId="5" fillId="0" borderId="1" xfId="0" applyFont="1" applyBorder="1" applyAlignment="1">
      <alignment horizontal="center"/>
    </xf>
    <xf numFmtId="41" fontId="5" fillId="0" borderId="1" xfId="10" applyFont="1" applyBorder="1"/>
    <xf numFmtId="0" fontId="5" fillId="6" borderId="1" xfId="0" applyFont="1" applyFill="1" applyBorder="1"/>
    <xf numFmtId="0" fontId="5" fillId="6" borderId="1" xfId="0" applyFont="1" applyFill="1" applyBorder="1" applyAlignment="1">
      <alignment horizontal="center"/>
    </xf>
    <xf numFmtId="41" fontId="5" fillId="6" borderId="1" xfId="10" applyFont="1" applyFill="1" applyBorder="1"/>
    <xf numFmtId="0" fontId="5" fillId="7" borderId="1" xfId="0" applyFont="1" applyFill="1" applyBorder="1"/>
    <xf numFmtId="0" fontId="5" fillId="7" borderId="1" xfId="0" applyFont="1" applyFill="1" applyBorder="1" applyAlignment="1">
      <alignment horizontal="center"/>
    </xf>
    <xf numFmtId="41" fontId="5" fillId="7" borderId="1" xfId="10" applyFont="1" applyFill="1" applyBorder="1"/>
    <xf numFmtId="0" fontId="5" fillId="3" borderId="1" xfId="0" applyFont="1" applyFill="1" applyBorder="1"/>
    <xf numFmtId="0" fontId="5" fillId="3" borderId="1" xfId="0" applyFont="1" applyFill="1" applyBorder="1" applyAlignment="1">
      <alignment horizontal="center"/>
    </xf>
    <xf numFmtId="41" fontId="5" fillId="3" borderId="1" xfId="10" applyFont="1" applyFill="1" applyBorder="1"/>
    <xf numFmtId="0" fontId="5" fillId="3" borderId="1" xfId="0" applyFont="1" applyFill="1" applyBorder="1" applyAlignment="1">
      <alignment horizontal="left"/>
    </xf>
    <xf numFmtId="0" fontId="10" fillId="3" borderId="1" xfId="0" applyFont="1" applyFill="1" applyBorder="1"/>
    <xf numFmtId="0" fontId="5" fillId="0" borderId="1" xfId="0" applyFont="1" applyBorder="1" applyAlignment="1">
      <alignment horizontal="left"/>
    </xf>
    <xf numFmtId="0" fontId="11" fillId="8" borderId="1" xfId="0" applyFont="1" applyFill="1" applyBorder="1" applyAlignment="1">
      <alignment horizontal="center" vertical="center" wrapText="1"/>
    </xf>
    <xf numFmtId="0" fontId="12" fillId="9" borderId="1" xfId="0" applyFont="1" applyFill="1" applyBorder="1" applyAlignment="1">
      <alignment vertical="center" wrapText="1"/>
    </xf>
    <xf numFmtId="0" fontId="15" fillId="0" borderId="0" xfId="0" applyFont="1"/>
    <xf numFmtId="0" fontId="16" fillId="0" borderId="2" xfId="0" applyFont="1" applyBorder="1" applyAlignment="1">
      <alignment vertical="center"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7" fillId="0" borderId="4" xfId="0" applyFont="1" applyBorder="1" applyAlignment="1">
      <alignment horizontal="left" vertical="center" wrapText="1" indent="1"/>
    </xf>
    <xf numFmtId="0" fontId="17" fillId="0" borderId="4" xfId="0" applyFont="1" applyBorder="1" applyAlignment="1">
      <alignment horizontal="left" vertical="center" wrapText="1"/>
    </xf>
    <xf numFmtId="0" fontId="18" fillId="0" borderId="0" xfId="0" applyFont="1"/>
    <xf numFmtId="0" fontId="17" fillId="6" borderId="4" xfId="0" applyFont="1" applyFill="1" applyBorder="1" applyAlignment="1">
      <alignment vertical="center" wrapText="1"/>
    </xf>
    <xf numFmtId="0" fontId="16" fillId="0" borderId="4" xfId="0" applyFont="1" applyBorder="1" applyAlignment="1">
      <alignment horizontal="center" vertical="center" wrapText="1"/>
    </xf>
    <xf numFmtId="0" fontId="17" fillId="6" borderId="2" xfId="0" applyFont="1" applyFill="1" applyBorder="1" applyAlignment="1">
      <alignment vertical="center" wrapText="1"/>
    </xf>
    <xf numFmtId="0" fontId="17" fillId="0" borderId="4" xfId="0" applyFont="1" applyBorder="1" applyAlignment="1">
      <alignment horizontal="left" vertical="center" wrapText="1" indent="2"/>
    </xf>
    <xf numFmtId="0" fontId="17" fillId="0" borderId="5" xfId="0" applyFont="1" applyBorder="1" applyAlignment="1">
      <alignment vertical="center" wrapText="1"/>
    </xf>
    <xf numFmtId="0" fontId="16" fillId="0" borderId="3" xfId="0" applyFont="1" applyBorder="1" applyAlignment="1">
      <alignment horizontal="left" vertical="center" wrapText="1"/>
    </xf>
    <xf numFmtId="0" fontId="17" fillId="9" borderId="2" xfId="0" applyFont="1" applyFill="1" applyBorder="1" applyAlignment="1">
      <alignment vertical="center" wrapText="1"/>
    </xf>
    <xf numFmtId="0" fontId="19" fillId="9" borderId="2" xfId="0" applyFont="1" applyFill="1" applyBorder="1" applyAlignment="1">
      <alignment vertical="center" wrapText="1"/>
    </xf>
    <xf numFmtId="0" fontId="19" fillId="9" borderId="5" xfId="0" applyFont="1" applyFill="1" applyBorder="1" applyAlignment="1">
      <alignment vertical="center" wrapText="1"/>
    </xf>
    <xf numFmtId="0" fontId="20" fillId="9" borderId="6" xfId="0" applyFont="1" applyFill="1" applyBorder="1" applyAlignment="1">
      <alignment vertical="center" wrapText="1"/>
    </xf>
    <xf numFmtId="0" fontId="20" fillId="9" borderId="7" xfId="0" applyFont="1" applyFill="1" applyBorder="1" applyAlignment="1">
      <alignment vertical="center" wrapText="1"/>
    </xf>
    <xf numFmtId="0" fontId="21" fillId="8" borderId="8" xfId="0" applyFont="1" applyFill="1" applyBorder="1" applyAlignment="1">
      <alignment horizontal="center" vertical="center" wrapText="1"/>
    </xf>
    <xf numFmtId="0" fontId="16" fillId="9" borderId="2" xfId="0" applyFont="1" applyFill="1" applyBorder="1" applyAlignment="1">
      <alignment vertical="center" wrapText="1"/>
    </xf>
    <xf numFmtId="0" fontId="16" fillId="9" borderId="4" xfId="0" applyFont="1" applyFill="1" applyBorder="1" applyAlignment="1">
      <alignment vertical="center" wrapText="1"/>
    </xf>
    <xf numFmtId="0" fontId="16" fillId="9" borderId="3" xfId="0" applyFont="1" applyFill="1" applyBorder="1" applyAlignment="1">
      <alignment vertical="center" wrapText="1"/>
    </xf>
    <xf numFmtId="0" fontId="17" fillId="9" borderId="3" xfId="0" applyFont="1" applyFill="1" applyBorder="1" applyAlignment="1">
      <alignment vertical="center" wrapText="1"/>
    </xf>
    <xf numFmtId="0" fontId="21" fillId="8" borderId="9"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6" fillId="9" borderId="11" xfId="0" applyFont="1" applyFill="1" applyBorder="1" applyAlignment="1">
      <alignment horizontal="left" vertical="center" wrapText="1"/>
    </xf>
    <xf numFmtId="0" fontId="17" fillId="9" borderId="12" xfId="0" applyFont="1" applyFill="1" applyBorder="1" applyAlignment="1">
      <alignment vertical="top" wrapText="1"/>
    </xf>
    <xf numFmtId="0" fontId="17" fillId="9" borderId="12" xfId="0" applyFont="1" applyFill="1" applyBorder="1" applyAlignment="1">
      <alignment vertical="center" wrapText="1"/>
    </xf>
    <xf numFmtId="0" fontId="18" fillId="0" borderId="16" xfId="0" applyFont="1" applyBorder="1"/>
    <xf numFmtId="0" fontId="21" fillId="8" borderId="17" xfId="0" applyFont="1" applyFill="1" applyBorder="1" applyAlignment="1">
      <alignment horizontal="center" vertical="center" wrapText="1"/>
    </xf>
    <xf numFmtId="0" fontId="17" fillId="9" borderId="14" xfId="0" applyFont="1" applyFill="1" applyBorder="1" applyAlignment="1">
      <alignment vertical="center" wrapText="1"/>
    </xf>
    <xf numFmtId="0" fontId="17" fillId="9" borderId="21" xfId="0" applyFont="1" applyFill="1" applyBorder="1" applyAlignment="1">
      <alignment vertical="center" wrapText="1"/>
    </xf>
    <xf numFmtId="0" fontId="16" fillId="9" borderId="2" xfId="0" applyFont="1" applyFill="1" applyBorder="1" applyAlignment="1">
      <alignment horizontal="left" vertical="center" wrapText="1"/>
    </xf>
    <xf numFmtId="0" fontId="17" fillId="9" borderId="2" xfId="0" applyFont="1" applyFill="1" applyBorder="1" applyAlignment="1">
      <alignment vertical="top" wrapText="1"/>
    </xf>
    <xf numFmtId="0" fontId="17" fillId="9" borderId="5" xfId="0" applyFont="1" applyFill="1" applyBorder="1" applyAlignment="1">
      <alignment vertical="center" wrapText="1"/>
    </xf>
    <xf numFmtId="170" fontId="5" fillId="5" borderId="1" xfId="2" applyNumberFormat="1" applyFont="1" applyFill="1" applyBorder="1" applyProtection="1">
      <protection locked="0"/>
    </xf>
    <xf numFmtId="0" fontId="5" fillId="5" borderId="1" xfId="0" applyFont="1" applyFill="1" applyBorder="1" applyProtection="1">
      <protection locked="0"/>
    </xf>
    <xf numFmtId="0" fontId="29" fillId="10" borderId="0" xfId="0" applyFont="1" applyFill="1" applyAlignment="1" applyProtection="1">
      <alignment horizontal="center" vertical="center" wrapText="1"/>
      <protection locked="0"/>
    </xf>
    <xf numFmtId="0" fontId="3" fillId="11" borderId="1" xfId="0" applyFont="1" applyFill="1" applyBorder="1" applyAlignment="1">
      <alignment horizontal="center" vertical="center"/>
    </xf>
    <xf numFmtId="0" fontId="8" fillId="11" borderId="1" xfId="0" applyFont="1" applyFill="1" applyBorder="1" applyAlignment="1">
      <alignment horizontal="center" vertical="center"/>
    </xf>
    <xf numFmtId="170" fontId="3" fillId="11" borderId="1" xfId="2" applyNumberFormat="1" applyFont="1" applyFill="1" applyBorder="1" applyAlignment="1">
      <alignment horizontal="center" vertical="center"/>
    </xf>
    <xf numFmtId="165" fontId="3" fillId="11" borderId="1" xfId="0" applyNumberFormat="1" applyFont="1" applyFill="1" applyBorder="1" applyAlignment="1">
      <alignment horizontal="center" vertical="center"/>
    </xf>
    <xf numFmtId="170" fontId="5" fillId="0" borderId="1" xfId="2" applyNumberFormat="1" applyFont="1" applyBorder="1"/>
    <xf numFmtId="0" fontId="31" fillId="0" borderId="0" xfId="0" applyFont="1"/>
    <xf numFmtId="0" fontId="7" fillId="11" borderId="1" xfId="0" applyFont="1" applyFill="1" applyBorder="1" applyAlignment="1">
      <alignment horizontal="center" vertical="center"/>
    </xf>
    <xf numFmtId="0" fontId="4" fillId="11" borderId="1" xfId="0" applyFont="1" applyFill="1" applyBorder="1" applyAlignment="1">
      <alignment horizontal="center" vertical="center"/>
    </xf>
    <xf numFmtId="170" fontId="7" fillId="11" borderId="1" xfId="2" applyNumberFormat="1" applyFont="1" applyFill="1" applyBorder="1" applyAlignment="1">
      <alignment horizontal="center" vertical="center"/>
    </xf>
    <xf numFmtId="0" fontId="7" fillId="11" borderId="1" xfId="0" applyFont="1" applyFill="1" applyBorder="1" applyAlignment="1">
      <alignment horizontal="center" vertical="center" wrapText="1"/>
    </xf>
    <xf numFmtId="0" fontId="31" fillId="0" borderId="0" xfId="0" applyFont="1" applyAlignment="1">
      <alignment horizontal="center"/>
    </xf>
    <xf numFmtId="0" fontId="31" fillId="0" borderId="0" xfId="0" applyFont="1" applyAlignment="1">
      <alignment horizontal="center" wrapText="1"/>
    </xf>
    <xf numFmtId="6" fontId="31" fillId="0" borderId="0" xfId="0" applyNumberFormat="1" applyFont="1" applyAlignment="1">
      <alignment horizontal="center"/>
    </xf>
    <xf numFmtId="0" fontId="33" fillId="3" borderId="0" xfId="0" applyFont="1" applyFill="1"/>
    <xf numFmtId="0" fontId="5" fillId="3" borderId="0" xfId="0" applyFont="1" applyFill="1"/>
    <xf numFmtId="44" fontId="33" fillId="3" borderId="0" xfId="2" applyFont="1" applyFill="1" applyAlignment="1">
      <alignment vertical="center"/>
    </xf>
    <xf numFmtId="0" fontId="33" fillId="3" borderId="0" xfId="0" applyFont="1" applyFill="1" applyAlignment="1">
      <alignment horizontal="center"/>
    </xf>
    <xf numFmtId="0" fontId="34" fillId="0" borderId="0" xfId="0" applyFont="1"/>
    <xf numFmtId="44" fontId="5" fillId="5" borderId="1" xfId="2" applyFont="1" applyFill="1" applyBorder="1" applyAlignment="1" applyProtection="1">
      <alignment vertical="center"/>
      <protection locked="0"/>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8" fillId="11" borderId="33" xfId="0" applyFont="1" applyFill="1" applyBorder="1" applyAlignment="1">
      <alignment horizontal="center" vertical="center"/>
    </xf>
    <xf numFmtId="0" fontId="35" fillId="0" borderId="0" xfId="0" applyFont="1"/>
    <xf numFmtId="0" fontId="31" fillId="0" borderId="1" xfId="0" applyFont="1" applyBorder="1" applyAlignment="1">
      <alignment vertical="center"/>
    </xf>
    <xf numFmtId="0" fontId="31" fillId="0" borderId="1" xfId="0" applyFont="1" applyBorder="1" applyAlignment="1">
      <alignment horizontal="center" vertical="center"/>
    </xf>
    <xf numFmtId="0" fontId="31" fillId="0" borderId="1" xfId="0" applyFont="1" applyBorder="1" applyAlignment="1">
      <alignment horizontal="left" vertical="center"/>
    </xf>
    <xf numFmtId="175" fontId="31" fillId="0" borderId="1" xfId="0" applyNumberFormat="1" applyFont="1" applyBorder="1" applyAlignment="1">
      <alignment vertical="center"/>
    </xf>
    <xf numFmtId="0" fontId="37" fillId="0" borderId="0" xfId="0" applyFont="1"/>
    <xf numFmtId="174" fontId="5" fillId="0" borderId="0" xfId="1" applyNumberFormat="1" applyFont="1" applyBorder="1" applyAlignment="1">
      <alignment horizontal="left"/>
    </xf>
    <xf numFmtId="0" fontId="41" fillId="0" borderId="0" xfId="14" applyFont="1"/>
    <xf numFmtId="0" fontId="41" fillId="0" borderId="0" xfId="14" applyFont="1" applyAlignment="1">
      <alignment horizontal="left"/>
    </xf>
    <xf numFmtId="0" fontId="41" fillId="0" borderId="0" xfId="14" applyFont="1" applyAlignment="1">
      <alignment horizontal="center"/>
    </xf>
    <xf numFmtId="170" fontId="41" fillId="0" borderId="0" xfId="15" applyNumberFormat="1" applyFont="1" applyBorder="1"/>
    <xf numFmtId="170" fontId="41" fillId="0" borderId="0" xfId="14" applyNumberFormat="1" applyFont="1"/>
    <xf numFmtId="0" fontId="39" fillId="11" borderId="1" xfId="14" applyFont="1" applyFill="1" applyBorder="1" applyAlignment="1">
      <alignment horizontal="left" vertical="center"/>
    </xf>
    <xf numFmtId="0" fontId="39" fillId="11" borderId="1" xfId="14" applyFont="1" applyFill="1" applyBorder="1" applyAlignment="1">
      <alignment horizontal="center" vertical="center"/>
    </xf>
    <xf numFmtId="170" fontId="39" fillId="11" borderId="1" xfId="15" applyNumberFormat="1" applyFont="1" applyFill="1" applyBorder="1" applyAlignment="1">
      <alignment horizontal="left" vertical="center"/>
    </xf>
    <xf numFmtId="165" fontId="39" fillId="11" borderId="1" xfId="14" applyNumberFormat="1" applyFont="1" applyFill="1" applyBorder="1" applyAlignment="1">
      <alignment horizontal="center" vertical="center"/>
    </xf>
    <xf numFmtId="0" fontId="40" fillId="11" borderId="1" xfId="14" applyFont="1" applyFill="1" applyBorder="1" applyAlignment="1">
      <alignment horizontal="center" vertical="center"/>
    </xf>
    <xf numFmtId="0" fontId="41" fillId="0" borderId="1" xfId="14" applyFont="1" applyBorder="1" applyAlignment="1">
      <alignment horizontal="left"/>
    </xf>
    <xf numFmtId="0" fontId="41" fillId="0" borderId="1" xfId="14" applyFont="1" applyBorder="1"/>
    <xf numFmtId="0" fontId="41" fillId="0" borderId="1" xfId="14" applyFont="1" applyBorder="1" applyAlignment="1">
      <alignment horizontal="center"/>
    </xf>
    <xf numFmtId="170" fontId="41" fillId="0" borderId="1" xfId="15" applyNumberFormat="1" applyFont="1" applyBorder="1"/>
    <xf numFmtId="1" fontId="42" fillId="0" borderId="1" xfId="14" applyNumberFormat="1" applyFont="1" applyBorder="1" applyAlignment="1">
      <alignment horizontal="center" vertical="center"/>
    </xf>
    <xf numFmtId="0" fontId="5" fillId="11" borderId="0" xfId="0" applyFont="1" applyFill="1"/>
    <xf numFmtId="0" fontId="3" fillId="11" borderId="1" xfId="0" applyFont="1" applyFill="1" applyBorder="1" applyAlignment="1">
      <alignment horizontal="left" vertical="center"/>
    </xf>
    <xf numFmtId="44" fontId="3" fillId="11" borderId="1" xfId="2" applyFont="1" applyFill="1" applyBorder="1" applyAlignment="1">
      <alignment horizontal="left" vertical="center"/>
    </xf>
    <xf numFmtId="165" fontId="3" fillId="11" borderId="1" xfId="0" applyNumberFormat="1" applyFont="1" applyFill="1" applyBorder="1" applyAlignment="1">
      <alignment horizontal="left" vertical="center"/>
    </xf>
    <xf numFmtId="167" fontId="5" fillId="0" borderId="1" xfId="1" applyNumberFormat="1" applyFont="1" applyBorder="1" applyAlignment="1">
      <alignment horizontal="left"/>
    </xf>
    <xf numFmtId="44" fontId="5" fillId="0" borderId="1" xfId="2" applyFont="1" applyBorder="1" applyAlignment="1">
      <alignment horizontal="left"/>
    </xf>
    <xf numFmtId="0" fontId="10" fillId="0" borderId="1" xfId="0" applyFont="1" applyBorder="1" applyAlignment="1">
      <alignment horizontal="left" vertical="center"/>
    </xf>
    <xf numFmtId="172" fontId="5" fillId="3" borderId="1" xfId="9" applyFont="1" applyFill="1" applyBorder="1" applyAlignment="1">
      <alignment horizontal="left" vertical="center"/>
    </xf>
    <xf numFmtId="0" fontId="5" fillId="3" borderId="1" xfId="0" applyFont="1" applyFill="1" applyBorder="1" applyAlignment="1">
      <alignment horizontal="left" vertical="center"/>
    </xf>
    <xf numFmtId="49" fontId="10" fillId="0" borderId="1" xfId="0" applyNumberFormat="1" applyFont="1" applyBorder="1" applyAlignment="1">
      <alignment horizontal="left" vertical="center"/>
    </xf>
    <xf numFmtId="0" fontId="5" fillId="12" borderId="0" xfId="0" applyFont="1" applyFill="1"/>
    <xf numFmtId="0" fontId="8" fillId="14" borderId="0" xfId="0" applyFont="1" applyFill="1" applyAlignment="1">
      <alignment horizontal="center" vertical="center" wrapText="1"/>
    </xf>
    <xf numFmtId="0" fontId="4" fillId="11" borderId="1" xfId="0" applyFont="1" applyFill="1" applyBorder="1" applyAlignment="1">
      <alignment horizontal="center" vertical="center" wrapText="1"/>
    </xf>
    <xf numFmtId="0" fontId="0" fillId="0" borderId="0" xfId="0" applyAlignment="1">
      <alignment vertical="center" wrapText="1"/>
    </xf>
    <xf numFmtId="0" fontId="5" fillId="0" borderId="35" xfId="0" applyFont="1" applyBorder="1" applyAlignment="1">
      <alignment vertical="center"/>
    </xf>
    <xf numFmtId="49" fontId="5" fillId="0" borderId="35" xfId="0" applyNumberFormat="1" applyFont="1" applyBorder="1" applyAlignment="1">
      <alignment horizontal="left"/>
    </xf>
    <xf numFmtId="49" fontId="5" fillId="0" borderId="35" xfId="0" applyNumberFormat="1" applyFont="1" applyBorder="1" applyAlignment="1">
      <alignment horizontal="center"/>
    </xf>
    <xf numFmtId="181" fontId="5" fillId="0" borderId="35" xfId="0" applyNumberFormat="1" applyFont="1" applyBorder="1"/>
    <xf numFmtId="0" fontId="5" fillId="0" borderId="35" xfId="0" applyFont="1" applyBorder="1" applyAlignment="1">
      <alignment horizontal="center"/>
    </xf>
    <xf numFmtId="0" fontId="5" fillId="0" borderId="35" xfId="0" applyFont="1" applyBorder="1"/>
    <xf numFmtId="0" fontId="5" fillId="3" borderId="35" xfId="0" applyFont="1" applyFill="1" applyBorder="1" applyAlignment="1">
      <alignment horizontal="center"/>
    </xf>
    <xf numFmtId="49" fontId="5" fillId="3" borderId="35" xfId="0" applyNumberFormat="1" applyFont="1" applyFill="1" applyBorder="1" applyAlignment="1">
      <alignment horizontal="center"/>
    </xf>
    <xf numFmtId="181" fontId="5" fillId="3" borderId="35" xfId="0" applyNumberFormat="1" applyFont="1" applyFill="1" applyBorder="1"/>
    <xf numFmtId="49" fontId="5" fillId="0" borderId="36" xfId="0" applyNumberFormat="1" applyFont="1" applyBorder="1" applyAlignment="1">
      <alignment horizontal="left"/>
    </xf>
    <xf numFmtId="0" fontId="5" fillId="0" borderId="36" xfId="0" applyFont="1" applyBorder="1"/>
    <xf numFmtId="49" fontId="5" fillId="0" borderId="37" xfId="0" applyNumberFormat="1" applyFont="1" applyBorder="1" applyAlignment="1">
      <alignment horizontal="left"/>
    </xf>
    <xf numFmtId="49" fontId="5" fillId="0" borderId="38" xfId="0" applyNumberFormat="1" applyFont="1" applyBorder="1" applyAlignment="1">
      <alignment horizontal="left"/>
    </xf>
    <xf numFmtId="0" fontId="5" fillId="0" borderId="38" xfId="0" applyFont="1" applyBorder="1" applyAlignment="1">
      <alignment horizontal="center"/>
    </xf>
    <xf numFmtId="49" fontId="5" fillId="0" borderId="38" xfId="0" applyNumberFormat="1" applyFont="1" applyBorder="1" applyAlignment="1">
      <alignment horizontal="center"/>
    </xf>
    <xf numFmtId="181" fontId="5" fillId="0" borderId="38" xfId="0" applyNumberFormat="1" applyFont="1" applyBorder="1"/>
    <xf numFmtId="49" fontId="5" fillId="0" borderId="1" xfId="0" applyNumberFormat="1" applyFont="1" applyBorder="1" applyAlignment="1">
      <alignment horizontal="left"/>
    </xf>
    <xf numFmtId="49" fontId="5" fillId="0" borderId="1" xfId="0" applyNumberFormat="1" applyFont="1" applyBorder="1" applyAlignment="1">
      <alignment horizontal="center"/>
    </xf>
    <xf numFmtId="181" fontId="5" fillId="0" borderId="1" xfId="0" applyNumberFormat="1" applyFont="1" applyBorder="1"/>
    <xf numFmtId="0" fontId="23" fillId="0" borderId="0" xfId="11" applyFont="1" applyAlignment="1">
      <alignment vertical="center"/>
    </xf>
    <xf numFmtId="0" fontId="24" fillId="0" borderId="0" xfId="11" applyFont="1" applyAlignment="1">
      <alignment horizontal="center" vertical="center"/>
    </xf>
    <xf numFmtId="0" fontId="26" fillId="0" borderId="23" xfId="11" applyFont="1" applyBorder="1" applyAlignment="1">
      <alignment horizontal="center" vertical="center"/>
    </xf>
    <xf numFmtId="0" fontId="26" fillId="0" borderId="23" xfId="11" applyFont="1" applyBorder="1" applyAlignment="1">
      <alignment horizontal="left" vertical="center"/>
    </xf>
    <xf numFmtId="0" fontId="26" fillId="0" borderId="25" xfId="11" applyFont="1" applyBorder="1" applyAlignment="1">
      <alignment horizontal="left" vertical="center"/>
    </xf>
    <xf numFmtId="0" fontId="26" fillId="0" borderId="1" xfId="11" applyFont="1" applyBorder="1" applyAlignment="1">
      <alignment horizontal="center" vertical="center"/>
    </xf>
    <xf numFmtId="0" fontId="26" fillId="0" borderId="26" xfId="11" applyFont="1" applyBorder="1" applyAlignment="1">
      <alignment horizontal="center" vertical="center"/>
    </xf>
    <xf numFmtId="44" fontId="24" fillId="0" borderId="23" xfId="12" applyFont="1" applyFill="1" applyBorder="1" applyAlignment="1">
      <alignment horizontal="center" vertical="center"/>
    </xf>
    <xf numFmtId="0" fontId="24" fillId="0" borderId="23" xfId="11" applyFont="1" applyBorder="1" applyAlignment="1">
      <alignment horizontal="center" vertical="center"/>
    </xf>
    <xf numFmtId="44" fontId="24" fillId="0" borderId="0" xfId="11" applyNumberFormat="1" applyFont="1" applyAlignment="1">
      <alignment horizontal="center" vertical="center"/>
    </xf>
    <xf numFmtId="0" fontId="26" fillId="0" borderId="24" xfId="11" applyFont="1" applyBorder="1" applyAlignment="1">
      <alignment horizontal="center" vertical="center"/>
    </xf>
    <xf numFmtId="0" fontId="26" fillId="0" borderId="24" xfId="11" applyFont="1" applyBorder="1" applyAlignment="1">
      <alignment horizontal="left" vertical="center"/>
    </xf>
    <xf numFmtId="0" fontId="26" fillId="0" borderId="27" xfId="11" applyFont="1" applyBorder="1" applyAlignment="1">
      <alignment horizontal="left" vertical="center"/>
    </xf>
    <xf numFmtId="0" fontId="26" fillId="0" borderId="28" xfId="11" applyFont="1" applyBorder="1" applyAlignment="1">
      <alignment horizontal="center" vertical="center"/>
    </xf>
    <xf numFmtId="0" fontId="26" fillId="0" borderId="29" xfId="11" applyFont="1" applyBorder="1" applyAlignment="1">
      <alignment horizontal="center" vertical="center"/>
    </xf>
    <xf numFmtId="0" fontId="24" fillId="0" borderId="24" xfId="11" applyFont="1" applyBorder="1" applyAlignment="1">
      <alignment horizontal="center" vertical="center"/>
    </xf>
    <xf numFmtId="44" fontId="24" fillId="0" borderId="24" xfId="12" applyFont="1" applyFill="1" applyBorder="1" applyAlignment="1">
      <alignment horizontal="center" vertical="center"/>
    </xf>
    <xf numFmtId="0" fontId="26" fillId="0" borderId="1" xfId="11" applyFont="1" applyBorder="1" applyAlignment="1">
      <alignment horizontal="left" vertical="center"/>
    </xf>
    <xf numFmtId="0" fontId="24" fillId="0" borderId="1" xfId="11" applyFont="1" applyBorder="1" applyAlignment="1">
      <alignment horizontal="center" vertical="center"/>
    </xf>
    <xf numFmtId="44" fontId="24" fillId="0" borderId="1" xfId="12" applyFont="1" applyFill="1" applyBorder="1" applyAlignment="1">
      <alignment horizontal="center" vertical="center"/>
    </xf>
    <xf numFmtId="44" fontId="24" fillId="0" borderId="0" xfId="12" applyFont="1" applyFill="1" applyBorder="1" applyAlignment="1">
      <alignment horizontal="center" vertical="center"/>
    </xf>
    <xf numFmtId="0" fontId="5" fillId="3" borderId="1" xfId="0" applyFont="1" applyFill="1" applyBorder="1" applyAlignment="1">
      <alignment horizontal="center" vertical="center"/>
    </xf>
    <xf numFmtId="172" fontId="5" fillId="3" borderId="1" xfId="9" applyFont="1" applyFill="1" applyBorder="1" applyAlignment="1">
      <alignment horizontal="center" vertical="center"/>
    </xf>
    <xf numFmtId="0" fontId="5" fillId="3" borderId="1" xfId="0" applyFont="1" applyFill="1" applyBorder="1" applyAlignment="1">
      <alignment horizontal="center" vertical="center" wrapText="1"/>
    </xf>
    <xf numFmtId="0" fontId="8" fillId="11" borderId="0" xfId="0" applyFont="1" applyFill="1" applyAlignment="1" applyProtection="1">
      <alignment horizontal="center" vertical="center" wrapText="1"/>
      <protection locked="0"/>
    </xf>
    <xf numFmtId="0" fontId="5" fillId="0" borderId="1" xfId="0" applyFont="1" applyBorder="1" applyAlignment="1">
      <alignment horizontal="left" vertical="center"/>
    </xf>
    <xf numFmtId="3" fontId="5" fillId="0" borderId="1" xfId="0" applyNumberFormat="1" applyFont="1" applyBorder="1" applyAlignment="1">
      <alignment horizontal="center" vertical="center"/>
    </xf>
    <xf numFmtId="170" fontId="5" fillId="5" borderId="1" xfId="2" applyNumberFormat="1" applyFont="1" applyFill="1" applyBorder="1" applyAlignment="1" applyProtection="1">
      <alignment horizontal="left" vertical="center"/>
      <protection locked="0"/>
    </xf>
    <xf numFmtId="0" fontId="0" fillId="0" borderId="0" xfId="0" applyAlignment="1">
      <alignment vertical="center"/>
    </xf>
    <xf numFmtId="0" fontId="8" fillId="11" borderId="0" xfId="0" applyFont="1" applyFill="1" applyAlignment="1" applyProtection="1">
      <alignment horizontal="center" vertical="center"/>
      <protection locked="0"/>
    </xf>
    <xf numFmtId="0" fontId="41" fillId="0" borderId="1" xfId="0" applyFont="1" applyBorder="1" applyAlignment="1">
      <alignment vertical="center"/>
    </xf>
    <xf numFmtId="0" fontId="41" fillId="0" borderId="1" xfId="0" applyFont="1" applyBorder="1" applyAlignment="1">
      <alignment horizontal="left" vertical="center"/>
    </xf>
    <xf numFmtId="0" fontId="41" fillId="0" borderId="1" xfId="0" applyFont="1" applyBorder="1" applyAlignment="1">
      <alignment horizontal="justify" vertical="center"/>
    </xf>
    <xf numFmtId="0" fontId="41" fillId="3" borderId="1" xfId="0" applyFont="1" applyFill="1" applyBorder="1" applyAlignment="1">
      <alignment horizontal="left" vertical="center"/>
    </xf>
    <xf numFmtId="170" fontId="41" fillId="3" borderId="1" xfId="2" applyNumberFormat="1" applyFont="1" applyFill="1" applyBorder="1" applyAlignment="1">
      <alignment horizontal="left" vertical="center"/>
    </xf>
    <xf numFmtId="0" fontId="41" fillId="3" borderId="1" xfId="0" applyFont="1" applyFill="1" applyBorder="1" applyAlignment="1">
      <alignment horizontal="center" vertical="center"/>
    </xf>
    <xf numFmtId="0" fontId="41" fillId="3" borderId="1" xfId="0" applyFont="1" applyFill="1" applyBorder="1" applyAlignment="1">
      <alignment horizontal="justify" vertical="center"/>
    </xf>
    <xf numFmtId="164" fontId="41" fillId="3" borderId="1" xfId="1" applyFont="1" applyFill="1" applyBorder="1" applyAlignment="1">
      <alignment horizontal="center" vertical="center"/>
    </xf>
    <xf numFmtId="0" fontId="41" fillId="0" borderId="1" xfId="0" applyFont="1" applyBorder="1"/>
    <xf numFmtId="0" fontId="41" fillId="0" borderId="1" xfId="0" applyFont="1" applyBorder="1" applyAlignment="1">
      <alignment horizontal="center"/>
    </xf>
    <xf numFmtId="0" fontId="41" fillId="5" borderId="1" xfId="0" applyFont="1" applyFill="1" applyBorder="1" applyProtection="1">
      <protection locked="0"/>
    </xf>
    <xf numFmtId="170" fontId="41" fillId="5" borderId="1" xfId="2" applyNumberFormat="1" applyFont="1" applyFill="1" applyBorder="1" applyProtection="1">
      <protection locked="0"/>
    </xf>
    <xf numFmtId="0" fontId="47" fillId="0" borderId="0" xfId="0" applyFont="1"/>
    <xf numFmtId="182" fontId="47" fillId="0" borderId="0" xfId="16" applyNumberFormat="1" applyFont="1" applyFill="1" applyBorder="1"/>
    <xf numFmtId="170" fontId="47" fillId="0" borderId="0" xfId="2" applyNumberFormat="1" applyFont="1" applyFill="1" applyBorder="1" applyProtection="1">
      <protection locked="0"/>
    </xf>
    <xf numFmtId="0" fontId="40" fillId="10" borderId="0" xfId="0" applyFont="1" applyFill="1" applyAlignment="1" applyProtection="1">
      <alignment horizontal="center" vertical="center" wrapText="1"/>
      <protection locked="0"/>
    </xf>
    <xf numFmtId="0" fontId="47" fillId="0" borderId="1" xfId="0" applyFont="1" applyBorder="1" applyAlignment="1">
      <alignment horizontal="left"/>
    </xf>
    <xf numFmtId="0" fontId="47" fillId="0" borderId="1" xfId="0" applyFont="1" applyBorder="1" applyAlignment="1">
      <alignment horizontal="left" vertical="center"/>
    </xf>
    <xf numFmtId="0" fontId="47" fillId="0" borderId="1" xfId="0" applyFont="1" applyBorder="1"/>
    <xf numFmtId="0" fontId="47" fillId="0" borderId="1" xfId="0" applyFont="1" applyBorder="1" applyAlignment="1" applyProtection="1">
      <alignment horizontal="left"/>
      <protection locked="0"/>
    </xf>
    <xf numFmtId="171" fontId="47" fillId="0" borderId="1" xfId="8" applyFont="1" applyFill="1" applyBorder="1" applyAlignment="1">
      <alignment vertical="center"/>
    </xf>
    <xf numFmtId="170" fontId="47" fillId="0" borderId="1" xfId="2" applyNumberFormat="1" applyFont="1" applyFill="1" applyBorder="1" applyAlignment="1" applyProtection="1">
      <alignment horizontal="left"/>
      <protection locked="0"/>
    </xf>
    <xf numFmtId="0" fontId="47" fillId="0" borderId="1" xfId="0" applyFont="1" applyBorder="1" applyAlignment="1">
      <alignment vertical="center" wrapText="1"/>
    </xf>
    <xf numFmtId="0" fontId="47" fillId="0" borderId="1" xfId="0" applyFont="1" applyBorder="1" applyAlignment="1" applyProtection="1">
      <alignment horizontal="left" vertical="center"/>
      <protection locked="0"/>
    </xf>
    <xf numFmtId="170" fontId="47" fillId="0" borderId="1" xfId="2" applyNumberFormat="1" applyFont="1" applyFill="1" applyBorder="1" applyAlignment="1" applyProtection="1">
      <alignment horizontal="left" vertical="center"/>
      <protection locked="0"/>
    </xf>
    <xf numFmtId="0" fontId="47" fillId="0" borderId="1" xfId="0" applyFont="1" applyBorder="1" applyAlignment="1">
      <alignment wrapText="1"/>
    </xf>
    <xf numFmtId="171" fontId="47" fillId="3" borderId="1" xfId="0" applyNumberFormat="1" applyFont="1" applyFill="1" applyBorder="1" applyAlignment="1">
      <alignment horizontal="center" vertical="center"/>
    </xf>
    <xf numFmtId="0" fontId="49" fillId="0" borderId="1" xfId="0" applyFont="1" applyBorder="1" applyAlignment="1">
      <alignment horizontal="left" vertical="center"/>
    </xf>
    <xf numFmtId="0" fontId="49" fillId="0" borderId="33" xfId="0" applyFont="1" applyBorder="1" applyAlignment="1">
      <alignment horizontal="left" vertical="center"/>
    </xf>
    <xf numFmtId="0" fontId="49" fillId="0" borderId="33" xfId="0" applyFont="1" applyBorder="1" applyAlignment="1">
      <alignment vertical="center" wrapText="1"/>
    </xf>
    <xf numFmtId="170" fontId="49" fillId="0" borderId="33" xfId="0" applyNumberFormat="1" applyFont="1" applyBorder="1" applyAlignment="1" applyProtection="1">
      <alignment horizontal="left" vertical="center"/>
      <protection locked="0"/>
    </xf>
    <xf numFmtId="0" fontId="47" fillId="0" borderId="39" xfId="0" applyFont="1" applyBorder="1" applyAlignment="1">
      <alignment horizontal="left" vertical="center" wrapText="1"/>
    </xf>
    <xf numFmtId="0" fontId="47" fillId="0" borderId="40" xfId="0" applyFont="1" applyBorder="1" applyAlignment="1">
      <alignment horizontal="left" vertical="center" wrapText="1"/>
    </xf>
    <xf numFmtId="0" fontId="47" fillId="0" borderId="40" xfId="0" applyFont="1" applyBorder="1" applyAlignment="1">
      <alignment vertical="center" wrapText="1"/>
    </xf>
    <xf numFmtId="171" fontId="47" fillId="0" borderId="40" xfId="8" applyFont="1" applyBorder="1" applyAlignment="1">
      <alignment vertical="center" wrapText="1"/>
    </xf>
    <xf numFmtId="174" fontId="47" fillId="0" borderId="41" xfId="0" applyNumberFormat="1" applyFont="1" applyBorder="1" applyAlignment="1">
      <alignment horizontal="center" vertical="center"/>
    </xf>
    <xf numFmtId="0" fontId="47" fillId="0" borderId="41" xfId="0" applyFont="1" applyBorder="1" applyAlignment="1">
      <alignment horizontal="center" vertical="center"/>
    </xf>
    <xf numFmtId="0" fontId="47" fillId="0" borderId="0" xfId="0" applyFont="1" applyAlignment="1">
      <alignment horizontal="center"/>
    </xf>
    <xf numFmtId="0" fontId="47" fillId="0" borderId="0" xfId="0" applyFont="1" applyAlignment="1">
      <alignment horizontal="center" vertical="center"/>
    </xf>
    <xf numFmtId="0" fontId="26" fillId="0" borderId="42" xfId="11" applyFont="1" applyBorder="1" applyAlignment="1">
      <alignment horizontal="center" vertical="center"/>
    </xf>
    <xf numFmtId="0" fontId="52" fillId="0" borderId="0" xfId="0" applyFont="1" applyAlignment="1">
      <alignment horizontal="center"/>
    </xf>
    <xf numFmtId="0" fontId="6" fillId="0" borderId="42" xfId="11" applyFont="1" applyBorder="1" applyAlignment="1">
      <alignment horizontal="center" vertical="center"/>
    </xf>
    <xf numFmtId="0" fontId="6" fillId="0" borderId="42" xfId="11" applyFont="1" applyBorder="1" applyAlignment="1">
      <alignment horizontal="left" vertical="center"/>
    </xf>
    <xf numFmtId="0" fontId="6" fillId="0" borderId="43" xfId="11" applyFont="1" applyBorder="1" applyAlignment="1">
      <alignment horizontal="left" vertical="center"/>
    </xf>
    <xf numFmtId="0" fontId="6" fillId="0" borderId="44" xfId="11" applyFont="1" applyBorder="1" applyAlignment="1">
      <alignment horizontal="center" vertical="center"/>
    </xf>
    <xf numFmtId="0" fontId="6" fillId="0" borderId="34" xfId="11" applyFont="1" applyBorder="1" applyAlignment="1">
      <alignment horizontal="center" vertical="center"/>
    </xf>
    <xf numFmtId="44" fontId="10" fillId="0" borderId="42" xfId="12" applyFont="1" applyFill="1" applyBorder="1" applyAlignment="1">
      <alignment horizontal="center" vertical="center"/>
    </xf>
    <xf numFmtId="0" fontId="10" fillId="0" borderId="42" xfId="11" applyFont="1" applyBorder="1" applyAlignment="1">
      <alignment horizontal="center" vertical="center"/>
    </xf>
    <xf numFmtId="0" fontId="6" fillId="0" borderId="23" xfId="11" applyFont="1" applyBorder="1" applyAlignment="1">
      <alignment horizontal="center" vertical="center"/>
    </xf>
    <xf numFmtId="0" fontId="6" fillId="0" borderId="23" xfId="11" applyFont="1" applyBorder="1" applyAlignment="1">
      <alignment horizontal="left" vertical="center"/>
    </xf>
    <xf numFmtId="0" fontId="6" fillId="0" borderId="25" xfId="11" applyFont="1" applyBorder="1" applyAlignment="1">
      <alignment horizontal="left" vertical="center"/>
    </xf>
    <xf numFmtId="0" fontId="6" fillId="0" borderId="1" xfId="11" applyFont="1" applyBorder="1" applyAlignment="1">
      <alignment horizontal="center" vertical="center"/>
    </xf>
    <xf numFmtId="0" fontId="6" fillId="0" borderId="26" xfId="11" applyFont="1" applyBorder="1" applyAlignment="1">
      <alignment horizontal="center" vertical="center"/>
    </xf>
    <xf numFmtId="44" fontId="10" fillId="0" borderId="23" xfId="12" applyFont="1" applyFill="1" applyBorder="1" applyAlignment="1">
      <alignment horizontal="center" vertical="center"/>
    </xf>
    <xf numFmtId="0" fontId="10" fillId="0" borderId="23" xfId="11" applyFont="1" applyBorder="1" applyAlignment="1">
      <alignment horizontal="center" vertical="center"/>
    </xf>
    <xf numFmtId="170" fontId="41" fillId="5" borderId="1" xfId="2" applyNumberFormat="1" applyFont="1" applyFill="1" applyBorder="1" applyAlignment="1" applyProtection="1">
      <alignment vertical="center"/>
      <protection locked="0"/>
    </xf>
    <xf numFmtId="0" fontId="41" fillId="5" borderId="1" xfId="0" applyFont="1" applyFill="1" applyBorder="1"/>
    <xf numFmtId="0" fontId="41" fillId="0" borderId="1" xfId="0" applyFont="1" applyBorder="1" applyAlignment="1">
      <alignment horizontal="left"/>
    </xf>
    <xf numFmtId="170" fontId="41" fillId="5" borderId="1" xfId="2" applyNumberFormat="1" applyFont="1" applyFill="1" applyBorder="1" applyAlignment="1">
      <alignment vertical="center"/>
    </xf>
    <xf numFmtId="170" fontId="41" fillId="5" borderId="1" xfId="2" applyNumberFormat="1" applyFont="1" applyFill="1" applyBorder="1"/>
    <xf numFmtId="183" fontId="41" fillId="5" borderId="1" xfId="2" applyNumberFormat="1" applyFont="1" applyFill="1" applyBorder="1" applyAlignment="1">
      <alignment vertical="center"/>
    </xf>
    <xf numFmtId="0" fontId="37" fillId="0" borderId="1" xfId="0" applyFont="1" applyBorder="1"/>
    <xf numFmtId="0" fontId="0" fillId="0" borderId="1" xfId="0" applyBorder="1"/>
    <xf numFmtId="0" fontId="0" fillId="0" borderId="1" xfId="0" applyBorder="1" applyAlignment="1">
      <alignment horizontal="center"/>
    </xf>
    <xf numFmtId="0" fontId="37" fillId="5" borderId="1" xfId="0" applyFont="1" applyFill="1" applyBorder="1" applyProtection="1">
      <protection locked="0"/>
    </xf>
    <xf numFmtId="44" fontId="37" fillId="5" borderId="1" xfId="2" applyFont="1" applyFill="1" applyBorder="1" applyAlignment="1" applyProtection="1">
      <alignment vertical="center"/>
      <protection locked="0"/>
    </xf>
    <xf numFmtId="170" fontId="37" fillId="5" borderId="1" xfId="2" applyNumberFormat="1" applyFont="1" applyFill="1" applyBorder="1" applyProtection="1">
      <protection locked="0"/>
    </xf>
    <xf numFmtId="0" fontId="37" fillId="3" borderId="1" xfId="0" applyFont="1" applyFill="1" applyBorder="1"/>
    <xf numFmtId="0" fontId="0" fillId="0" borderId="45" xfId="0" applyFont="1" applyFill="1" applyBorder="1" applyAlignment="1">
      <alignment vertical="center" wrapText="1"/>
    </xf>
    <xf numFmtId="0" fontId="0" fillId="0" borderId="45" xfId="0" applyFont="1" applyFill="1" applyBorder="1"/>
    <xf numFmtId="0" fontId="0" fillId="0" borderId="45" xfId="0" applyFont="1" applyFill="1" applyBorder="1" applyAlignment="1">
      <alignment wrapText="1"/>
    </xf>
    <xf numFmtId="0" fontId="0" fillId="0" borderId="45" xfId="0" applyFont="1" applyBorder="1"/>
    <xf numFmtId="0" fontId="0" fillId="0" borderId="45" xfId="0" applyFont="1" applyBorder="1" applyAlignment="1">
      <alignment horizontal="center"/>
    </xf>
    <xf numFmtId="0" fontId="0" fillId="0" borderId="45" xfId="0" applyFont="1" applyBorder="1" applyAlignment="1">
      <alignment vertical="center" wrapText="1"/>
    </xf>
    <xf numFmtId="44" fontId="0" fillId="0" borderId="45" xfId="0" applyNumberFormat="1" applyFont="1" applyFill="1" applyBorder="1"/>
    <xf numFmtId="174" fontId="0" fillId="0" borderId="45"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54" fillId="0" borderId="1" xfId="0" applyFont="1" applyBorder="1"/>
    <xf numFmtId="43" fontId="54" fillId="0" borderId="1" xfId="0" applyNumberFormat="1" applyFont="1" applyBorder="1"/>
    <xf numFmtId="0" fontId="54" fillId="0" borderId="1" xfId="0" applyFont="1" applyBorder="1" applyAlignment="1">
      <alignment horizontal="center"/>
    </xf>
    <xf numFmtId="177" fontId="54" fillId="0" borderId="1" xfId="0" applyNumberFormat="1" applyFont="1" applyBorder="1" applyAlignment="1">
      <alignment horizontal="right"/>
    </xf>
    <xf numFmtId="178" fontId="37" fillId="13" borderId="1" xfId="0" applyNumberFormat="1" applyFont="1" applyFill="1" applyBorder="1"/>
    <xf numFmtId="0" fontId="0" fillId="0" borderId="1" xfId="0" applyBorder="1" applyAlignment="1">
      <alignment horizontal="center" vertical="center"/>
    </xf>
    <xf numFmtId="177" fontId="54" fillId="0" borderId="1" xfId="0" applyNumberFormat="1" applyFont="1" applyBorder="1" applyAlignment="1">
      <alignment horizontal="center"/>
    </xf>
    <xf numFmtId="179" fontId="54" fillId="0" borderId="1" xfId="0" applyNumberFormat="1" applyFont="1" applyBorder="1" applyAlignment="1">
      <alignment horizontal="right"/>
    </xf>
    <xf numFmtId="180" fontId="54" fillId="0" borderId="1" xfId="0" applyNumberFormat="1" applyFont="1" applyBorder="1" applyAlignment="1">
      <alignment horizontal="right"/>
    </xf>
    <xf numFmtId="178" fontId="54" fillId="0" borderId="1" xfId="0" applyNumberFormat="1" applyFont="1" applyBorder="1" applyAlignment="1">
      <alignment horizontal="right"/>
    </xf>
    <xf numFmtId="43" fontId="54" fillId="0" borderId="34" xfId="0" applyNumberFormat="1" applyFont="1" applyBorder="1"/>
    <xf numFmtId="0" fontId="54" fillId="0" borderId="34" xfId="0" applyFont="1" applyBorder="1"/>
    <xf numFmtId="0" fontId="54" fillId="0" borderId="34" xfId="0" applyFont="1" applyBorder="1" applyAlignment="1">
      <alignment horizontal="center"/>
    </xf>
    <xf numFmtId="184" fontId="54" fillId="0" borderId="34" xfId="0" applyNumberFormat="1" applyFont="1" applyBorder="1" applyAlignment="1">
      <alignment horizontal="right"/>
    </xf>
    <xf numFmtId="178" fontId="37" fillId="13" borderId="23" xfId="0" applyNumberFormat="1" applyFont="1" applyFill="1" applyBorder="1"/>
    <xf numFmtId="0" fontId="54" fillId="0" borderId="23" xfId="0" applyFont="1" applyBorder="1"/>
    <xf numFmtId="0" fontId="54" fillId="0" borderId="23" xfId="0" applyFont="1" applyBorder="1" applyAlignment="1">
      <alignment horizontal="center"/>
    </xf>
    <xf numFmtId="0" fontId="12" fillId="9" borderId="1" xfId="0" applyFont="1" applyFill="1" applyBorder="1" applyAlignment="1">
      <alignment horizontal="center" vertical="top" wrapText="1"/>
    </xf>
    <xf numFmtId="0" fontId="11" fillId="8"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9" borderId="3" xfId="0" applyFont="1" applyFill="1" applyBorder="1" applyAlignment="1">
      <alignment horizontal="center" vertical="center" wrapText="1"/>
    </xf>
    <xf numFmtId="0" fontId="16" fillId="9" borderId="5" xfId="0" applyFont="1" applyFill="1" applyBorder="1" applyAlignment="1">
      <alignment horizontal="center" vertical="center" wrapText="1"/>
    </xf>
    <xf numFmtId="0" fontId="19" fillId="9" borderId="3" xfId="0" applyFont="1" applyFill="1" applyBorder="1" applyAlignment="1">
      <alignment horizontal="center" vertical="center" wrapText="1"/>
    </xf>
    <xf numFmtId="0" fontId="19" fillId="9" borderId="4" xfId="0" applyFont="1" applyFill="1" applyBorder="1" applyAlignment="1">
      <alignment horizontal="center" vertical="center" wrapText="1"/>
    </xf>
    <xf numFmtId="0" fontId="19" fillId="9" borderId="3" xfId="0" applyFont="1" applyFill="1" applyBorder="1" applyAlignment="1">
      <alignment vertical="center" wrapText="1"/>
    </xf>
    <xf numFmtId="0" fontId="19" fillId="9" borderId="5" xfId="0" applyFont="1" applyFill="1" applyBorder="1" applyAlignment="1">
      <alignment vertical="center" wrapText="1"/>
    </xf>
    <xf numFmtId="0" fontId="16" fillId="9" borderId="13"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7" fillId="9" borderId="14" xfId="0" applyFont="1" applyFill="1" applyBorder="1" applyAlignment="1">
      <alignment vertical="center" wrapText="1"/>
    </xf>
    <xf numFmtId="0" fontId="17" fillId="9" borderId="16" xfId="0" applyFont="1" applyFill="1" applyBorder="1" applyAlignment="1">
      <alignment vertical="center" wrapText="1"/>
    </xf>
    <xf numFmtId="0" fontId="16" fillId="9" borderId="18" xfId="0" applyFont="1" applyFill="1" applyBorder="1" applyAlignment="1">
      <alignment horizontal="center" vertical="center" wrapText="1"/>
    </xf>
    <xf numFmtId="0" fontId="16" fillId="9" borderId="19"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16" fillId="9" borderId="3" xfId="0" applyFont="1" applyFill="1" applyBorder="1" applyAlignment="1">
      <alignment horizontal="left" vertical="center" wrapText="1"/>
    </xf>
    <xf numFmtId="0" fontId="16" fillId="9" borderId="5" xfId="0" applyFont="1" applyFill="1" applyBorder="1" applyAlignment="1">
      <alignment horizontal="left" vertical="center" wrapText="1"/>
    </xf>
    <xf numFmtId="0" fontId="17" fillId="9" borderId="3" xfId="0" applyFont="1" applyFill="1" applyBorder="1" applyAlignment="1">
      <alignment vertical="center" wrapText="1"/>
    </xf>
    <xf numFmtId="0" fontId="17" fillId="9" borderId="4" xfId="0" applyFont="1" applyFill="1" applyBorder="1" applyAlignment="1">
      <alignment vertical="center" wrapText="1"/>
    </xf>
    <xf numFmtId="0" fontId="53" fillId="0" borderId="30" xfId="0" applyFont="1" applyBorder="1" applyAlignment="1">
      <alignment horizontal="center"/>
    </xf>
    <xf numFmtId="0" fontId="23" fillId="0" borderId="22" xfId="11" applyFont="1" applyBorder="1" applyAlignment="1">
      <alignment horizontal="center" vertical="center"/>
    </xf>
    <xf numFmtId="0" fontId="30" fillId="0" borderId="30" xfId="0" applyFont="1" applyBorder="1" applyAlignment="1">
      <alignment horizontal="center" wrapText="1"/>
    </xf>
    <xf numFmtId="0" fontId="5" fillId="0" borderId="30" xfId="0" applyFont="1" applyBorder="1" applyAlignment="1">
      <alignment horizontal="center" wrapText="1"/>
    </xf>
    <xf numFmtId="0" fontId="32" fillId="0" borderId="30" xfId="0" applyFont="1" applyBorder="1" applyAlignment="1">
      <alignment horizontal="center"/>
    </xf>
    <xf numFmtId="0" fontId="31" fillId="0" borderId="30" xfId="0" applyFont="1" applyBorder="1" applyAlignment="1">
      <alignment horizontal="center"/>
    </xf>
    <xf numFmtId="0" fontId="36" fillId="3" borderId="31" xfId="0" applyFont="1" applyFill="1" applyBorder="1" applyAlignment="1">
      <alignment horizontal="center" vertical="center"/>
    </xf>
    <xf numFmtId="0" fontId="36" fillId="3" borderId="32" xfId="0" applyFont="1" applyFill="1" applyBorder="1" applyAlignment="1">
      <alignment horizontal="center" vertical="center"/>
    </xf>
    <xf numFmtId="0" fontId="36" fillId="3" borderId="33" xfId="0" applyFont="1" applyFill="1" applyBorder="1" applyAlignment="1">
      <alignment horizontal="center" vertical="center"/>
    </xf>
    <xf numFmtId="0" fontId="36" fillId="3" borderId="1" xfId="0" applyFont="1" applyFill="1" applyBorder="1" applyAlignment="1">
      <alignment horizontal="center" vertical="center"/>
    </xf>
    <xf numFmtId="0" fontId="43" fillId="0" borderId="0" xfId="0" applyFont="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46" fillId="0" borderId="0" xfId="0" applyFont="1" applyAlignment="1">
      <alignment horizontal="center" vertical="center"/>
    </xf>
    <xf numFmtId="0" fontId="46" fillId="0" borderId="30" xfId="0" applyFont="1" applyBorder="1" applyAlignment="1">
      <alignment horizontal="center" vertical="center"/>
    </xf>
    <xf numFmtId="0" fontId="44" fillId="12" borderId="0" xfId="0" applyFont="1" applyFill="1" applyAlignment="1">
      <alignment horizontal="center" vertical="center"/>
    </xf>
    <xf numFmtId="0" fontId="44" fillId="0" borderId="0" xfId="0" applyFont="1" applyAlignment="1">
      <alignment horizontal="center"/>
    </xf>
    <xf numFmtId="0" fontId="44" fillId="0" borderId="0" xfId="0" applyFont="1" applyAlignment="1">
      <alignment horizontal="center" vertical="center"/>
    </xf>
    <xf numFmtId="0" fontId="51" fillId="0" borderId="0" xfId="0" applyFont="1" applyAlignment="1">
      <alignment horizontal="center"/>
    </xf>
    <xf numFmtId="0" fontId="0" fillId="0" borderId="41" xfId="0" applyBorder="1" applyAlignment="1">
      <alignment horizontal="center" vertical="center"/>
    </xf>
    <xf numFmtId="166" fontId="6" fillId="0" borderId="1" xfId="0" applyNumberFormat="1" applyFont="1" applyBorder="1" applyAlignment="1">
      <alignment horizontal="left" vertical="center"/>
    </xf>
    <xf numFmtId="167" fontId="5" fillId="0" borderId="1" xfId="1" applyNumberFormat="1" applyFont="1" applyFill="1" applyBorder="1"/>
    <xf numFmtId="170" fontId="5" fillId="0" borderId="1" xfId="2" applyNumberFormat="1" applyFont="1" applyFill="1" applyBorder="1"/>
    <xf numFmtId="1" fontId="5" fillId="0" borderId="1" xfId="0" applyNumberFormat="1" applyFont="1" applyBorder="1" applyAlignment="1">
      <alignment horizontal="center" vertical="center"/>
    </xf>
    <xf numFmtId="170" fontId="5" fillId="3" borderId="1" xfId="2" applyNumberFormat="1" applyFont="1" applyFill="1" applyBorder="1"/>
    <xf numFmtId="0" fontId="37" fillId="0" borderId="40" xfId="0" applyFont="1" applyBorder="1" applyAlignment="1">
      <alignment vertical="center" wrapText="1"/>
    </xf>
    <xf numFmtId="174" fontId="0" fillId="0" borderId="41" xfId="0" applyNumberFormat="1" applyBorder="1" applyAlignment="1">
      <alignment horizontal="center" vertical="center"/>
    </xf>
    <xf numFmtId="0" fontId="37" fillId="0" borderId="39" xfId="0" applyFont="1" applyBorder="1" applyAlignment="1">
      <alignment vertical="center" wrapText="1"/>
    </xf>
    <xf numFmtId="174" fontId="0" fillId="0" borderId="45" xfId="0" applyNumberFormat="1" applyBorder="1" applyAlignment="1">
      <alignment horizontal="center" vertical="center"/>
    </xf>
    <xf numFmtId="0" fontId="0" fillId="0" borderId="45" xfId="0" applyBorder="1" applyAlignment="1">
      <alignment horizontal="center" vertical="center"/>
    </xf>
    <xf numFmtId="170" fontId="40" fillId="10" borderId="0" xfId="2" applyNumberFormat="1" applyFont="1" applyFill="1" applyAlignment="1" applyProtection="1">
      <alignment horizontal="center" vertical="center" wrapText="1"/>
      <protection locked="0"/>
    </xf>
    <xf numFmtId="170" fontId="37" fillId="0" borderId="40" xfId="2" applyNumberFormat="1" applyFont="1" applyBorder="1" applyAlignment="1">
      <alignment vertical="center" wrapText="1"/>
    </xf>
    <xf numFmtId="170" fontId="37" fillId="0" borderId="39" xfId="2" applyNumberFormat="1" applyFont="1" applyBorder="1" applyAlignment="1">
      <alignment vertical="center" wrapText="1"/>
    </xf>
    <xf numFmtId="170" fontId="47" fillId="0" borderId="0" xfId="2" applyNumberFormat="1" applyFont="1"/>
  </cellXfs>
  <cellStyles count="17">
    <cellStyle name="Millares" xfId="16" builtinId="3"/>
    <cellStyle name="Millares [0]" xfId="10" builtinId="6"/>
    <cellStyle name="Millares 2" xfId="9"/>
    <cellStyle name="Moneda" xfId="2" builtinId="4"/>
    <cellStyle name="Moneda [0]" xfId="1" builtinId="7"/>
    <cellStyle name="Moneda [0] 2" xfId="8"/>
    <cellStyle name="Moneda 2" xfId="4"/>
    <cellStyle name="Moneda 2 2" xfId="6"/>
    <cellStyle name="Moneda 3" xfId="5"/>
    <cellStyle name="Moneda 4" xfId="7"/>
    <cellStyle name="Moneda 5" xfId="12"/>
    <cellStyle name="Moneda 6" xfId="15"/>
    <cellStyle name="Normal" xfId="0" builtinId="0"/>
    <cellStyle name="Normal 2" xfId="3"/>
    <cellStyle name="Normal 2 2" xfId="13"/>
    <cellStyle name="Normal 3" xfId="11"/>
    <cellStyle name="Normal 4" xfId="14"/>
  </cellStyles>
  <dxfs count="71">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2</xdr:col>
      <xdr:colOff>3267075</xdr:colOff>
      <xdr:row>121</xdr:row>
      <xdr:rowOff>57150</xdr:rowOff>
    </xdr:from>
    <xdr:ext cx="65" cy="172227"/>
    <xdr:sp macro="" textlink="">
      <xdr:nvSpPr>
        <xdr:cNvPr id="2" name="CuadroTexto 1">
          <a:extLst>
            <a:ext uri="{FF2B5EF4-FFF2-40B4-BE49-F238E27FC236}">
              <a16:creationId xmlns:a16="http://schemas.microsoft.com/office/drawing/2014/main" id="{D119D61F-71C7-49BE-A798-1A578B97104B}"/>
            </a:ext>
          </a:extLst>
        </xdr:cNvPr>
        <xdr:cNvSpPr txBox="1"/>
      </xdr:nvSpPr>
      <xdr:spPr>
        <a:xfrm>
          <a:off x="5210175" y="2383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3267075</xdr:colOff>
      <xdr:row>121</xdr:row>
      <xdr:rowOff>57150</xdr:rowOff>
    </xdr:from>
    <xdr:ext cx="65" cy="172227"/>
    <xdr:sp macro="" textlink="">
      <xdr:nvSpPr>
        <xdr:cNvPr id="3" name="CuadroTexto 2">
          <a:extLst>
            <a:ext uri="{FF2B5EF4-FFF2-40B4-BE49-F238E27FC236}">
              <a16:creationId xmlns:a16="http://schemas.microsoft.com/office/drawing/2014/main" id="{B92FC4D3-D127-4D0E-B5BD-BB8DB34574D9}"/>
            </a:ext>
          </a:extLst>
        </xdr:cNvPr>
        <xdr:cNvSpPr txBox="1"/>
      </xdr:nvSpPr>
      <xdr:spPr>
        <a:xfrm>
          <a:off x="5812155" y="23831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xdr:from>
      <xdr:col>2</xdr:col>
      <xdr:colOff>2390775</xdr:colOff>
      <xdr:row>117</xdr:row>
      <xdr:rowOff>1066800</xdr:rowOff>
    </xdr:from>
    <xdr:to>
      <xdr:col>3</xdr:col>
      <xdr:colOff>1466534</xdr:colOff>
      <xdr:row>117</xdr:row>
      <xdr:rowOff>1781175</xdr:rowOff>
    </xdr:to>
    <mc:AlternateContent xmlns:mc="http://schemas.openxmlformats.org/markup-compatibility/2006" xmlns:a14="http://schemas.microsoft.com/office/drawing/2010/main">
      <mc:Choice Requires="a14">
        <xdr:sp macro="" textlink="">
          <xdr:nvSpPr>
            <xdr:cNvPr id="4" name="CuadroTexto 1">
              <a:extLst>
                <a:ext uri="{FF2B5EF4-FFF2-40B4-BE49-F238E27FC236}">
                  <a16:creationId xmlns:a16="http://schemas.microsoft.com/office/drawing/2014/main" id="{78A924F3-7F3D-4A8A-8EEC-49DCC6882A55}"/>
                </a:ext>
              </a:extLst>
            </xdr:cNvPr>
            <xdr:cNvSpPr txBox="1"/>
          </xdr:nvSpPr>
          <xdr:spPr>
            <a:xfrm>
              <a:off x="4516755" y="22456140"/>
              <a:ext cx="1300799" cy="7143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p>
              <a:pPr algn="just">
                <a:spcAft>
                  <a:spcPts val="0"/>
                </a:spcAft>
              </a:pPr>
              <a14:m>
                <m:oMathPara xmlns:m="http://schemas.openxmlformats.org/officeDocument/2006/math">
                  <m:oMathParaPr>
                    <m:jc m:val="centerGroup"/>
                  </m:oMathParaPr>
                  <m:oMath xmlns:m="http://schemas.openxmlformats.org/officeDocument/2006/math">
                    <m:sSub>
                      <m:sSub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sSubPr>
                      <m:e>
                        <m:r>
                          <m:rPr>
                            <m:sty m:val="p"/>
                          </m:r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I</m:t>
                        </m:r>
                      </m:e>
                      <m: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m:t>
                        </m:r>
                      </m:sub>
                    </m:s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m:t>
                    </m:r>
                    <m:f>
                      <m:f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fPr>
                      <m:num>
                        <m:nary>
                          <m:naryPr>
                            <m:chr m:val="∑"/>
                            <m:limLoc m:val="undOv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naryPr>
                          <m:sub>
                            <m:r>
                              <m:rPr>
                                <m:sty m:val="p"/>
                              </m:r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i</m:t>
                            </m:r>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=1</m:t>
                            </m:r>
                          </m:sub>
                          <m:sup>
                            <m:r>
                              <m:rPr>
                                <m:sty m:val="p"/>
                              </m:r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n</m:t>
                            </m:r>
                          </m:sup>
                          <m:e>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m:t>
                            </m:r>
                            <m:sSub>
                              <m:sSub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sSubPr>
                              <m:e>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𝑡</m:t>
                                </m:r>
                              </m:e>
                              <m: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𝑠𝑖</m:t>
                                </m:r>
                              </m:sub>
                            </m:s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m:t>
                            </m:r>
                            <m:d>
                              <m:d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dPr>
                              <m:e>
                                <m:sSub>
                                  <m:sSub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sSubPr>
                                  <m:e>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𝑡</m:t>
                                    </m:r>
                                  </m:e>
                                  <m: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𝑚𝑎𝑥</m:t>
                                    </m:r>
                                  </m:sub>
                                </m:s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m:t>
                                </m:r>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𝑛</m:t>
                                </m:r>
                              </m:e>
                            </m:d>
                          </m:e>
                        </m:nary>
                      </m:num>
                      <m:den>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m:t>
                        </m:r>
                        <m:d>
                          <m:d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dPr>
                          <m:e>
                            <m:sSub>
                              <m:sSub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sSubPr>
                              <m:e>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𝑡</m:t>
                                </m:r>
                              </m:e>
                              <m: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𝑚𝑎𝑥</m:t>
                                </m:r>
                              </m:sub>
                            </m:s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m:t>
                            </m:r>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𝑛</m:t>
                            </m:r>
                          </m:e>
                        </m:d>
                      </m:den>
                    </m:f>
                    <m:r>
                      <a:rPr lang="en-US"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m:t>
                    </m:r>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100%</m:t>
                    </m:r>
                  </m:oMath>
                </m:oMathPara>
              </a14:m>
              <a:endPar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endParaRPr>
            </a:p>
          </xdr:txBody>
        </xdr:sp>
      </mc:Choice>
      <mc:Fallback xmlns="">
        <xdr:sp macro="" textlink="">
          <xdr:nvSpPr>
            <xdr:cNvPr id="4" name="CuadroTexto 1">
              <a:extLst>
                <a:ext uri="{FF2B5EF4-FFF2-40B4-BE49-F238E27FC236}">
                  <a16:creationId xmlns:a16="http://schemas.microsoft.com/office/drawing/2014/main" id="{78A924F3-7F3D-4A8A-8EEC-49DCC6882A55}"/>
                </a:ext>
              </a:extLst>
            </xdr:cNvPr>
            <xdr:cNvSpPr txBox="1"/>
          </xdr:nvSpPr>
          <xdr:spPr>
            <a:xfrm>
              <a:off x="4516755" y="22456140"/>
              <a:ext cx="1300799" cy="7143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p>
              <a:pPr algn="just">
                <a:spcAft>
                  <a:spcPts val="0"/>
                </a:spcAft>
              </a:pPr>
              <a:r>
                <a:rPr lang="es-CO" sz="1200" i="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a:t>I_%= </a:t>
              </a:r>
              <a:r>
                <a:rPr lang="es-CO" sz="1200" i="0" u="none">
                  <a:solidFill>
                    <a:schemeClr val="tx1">
                      <a:lumMod val="65000"/>
                      <a:lumOff val="35000"/>
                    </a:schemeClr>
                  </a:solidFill>
                  <a:effectLst/>
                  <a:latin typeface="Cambria Math" panose="02040503050406030204" pitchFamily="18" charset="0"/>
                  <a:cs typeface="Arial" panose="020B0604020202020204" pitchFamily="34" charset="0"/>
                </a:rPr>
                <a:t> (∑1_(</a:t>
              </a:r>
              <a:r>
                <a:rPr lang="es-CO" sz="1200" i="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a:t>i=1)^n▒〖 𝑡_𝑠𝑖  −(𝑡_𝑚𝑎𝑥∗𝑛) 〗)/( (𝑡_𝑚𝑎𝑥∗𝑛) )</a:t>
              </a:r>
              <a:r>
                <a:rPr lang="en-US" sz="1200" i="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a:t>×</a:t>
              </a:r>
              <a:r>
                <a:rPr lang="es-CO" sz="1200" i="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a:t>100%</a:t>
              </a:r>
              <a:endPar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endParaRPr>
            </a:p>
          </xdr:txBody>
        </xdr:sp>
      </mc:Fallback>
    </mc:AlternateContent>
    <xdr:clientData/>
  </xdr:twoCellAnchor>
  <xdr:twoCellAnchor>
    <xdr:from>
      <xdr:col>2</xdr:col>
      <xdr:colOff>2547938</xdr:colOff>
      <xdr:row>117</xdr:row>
      <xdr:rowOff>333375</xdr:rowOff>
    </xdr:from>
    <xdr:to>
      <xdr:col>3</xdr:col>
      <xdr:colOff>1585913</xdr:colOff>
      <xdr:row>117</xdr:row>
      <xdr:rowOff>942975</xdr:rowOff>
    </xdr:to>
    <mc:AlternateContent xmlns:mc="http://schemas.openxmlformats.org/markup-compatibility/2006" xmlns:a14="http://schemas.microsoft.com/office/drawing/2010/main">
      <mc:Choice Requires="a14">
        <xdr:sp macro="" textlink="">
          <xdr:nvSpPr>
            <xdr:cNvPr id="5" name="CuadroTexto 1">
              <a:extLst>
                <a:ext uri="{FF2B5EF4-FFF2-40B4-BE49-F238E27FC236}">
                  <a16:creationId xmlns:a16="http://schemas.microsoft.com/office/drawing/2014/main" id="{92C54CC4-B75E-42DF-A6FD-DFD26BDE7C2D}"/>
                </a:ext>
              </a:extLst>
            </xdr:cNvPr>
            <xdr:cNvSpPr txBox="1"/>
          </xdr:nvSpPr>
          <xdr:spPr>
            <a:xfrm>
              <a:off x="4673918" y="21722715"/>
              <a:ext cx="1141095" cy="6096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p>
              <a:pPr algn="just">
                <a:spcAft>
                  <a:spcPts val="0"/>
                </a:spcAft>
              </a:pPr>
              <a:r>
                <a:rPr lang="es-CO" sz="1200" u="none">
                  <a:solidFill>
                    <a:schemeClr val="tx1">
                      <a:lumMod val="65000"/>
                      <a:lumOff val="35000"/>
                    </a:schemeClr>
                  </a:solidFill>
                  <a:effectLst/>
                  <a:ea typeface="Arial" panose="020B0604020202020204" pitchFamily="34" charset="0"/>
                  <a:cs typeface="Arial" panose="020B0604020202020204" pitchFamily="34" charset="0"/>
                </a:rPr>
                <a:t>  </a:t>
              </a:r>
              <a:r>
                <a:rPr lang="es-CO" sz="1400" u="none">
                  <a:solidFill>
                    <a:schemeClr val="tx1">
                      <a:lumMod val="65000"/>
                      <a:lumOff val="35000"/>
                    </a:schemeClr>
                  </a:solidFill>
                  <a:effectLst/>
                  <a:ea typeface="Arial" panose="020B0604020202020204" pitchFamily="34" charset="0"/>
                  <a:cs typeface="Arial" panose="020B0604020202020204" pitchFamily="34" charset="0"/>
                </a:rPr>
                <a:t>Sí , </a:t>
              </a:r>
              <a14:m>
                <m:oMath xmlns:m="http://schemas.openxmlformats.org/officeDocument/2006/math">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m:t>
                  </m:r>
                  <m:nary>
                    <m:naryPr>
                      <m:chr m:val="∑"/>
                      <m:limLoc m:val="undOv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naryPr>
                    <m:sub>
                      <m:r>
                        <m:rPr>
                          <m:sty m:val="p"/>
                        </m:r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i</m:t>
                      </m:r>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=1</m:t>
                      </m:r>
                    </m:sub>
                    <m:sup>
                      <m:r>
                        <m:rPr>
                          <m:sty m:val="p"/>
                        </m:r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n</m:t>
                      </m:r>
                    </m:sup>
                    <m:e>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m:t>
                      </m:r>
                      <m:sSub>
                        <m:sSub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sSubPr>
                        <m:e>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m:t>
                          </m:r>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𝑡</m:t>
                          </m:r>
                        </m:e>
                        <m: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𝑠𝑖</m:t>
                          </m:r>
                        </m:sub>
                      </m:s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 </m:t>
                      </m:r>
                      <m:d>
                        <m:d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dPr>
                        <m:e>
                          <m:sSub>
                            <m:sSub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sSubPr>
                            <m:e>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𝑡</m:t>
                              </m:r>
                            </m:e>
                            <m: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𝑚𝑎𝑥</m:t>
                              </m:r>
                            </m:sub>
                          </m:s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m:t>
                          </m:r>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𝑛</m:t>
                          </m:r>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m:t>
                          </m:r>
                        </m:e>
                      </m:d>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m:t>
                      </m:r>
                    </m:e>
                  </m:nary>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&gt;0</m:t>
                  </m:r>
                </m:oMath>
              </a14:m>
              <a:endPar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endParaRPr>
            </a:p>
          </xdr:txBody>
        </xdr:sp>
      </mc:Choice>
      <mc:Fallback xmlns="">
        <xdr:sp macro="" textlink="">
          <xdr:nvSpPr>
            <xdr:cNvPr id="5" name="CuadroTexto 1">
              <a:extLst>
                <a:ext uri="{FF2B5EF4-FFF2-40B4-BE49-F238E27FC236}">
                  <a16:creationId xmlns:a16="http://schemas.microsoft.com/office/drawing/2014/main" id="{92C54CC4-B75E-42DF-A6FD-DFD26BDE7C2D}"/>
                </a:ext>
              </a:extLst>
            </xdr:cNvPr>
            <xdr:cNvSpPr txBox="1"/>
          </xdr:nvSpPr>
          <xdr:spPr>
            <a:xfrm>
              <a:off x="4673918" y="21722715"/>
              <a:ext cx="1141095" cy="6096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p>
              <a:pPr algn="just">
                <a:spcAft>
                  <a:spcPts val="0"/>
                </a:spcAft>
              </a:pPr>
              <a:r>
                <a:rPr lang="es-CO" sz="1200" u="none">
                  <a:solidFill>
                    <a:schemeClr val="tx1">
                      <a:lumMod val="65000"/>
                      <a:lumOff val="35000"/>
                    </a:schemeClr>
                  </a:solidFill>
                  <a:effectLst/>
                  <a:ea typeface="Arial" panose="020B0604020202020204" pitchFamily="34" charset="0"/>
                  <a:cs typeface="Arial" panose="020B0604020202020204" pitchFamily="34" charset="0"/>
                </a:rPr>
                <a:t>  </a:t>
              </a:r>
              <a:r>
                <a:rPr lang="es-CO" sz="1400" u="none">
                  <a:solidFill>
                    <a:schemeClr val="tx1">
                      <a:lumMod val="65000"/>
                      <a:lumOff val="35000"/>
                    </a:schemeClr>
                  </a:solidFill>
                  <a:effectLst/>
                  <a:ea typeface="Arial" panose="020B0604020202020204" pitchFamily="34" charset="0"/>
                  <a:cs typeface="Arial" panose="020B0604020202020204" pitchFamily="34" charset="0"/>
                </a:rPr>
                <a:t>Sí , </a:t>
              </a:r>
              <a:r>
                <a:rPr lang="es-CO" sz="1200" i="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a:t>  </a:t>
              </a:r>
              <a:r>
                <a:rPr lang="es-CO" sz="1200" i="0" u="none">
                  <a:solidFill>
                    <a:schemeClr val="tx1">
                      <a:lumMod val="65000"/>
                      <a:lumOff val="35000"/>
                    </a:schemeClr>
                  </a:solidFill>
                  <a:effectLst/>
                  <a:latin typeface="Cambria Math" panose="02040503050406030204" pitchFamily="18" charset="0"/>
                  <a:cs typeface="Arial" panose="020B0604020202020204" pitchFamily="34" charset="0"/>
                </a:rPr>
                <a:t>∑1_(</a:t>
              </a:r>
              <a:r>
                <a:rPr lang="es-CO" sz="1200" i="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a:t>i=1)^n▒〖 〖(𝑡〗_𝑠𝑖  − (𝑡_𝑚𝑎𝑥  ∗𝑛 ))〗&gt;0</a:t>
              </a:r>
              <a:endPar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endParaRP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1521527</xdr:colOff>
      <xdr:row>0</xdr:row>
      <xdr:rowOff>123701</xdr:rowOff>
    </xdr:from>
    <xdr:to>
      <xdr:col>8</xdr:col>
      <xdr:colOff>1113312</xdr:colOff>
      <xdr:row>3</xdr:row>
      <xdr:rowOff>37109</xdr:rowOff>
    </xdr:to>
    <xdr:sp macro="" textlink="">
      <xdr:nvSpPr>
        <xdr:cNvPr id="2" name="CuadroTexto 1">
          <a:extLst>
            <a:ext uri="{FF2B5EF4-FFF2-40B4-BE49-F238E27FC236}">
              <a16:creationId xmlns:a16="http://schemas.microsoft.com/office/drawing/2014/main" id="{78EC9BE6-8A14-47F8-9FA4-C124DA1D87CA}"/>
            </a:ext>
          </a:extLst>
        </xdr:cNvPr>
        <xdr:cNvSpPr txBox="1"/>
      </xdr:nvSpPr>
      <xdr:spPr>
        <a:xfrm>
          <a:off x="6573587" y="123701"/>
          <a:ext cx="8255725" cy="4391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000" b="1"/>
            <a:t>GRUPOINVESCO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odr/AppData/Local/Microsoft/Windows/INetCache/Content.Outlook/3669CF2H/BESTDOC%20Plantilla%20Fabrica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
      <sheetName val="Información"/>
    </sheetNames>
    <sheetDataSet>
      <sheetData sheetId="0" refreshError="1"/>
      <sheetData sheetId="1">
        <row r="18">
          <cell r="A18" t="str">
            <v>BEXTECHNOLOGY</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O231"/>
  <sheetViews>
    <sheetView zoomScale="85" zoomScaleNormal="85" workbookViewId="0">
      <pane ySplit="1" topLeftCell="A2" activePane="bottomLeft" state="frozen"/>
      <selection activeCell="B16" sqref="B16:P16"/>
      <selection pane="bottomLeft" activeCell="L12" sqref="L12"/>
    </sheetView>
  </sheetViews>
  <sheetFormatPr baseColWidth="10" defaultColWidth="12.36328125" defaultRowHeight="14.5"/>
  <cols>
    <col min="1" max="1" width="27.90625" customWidth="1"/>
    <col min="2" max="2" width="50.36328125" style="1" customWidth="1"/>
    <col min="3" max="3" width="30.54296875" style="2" customWidth="1"/>
    <col min="4" max="4" width="16.6328125" style="1" customWidth="1"/>
    <col min="5" max="5" width="74.54296875" customWidth="1"/>
    <col min="6" max="6" width="31.6328125" customWidth="1"/>
    <col min="7" max="7" width="12.36328125" customWidth="1"/>
    <col min="8" max="8" width="18" style="2" customWidth="1"/>
    <col min="9" max="9" width="17.6328125" style="2" bestFit="1" customWidth="1"/>
    <col min="10" max="10" width="24.54296875" style="2" bestFit="1" customWidth="1"/>
    <col min="11" max="11" width="22.08984375" customWidth="1"/>
    <col min="12" max="12" width="30" customWidth="1"/>
    <col min="13" max="13" width="18.54296875" style="25" bestFit="1" customWidth="1"/>
    <col min="14" max="15" width="12.36328125" style="2"/>
  </cols>
  <sheetData>
    <row r="1" spans="1:15" ht="16">
      <c r="A1" s="3" t="s">
        <v>0</v>
      </c>
      <c r="B1" s="3" t="s">
        <v>1</v>
      </c>
      <c r="C1" s="3" t="s">
        <v>2</v>
      </c>
      <c r="D1" s="4" t="s">
        <v>3</v>
      </c>
      <c r="E1" s="3" t="s">
        <v>4</v>
      </c>
      <c r="F1" s="3" t="s">
        <v>5</v>
      </c>
      <c r="G1" s="3" t="s">
        <v>6</v>
      </c>
      <c r="H1" s="5" t="s">
        <v>7</v>
      </c>
      <c r="I1" s="5" t="s">
        <v>8</v>
      </c>
      <c r="J1" s="5" t="s">
        <v>9</v>
      </c>
      <c r="K1" s="3" t="s">
        <v>10</v>
      </c>
      <c r="L1" s="3" t="s">
        <v>11</v>
      </c>
      <c r="M1" s="14" t="s">
        <v>12</v>
      </c>
      <c r="N1" s="6" t="s">
        <v>13</v>
      </c>
      <c r="O1" s="4" t="s">
        <v>3</v>
      </c>
    </row>
    <row r="2" spans="1:15">
      <c r="A2" s="7" t="s">
        <v>217</v>
      </c>
      <c r="B2" s="7" t="s">
        <v>35</v>
      </c>
      <c r="C2" s="7" t="s">
        <v>218</v>
      </c>
      <c r="D2" s="7" t="s">
        <v>14</v>
      </c>
      <c r="E2" s="8" t="s">
        <v>36</v>
      </c>
      <c r="F2" s="7" t="s">
        <v>37</v>
      </c>
      <c r="G2" s="9" t="s">
        <v>16</v>
      </c>
      <c r="H2" s="10" t="s">
        <v>17</v>
      </c>
      <c r="I2" s="10" t="s">
        <v>26</v>
      </c>
      <c r="J2" s="8" t="s">
        <v>25</v>
      </c>
      <c r="K2" s="8" t="str">
        <f t="shared" ref="K2:K65" si="0">+B2</f>
        <v>P-2001</v>
      </c>
      <c r="L2" s="8" t="s">
        <v>28</v>
      </c>
      <c r="M2" s="23">
        <v>65</v>
      </c>
      <c r="N2" s="10" t="s">
        <v>402</v>
      </c>
      <c r="O2" s="12" t="str">
        <f t="shared" ref="O2:O10" si="1">D2</f>
        <v>COP</v>
      </c>
    </row>
    <row r="3" spans="1:15">
      <c r="A3" s="7" t="s">
        <v>217</v>
      </c>
      <c r="B3" s="7" t="s">
        <v>38</v>
      </c>
      <c r="C3" s="7" t="s">
        <v>218</v>
      </c>
      <c r="D3" s="7" t="s">
        <v>14</v>
      </c>
      <c r="E3" s="8" t="s">
        <v>39</v>
      </c>
      <c r="F3" s="7" t="s">
        <v>37</v>
      </c>
      <c r="G3" s="9" t="s">
        <v>16</v>
      </c>
      <c r="H3" s="10" t="s">
        <v>17</v>
      </c>
      <c r="I3" s="10" t="s">
        <v>26</v>
      </c>
      <c r="J3" s="8" t="s">
        <v>25</v>
      </c>
      <c r="K3" s="8" t="str">
        <f t="shared" si="0"/>
        <v>P-2002</v>
      </c>
      <c r="L3" s="8" t="s">
        <v>28</v>
      </c>
      <c r="M3" s="23">
        <v>305</v>
      </c>
      <c r="N3" s="10" t="s">
        <v>402</v>
      </c>
      <c r="O3" s="12" t="str">
        <f t="shared" si="1"/>
        <v>COP</v>
      </c>
    </row>
    <row r="4" spans="1:15">
      <c r="A4" s="7" t="s">
        <v>217</v>
      </c>
      <c r="B4" s="7" t="s">
        <v>40</v>
      </c>
      <c r="C4" s="7" t="s">
        <v>218</v>
      </c>
      <c r="D4" s="7" t="s">
        <v>14</v>
      </c>
      <c r="E4" s="8" t="s">
        <v>41</v>
      </c>
      <c r="F4" s="7" t="s">
        <v>37</v>
      </c>
      <c r="G4" s="9" t="s">
        <v>16</v>
      </c>
      <c r="H4" s="10" t="s">
        <v>17</v>
      </c>
      <c r="I4" s="10" t="s">
        <v>42</v>
      </c>
      <c r="J4" s="10" t="s">
        <v>15</v>
      </c>
      <c r="K4" s="8" t="str">
        <f t="shared" si="0"/>
        <v>P-2003</v>
      </c>
      <c r="L4" s="8" t="s">
        <v>28</v>
      </c>
      <c r="M4" s="23">
        <v>65</v>
      </c>
      <c r="N4" s="10" t="s">
        <v>216</v>
      </c>
      <c r="O4" s="12" t="str">
        <f t="shared" si="1"/>
        <v>COP</v>
      </c>
    </row>
    <row r="5" spans="1:15">
      <c r="A5" s="7" t="s">
        <v>217</v>
      </c>
      <c r="B5" s="7" t="s">
        <v>43</v>
      </c>
      <c r="C5" s="7" t="s">
        <v>218</v>
      </c>
      <c r="D5" s="7" t="s">
        <v>14</v>
      </c>
      <c r="E5" s="8" t="s">
        <v>44</v>
      </c>
      <c r="F5" s="7" t="s">
        <v>37</v>
      </c>
      <c r="G5" s="9" t="s">
        <v>16</v>
      </c>
      <c r="H5" s="10" t="s">
        <v>17</v>
      </c>
      <c r="I5" s="10" t="s">
        <v>42</v>
      </c>
      <c r="J5" s="10" t="s">
        <v>15</v>
      </c>
      <c r="K5" s="8" t="str">
        <f t="shared" si="0"/>
        <v>P-2004</v>
      </c>
      <c r="L5" s="8" t="s">
        <v>28</v>
      </c>
      <c r="M5" s="23">
        <v>305</v>
      </c>
      <c r="N5" s="10" t="s">
        <v>216</v>
      </c>
      <c r="O5" s="12" t="str">
        <f t="shared" si="1"/>
        <v>COP</v>
      </c>
    </row>
    <row r="6" spans="1:15">
      <c r="A6" s="7" t="s">
        <v>217</v>
      </c>
      <c r="B6" s="7" t="s">
        <v>45</v>
      </c>
      <c r="C6" s="7" t="s">
        <v>218</v>
      </c>
      <c r="D6" s="7" t="s">
        <v>14</v>
      </c>
      <c r="E6" s="8" t="s">
        <v>46</v>
      </c>
      <c r="F6" s="7" t="s">
        <v>37</v>
      </c>
      <c r="G6" s="9" t="s">
        <v>16</v>
      </c>
      <c r="H6" s="10" t="s">
        <v>17</v>
      </c>
      <c r="I6" s="10" t="s">
        <v>42</v>
      </c>
      <c r="J6" s="10" t="s">
        <v>15</v>
      </c>
      <c r="K6" s="8" t="str">
        <f t="shared" si="0"/>
        <v>P-2005</v>
      </c>
      <c r="L6" s="8" t="s">
        <v>28</v>
      </c>
      <c r="M6" s="23">
        <v>1100</v>
      </c>
      <c r="N6" s="10" t="s">
        <v>216</v>
      </c>
      <c r="O6" s="12" t="str">
        <f t="shared" si="1"/>
        <v>COP</v>
      </c>
    </row>
    <row r="7" spans="1:15">
      <c r="A7" s="7" t="s">
        <v>217</v>
      </c>
      <c r="B7" s="7" t="s">
        <v>47</v>
      </c>
      <c r="C7" s="7" t="s">
        <v>218</v>
      </c>
      <c r="D7" s="7" t="s">
        <v>14</v>
      </c>
      <c r="E7" s="8" t="s">
        <v>48</v>
      </c>
      <c r="F7" s="7" t="s">
        <v>37</v>
      </c>
      <c r="G7" s="9" t="s">
        <v>16</v>
      </c>
      <c r="H7" s="10" t="s">
        <v>17</v>
      </c>
      <c r="I7" s="10" t="s">
        <v>26</v>
      </c>
      <c r="J7" s="8" t="s">
        <v>25</v>
      </c>
      <c r="K7" s="8" t="str">
        <f t="shared" si="0"/>
        <v>P-2006</v>
      </c>
      <c r="L7" s="8" t="s">
        <v>28</v>
      </c>
      <c r="M7" s="23">
        <v>1100</v>
      </c>
      <c r="N7" s="10" t="s">
        <v>402</v>
      </c>
      <c r="O7" s="12" t="str">
        <f t="shared" si="1"/>
        <v>COP</v>
      </c>
    </row>
    <row r="8" spans="1:15">
      <c r="A8" s="7" t="s">
        <v>217</v>
      </c>
      <c r="B8" s="7" t="s">
        <v>49</v>
      </c>
      <c r="C8" s="7" t="s">
        <v>218</v>
      </c>
      <c r="D8" s="7" t="s">
        <v>14</v>
      </c>
      <c r="E8" s="8" t="s">
        <v>50</v>
      </c>
      <c r="F8" s="7" t="s">
        <v>37</v>
      </c>
      <c r="G8" s="9" t="s">
        <v>16</v>
      </c>
      <c r="H8" s="10" t="s">
        <v>17</v>
      </c>
      <c r="I8" s="10" t="s">
        <v>26</v>
      </c>
      <c r="J8" s="8" t="s">
        <v>25</v>
      </c>
      <c r="K8" s="8" t="str">
        <f t="shared" si="0"/>
        <v>P-2007</v>
      </c>
      <c r="L8" s="8" t="s">
        <v>28</v>
      </c>
      <c r="M8" s="23">
        <v>52</v>
      </c>
      <c r="N8" s="10" t="s">
        <v>402</v>
      </c>
      <c r="O8" s="12" t="str">
        <f t="shared" si="1"/>
        <v>COP</v>
      </c>
    </row>
    <row r="9" spans="1:15">
      <c r="A9" s="7" t="s">
        <v>217</v>
      </c>
      <c r="B9" s="7" t="s">
        <v>51</v>
      </c>
      <c r="C9" s="7" t="s">
        <v>218</v>
      </c>
      <c r="D9" s="7" t="s">
        <v>14</v>
      </c>
      <c r="E9" s="8" t="s">
        <v>52</v>
      </c>
      <c r="F9" s="7" t="s">
        <v>37</v>
      </c>
      <c r="G9" s="9" t="s">
        <v>16</v>
      </c>
      <c r="H9" s="10" t="s">
        <v>17</v>
      </c>
      <c r="I9" s="10" t="s">
        <v>42</v>
      </c>
      <c r="J9" s="10" t="s">
        <v>15</v>
      </c>
      <c r="K9" s="8" t="str">
        <f t="shared" si="0"/>
        <v>P-2008</v>
      </c>
      <c r="L9" s="8" t="s">
        <v>28</v>
      </c>
      <c r="M9" s="23">
        <v>52</v>
      </c>
      <c r="N9" s="10" t="s">
        <v>216</v>
      </c>
      <c r="O9" s="12" t="str">
        <f t="shared" si="1"/>
        <v>COP</v>
      </c>
    </row>
    <row r="10" spans="1:15">
      <c r="A10" s="7" t="s">
        <v>217</v>
      </c>
      <c r="B10" s="7" t="s">
        <v>53</v>
      </c>
      <c r="C10" s="7" t="s">
        <v>218</v>
      </c>
      <c r="D10" s="7" t="s">
        <v>14</v>
      </c>
      <c r="E10" s="8" t="s">
        <v>54</v>
      </c>
      <c r="F10" s="7" t="s">
        <v>37</v>
      </c>
      <c r="G10" s="8" t="s">
        <v>16</v>
      </c>
      <c r="H10" s="10" t="s">
        <v>17</v>
      </c>
      <c r="I10" s="10" t="s">
        <v>26</v>
      </c>
      <c r="J10" s="8" t="s">
        <v>25</v>
      </c>
      <c r="K10" s="8" t="str">
        <f t="shared" si="0"/>
        <v>P-3001</v>
      </c>
      <c r="L10" s="8" t="s">
        <v>28</v>
      </c>
      <c r="M10" s="23">
        <v>350</v>
      </c>
      <c r="N10" s="10" t="s">
        <v>402</v>
      </c>
      <c r="O10" s="12" t="str">
        <f t="shared" si="1"/>
        <v>COP</v>
      </c>
    </row>
    <row r="11" spans="1:15">
      <c r="A11" s="7" t="s">
        <v>217</v>
      </c>
      <c r="B11" s="7" t="s">
        <v>403</v>
      </c>
      <c r="C11" s="7" t="s">
        <v>218</v>
      </c>
      <c r="D11" s="7" t="s">
        <v>14</v>
      </c>
      <c r="E11" s="7" t="s">
        <v>404</v>
      </c>
      <c r="F11" s="7" t="s">
        <v>37</v>
      </c>
      <c r="G11" s="9" t="s">
        <v>16</v>
      </c>
      <c r="H11" s="10" t="s">
        <v>17</v>
      </c>
      <c r="I11" s="10" t="s">
        <v>26</v>
      </c>
      <c r="J11" s="8" t="s">
        <v>25</v>
      </c>
      <c r="K11" s="8" t="str">
        <f t="shared" si="0"/>
        <v>P-3001-A</v>
      </c>
      <c r="L11" s="8" t="s">
        <v>28</v>
      </c>
      <c r="M11" s="23">
        <v>77</v>
      </c>
      <c r="N11" s="10" t="s">
        <v>402</v>
      </c>
      <c r="O11" s="12" t="s">
        <v>14</v>
      </c>
    </row>
    <row r="12" spans="1:15">
      <c r="A12" s="7" t="s">
        <v>217</v>
      </c>
      <c r="B12" s="7" t="s">
        <v>548</v>
      </c>
      <c r="C12" s="7" t="s">
        <v>218</v>
      </c>
      <c r="D12" s="7" t="s">
        <v>14</v>
      </c>
      <c r="E12" s="7" t="s">
        <v>549</v>
      </c>
      <c r="F12" s="7" t="s">
        <v>37</v>
      </c>
      <c r="G12" s="8" t="s">
        <v>16</v>
      </c>
      <c r="H12" s="10" t="s">
        <v>17</v>
      </c>
      <c r="I12" s="10" t="s">
        <v>26</v>
      </c>
      <c r="J12" s="8" t="s">
        <v>25</v>
      </c>
      <c r="K12" s="8" t="str">
        <f t="shared" si="0"/>
        <v>P-3001 - B</v>
      </c>
      <c r="L12" s="8" t="s">
        <v>28</v>
      </c>
      <c r="M12" s="23">
        <v>80</v>
      </c>
      <c r="N12" s="10" t="s">
        <v>402</v>
      </c>
      <c r="O12" s="12" t="str">
        <f t="shared" ref="O12:O27" si="2">D12</f>
        <v>COP</v>
      </c>
    </row>
    <row r="13" spans="1:15">
      <c r="A13" s="7" t="s">
        <v>217</v>
      </c>
      <c r="B13" s="7" t="s">
        <v>550</v>
      </c>
      <c r="C13" s="7" t="s">
        <v>218</v>
      </c>
      <c r="D13" s="7" t="s">
        <v>14</v>
      </c>
      <c r="E13" s="7" t="s">
        <v>551</v>
      </c>
      <c r="F13" s="7" t="s">
        <v>37</v>
      </c>
      <c r="G13" s="8" t="s">
        <v>16</v>
      </c>
      <c r="H13" s="10" t="s">
        <v>17</v>
      </c>
      <c r="I13" s="10" t="s">
        <v>26</v>
      </c>
      <c r="J13" s="8" t="s">
        <v>37</v>
      </c>
      <c r="K13" s="8" t="str">
        <f t="shared" si="0"/>
        <v>P-3001 - C</v>
      </c>
      <c r="L13" s="8" t="s">
        <v>28</v>
      </c>
      <c r="M13" s="23">
        <v>63</v>
      </c>
      <c r="N13" s="10" t="s">
        <v>402</v>
      </c>
      <c r="O13" s="12" t="str">
        <f t="shared" si="2"/>
        <v>COP</v>
      </c>
    </row>
    <row r="14" spans="1:15">
      <c r="A14" s="7" t="s">
        <v>217</v>
      </c>
      <c r="B14" s="7" t="s">
        <v>552</v>
      </c>
      <c r="C14" s="7" t="s">
        <v>218</v>
      </c>
      <c r="D14" s="7" t="s">
        <v>14</v>
      </c>
      <c r="E14" s="7" t="s">
        <v>553</v>
      </c>
      <c r="F14" s="7" t="s">
        <v>37</v>
      </c>
      <c r="G14" s="8" t="s">
        <v>16</v>
      </c>
      <c r="H14" s="10" t="s">
        <v>17</v>
      </c>
      <c r="I14" s="10" t="s">
        <v>26</v>
      </c>
      <c r="J14" s="8" t="s">
        <v>37</v>
      </c>
      <c r="K14" s="8" t="str">
        <f t="shared" si="0"/>
        <v>P-3001 - D</v>
      </c>
      <c r="L14" s="8" t="s">
        <v>28</v>
      </c>
      <c r="M14" s="23">
        <v>1959</v>
      </c>
      <c r="N14" s="10" t="s">
        <v>402</v>
      </c>
      <c r="O14" s="12" t="str">
        <f t="shared" si="2"/>
        <v>COP</v>
      </c>
    </row>
    <row r="15" spans="1:15">
      <c r="A15" s="7" t="s">
        <v>217</v>
      </c>
      <c r="B15" s="7" t="s">
        <v>554</v>
      </c>
      <c r="C15" s="7" t="s">
        <v>218</v>
      </c>
      <c r="D15" s="7" t="s">
        <v>14</v>
      </c>
      <c r="E15" s="7" t="s">
        <v>555</v>
      </c>
      <c r="F15" s="7" t="s">
        <v>37</v>
      </c>
      <c r="G15" s="8" t="s">
        <v>16</v>
      </c>
      <c r="H15" s="10" t="s">
        <v>17</v>
      </c>
      <c r="I15" s="10" t="s">
        <v>26</v>
      </c>
      <c r="J15" s="8" t="s">
        <v>25</v>
      </c>
      <c r="K15" s="8" t="str">
        <f t="shared" si="0"/>
        <v>P-3001 - E</v>
      </c>
      <c r="L15" s="8" t="s">
        <v>28</v>
      </c>
      <c r="M15" s="23">
        <v>5000</v>
      </c>
      <c r="N15" s="10" t="s">
        <v>402</v>
      </c>
      <c r="O15" s="12" t="str">
        <f t="shared" si="2"/>
        <v>COP</v>
      </c>
    </row>
    <row r="16" spans="1:15">
      <c r="A16" s="7" t="s">
        <v>217</v>
      </c>
      <c r="B16" s="7" t="s">
        <v>55</v>
      </c>
      <c r="C16" s="7" t="s">
        <v>218</v>
      </c>
      <c r="D16" s="7" t="s">
        <v>14</v>
      </c>
      <c r="E16" s="7" t="s">
        <v>56</v>
      </c>
      <c r="F16" s="7" t="s">
        <v>37</v>
      </c>
      <c r="G16" s="8" t="s">
        <v>16</v>
      </c>
      <c r="H16" s="10" t="s">
        <v>17</v>
      </c>
      <c r="I16" s="10" t="s">
        <v>26</v>
      </c>
      <c r="J16" s="8" t="s">
        <v>25</v>
      </c>
      <c r="K16" s="8" t="str">
        <f t="shared" si="0"/>
        <v>P-3002</v>
      </c>
      <c r="L16" s="8" t="s">
        <v>28</v>
      </c>
      <c r="M16" s="23">
        <v>65</v>
      </c>
      <c r="N16" s="10" t="s">
        <v>402</v>
      </c>
      <c r="O16" s="12" t="str">
        <f t="shared" si="2"/>
        <v>COP</v>
      </c>
    </row>
    <row r="17" spans="1:15">
      <c r="A17" s="7" t="s">
        <v>217</v>
      </c>
      <c r="B17" s="7" t="s">
        <v>57</v>
      </c>
      <c r="C17" s="7" t="s">
        <v>218</v>
      </c>
      <c r="D17" s="7" t="s">
        <v>14</v>
      </c>
      <c r="E17" s="7" t="s">
        <v>58</v>
      </c>
      <c r="F17" s="7" t="s">
        <v>37</v>
      </c>
      <c r="G17" s="8" t="s">
        <v>16</v>
      </c>
      <c r="H17" s="10" t="s">
        <v>17</v>
      </c>
      <c r="I17" s="10" t="s">
        <v>26</v>
      </c>
      <c r="J17" s="8" t="s">
        <v>25</v>
      </c>
      <c r="K17" s="8" t="str">
        <f t="shared" si="0"/>
        <v>P-3003</v>
      </c>
      <c r="L17" s="8" t="s">
        <v>28</v>
      </c>
      <c r="M17" s="23">
        <v>1200</v>
      </c>
      <c r="N17" s="10" t="s">
        <v>402</v>
      </c>
      <c r="O17" s="12" t="str">
        <f t="shared" si="2"/>
        <v>COP</v>
      </c>
    </row>
    <row r="18" spans="1:15">
      <c r="A18" s="7" t="s">
        <v>217</v>
      </c>
      <c r="B18" s="7" t="s">
        <v>59</v>
      </c>
      <c r="C18" s="7" t="s">
        <v>218</v>
      </c>
      <c r="D18" s="7" t="s">
        <v>14</v>
      </c>
      <c r="E18" s="7" t="s">
        <v>556</v>
      </c>
      <c r="F18" s="7" t="s">
        <v>60</v>
      </c>
      <c r="G18" s="8" t="s">
        <v>16</v>
      </c>
      <c r="H18" s="10" t="s">
        <v>17</v>
      </c>
      <c r="I18" s="10" t="s">
        <v>26</v>
      </c>
      <c r="J18" s="8" t="s">
        <v>25</v>
      </c>
      <c r="K18" s="8" t="str">
        <f t="shared" si="0"/>
        <v>P-6001</v>
      </c>
      <c r="L18" s="8" t="s">
        <v>28</v>
      </c>
      <c r="M18" s="23">
        <v>85000</v>
      </c>
      <c r="N18" s="10" t="s">
        <v>402</v>
      </c>
      <c r="O18" s="12" t="str">
        <f t="shared" si="2"/>
        <v>COP</v>
      </c>
    </row>
    <row r="19" spans="1:15">
      <c r="A19" s="7" t="s">
        <v>217</v>
      </c>
      <c r="B19" s="7" t="s">
        <v>61</v>
      </c>
      <c r="C19" s="7" t="s">
        <v>218</v>
      </c>
      <c r="D19" s="7" t="s">
        <v>14</v>
      </c>
      <c r="E19" s="7" t="s">
        <v>556</v>
      </c>
      <c r="F19" s="7" t="s">
        <v>62</v>
      </c>
      <c r="G19" s="8" t="s">
        <v>16</v>
      </c>
      <c r="H19" s="10" t="s">
        <v>17</v>
      </c>
      <c r="I19" s="10" t="s">
        <v>26</v>
      </c>
      <c r="J19" s="8" t="s">
        <v>25</v>
      </c>
      <c r="K19" s="8" t="str">
        <f t="shared" si="0"/>
        <v>P-6002</v>
      </c>
      <c r="L19" s="8" t="s">
        <v>28</v>
      </c>
      <c r="M19" s="23">
        <v>918000</v>
      </c>
      <c r="N19" s="10" t="s">
        <v>402</v>
      </c>
      <c r="O19" s="12" t="str">
        <f t="shared" si="2"/>
        <v>COP</v>
      </c>
    </row>
    <row r="20" spans="1:15">
      <c r="A20" s="7" t="s">
        <v>217</v>
      </c>
      <c r="B20" s="7" t="s">
        <v>557</v>
      </c>
      <c r="C20" s="7" t="s">
        <v>218</v>
      </c>
      <c r="D20" s="7" t="s">
        <v>14</v>
      </c>
      <c r="E20" s="7" t="s">
        <v>558</v>
      </c>
      <c r="F20" s="7" t="s">
        <v>64</v>
      </c>
      <c r="G20" s="8" t="s">
        <v>16</v>
      </c>
      <c r="H20" s="10" t="s">
        <v>17</v>
      </c>
      <c r="I20" s="10" t="s">
        <v>26</v>
      </c>
      <c r="J20" s="8" t="s">
        <v>25</v>
      </c>
      <c r="K20" s="8" t="str">
        <f t="shared" si="0"/>
        <v>P-6002 - A</v>
      </c>
      <c r="L20" s="8" t="s">
        <v>28</v>
      </c>
      <c r="M20" s="23">
        <v>12000</v>
      </c>
      <c r="N20" s="10" t="s">
        <v>402</v>
      </c>
      <c r="O20" s="12" t="str">
        <f t="shared" si="2"/>
        <v>COP</v>
      </c>
    </row>
    <row r="21" spans="1:15">
      <c r="A21" s="7" t="s">
        <v>217</v>
      </c>
      <c r="B21" s="7" t="s">
        <v>559</v>
      </c>
      <c r="C21" s="7" t="s">
        <v>218</v>
      </c>
      <c r="D21" s="7" t="s">
        <v>14</v>
      </c>
      <c r="E21" s="7" t="s">
        <v>560</v>
      </c>
      <c r="F21" s="7" t="s">
        <v>64</v>
      </c>
      <c r="G21" s="8" t="s">
        <v>16</v>
      </c>
      <c r="H21" s="10" t="s">
        <v>17</v>
      </c>
      <c r="I21" s="10" t="s">
        <v>26</v>
      </c>
      <c r="J21" s="8" t="s">
        <v>25</v>
      </c>
      <c r="K21" s="8" t="str">
        <f t="shared" si="0"/>
        <v xml:space="preserve">P-6002 - B </v>
      </c>
      <c r="L21" s="8" t="s">
        <v>28</v>
      </c>
      <c r="M21" s="23">
        <v>15000</v>
      </c>
      <c r="N21" s="10" t="s">
        <v>402</v>
      </c>
      <c r="O21" s="12" t="str">
        <f t="shared" si="2"/>
        <v>COP</v>
      </c>
    </row>
    <row r="22" spans="1:15">
      <c r="A22" s="7" t="s">
        <v>217</v>
      </c>
      <c r="B22" s="7" t="s">
        <v>561</v>
      </c>
      <c r="C22" s="7" t="s">
        <v>218</v>
      </c>
      <c r="D22" s="7" t="s">
        <v>14</v>
      </c>
      <c r="E22" s="7" t="s">
        <v>562</v>
      </c>
      <c r="F22" s="7" t="s">
        <v>64</v>
      </c>
      <c r="G22" s="8" t="s">
        <v>16</v>
      </c>
      <c r="H22" s="10" t="s">
        <v>17</v>
      </c>
      <c r="I22" s="10" t="s">
        <v>26</v>
      </c>
      <c r="J22" s="8" t="s">
        <v>25</v>
      </c>
      <c r="K22" s="8" t="str">
        <f t="shared" si="0"/>
        <v>P-6002 - C</v>
      </c>
      <c r="L22" s="8" t="s">
        <v>28</v>
      </c>
      <c r="M22" s="23">
        <v>19000</v>
      </c>
      <c r="N22" s="10" t="s">
        <v>402</v>
      </c>
      <c r="O22" s="12" t="str">
        <f t="shared" si="2"/>
        <v>COP</v>
      </c>
    </row>
    <row r="23" spans="1:15">
      <c r="A23" s="7" t="s">
        <v>217</v>
      </c>
      <c r="B23" s="7" t="s">
        <v>63</v>
      </c>
      <c r="C23" s="7" t="s">
        <v>218</v>
      </c>
      <c r="D23" s="7" t="s">
        <v>14</v>
      </c>
      <c r="E23" s="7" t="s">
        <v>405</v>
      </c>
      <c r="F23" s="7" t="s">
        <v>64</v>
      </c>
      <c r="G23" s="8" t="s">
        <v>16</v>
      </c>
      <c r="H23" s="10" t="s">
        <v>17</v>
      </c>
      <c r="I23" s="10" t="s">
        <v>26</v>
      </c>
      <c r="J23" s="8" t="s">
        <v>25</v>
      </c>
      <c r="K23" s="8" t="str">
        <f t="shared" si="0"/>
        <v>P-4001</v>
      </c>
      <c r="L23" s="8" t="s">
        <v>28</v>
      </c>
      <c r="M23" s="23">
        <v>29165142.859999999</v>
      </c>
      <c r="N23" s="10" t="s">
        <v>402</v>
      </c>
      <c r="O23" s="12" t="str">
        <f t="shared" si="2"/>
        <v>COP</v>
      </c>
    </row>
    <row r="24" spans="1:15">
      <c r="A24" s="7" t="s">
        <v>217</v>
      </c>
      <c r="B24" s="7" t="s">
        <v>65</v>
      </c>
      <c r="C24" s="7" t="s">
        <v>218</v>
      </c>
      <c r="D24" s="7" t="s">
        <v>14</v>
      </c>
      <c r="E24" s="7" t="s">
        <v>406</v>
      </c>
      <c r="F24" s="7" t="s">
        <v>64</v>
      </c>
      <c r="G24" s="8" t="s">
        <v>16</v>
      </c>
      <c r="H24" s="10" t="s">
        <v>17</v>
      </c>
      <c r="I24" s="10" t="s">
        <v>26</v>
      </c>
      <c r="J24" s="8" t="s">
        <v>25</v>
      </c>
      <c r="K24" s="8" t="str">
        <f t="shared" si="0"/>
        <v>P-4002</v>
      </c>
      <c r="L24" s="8" t="s">
        <v>28</v>
      </c>
      <c r="M24" s="23">
        <v>54330285.710000001</v>
      </c>
      <c r="N24" s="10" t="s">
        <v>402</v>
      </c>
      <c r="O24" s="12" t="str">
        <f t="shared" si="2"/>
        <v>COP</v>
      </c>
    </row>
    <row r="25" spans="1:15">
      <c r="A25" s="7" t="s">
        <v>217</v>
      </c>
      <c r="B25" s="7" t="s">
        <v>66</v>
      </c>
      <c r="C25" s="7" t="s">
        <v>218</v>
      </c>
      <c r="D25" s="7" t="s">
        <v>14</v>
      </c>
      <c r="E25" s="7" t="s">
        <v>407</v>
      </c>
      <c r="F25" s="7" t="s">
        <v>64</v>
      </c>
      <c r="G25" s="8" t="s">
        <v>16</v>
      </c>
      <c r="H25" s="10" t="s">
        <v>17</v>
      </c>
      <c r="I25" s="10" t="s">
        <v>26</v>
      </c>
      <c r="J25" s="8" t="s">
        <v>25</v>
      </c>
      <c r="K25" s="8" t="str">
        <f t="shared" si="0"/>
        <v>P-4003</v>
      </c>
      <c r="L25" s="8" t="s">
        <v>28</v>
      </c>
      <c r="M25" s="23">
        <v>87495428.569999993</v>
      </c>
      <c r="N25" s="10" t="s">
        <v>402</v>
      </c>
      <c r="O25" s="12" t="str">
        <f t="shared" si="2"/>
        <v>COP</v>
      </c>
    </row>
    <row r="26" spans="1:15">
      <c r="A26" s="7" t="s">
        <v>217</v>
      </c>
      <c r="B26" s="7" t="s">
        <v>67</v>
      </c>
      <c r="C26" s="7" t="s">
        <v>218</v>
      </c>
      <c r="D26" s="7" t="s">
        <v>14</v>
      </c>
      <c r="E26" s="7" t="s">
        <v>563</v>
      </c>
      <c r="F26" s="7" t="s">
        <v>37</v>
      </c>
      <c r="G26" s="8" t="s">
        <v>16</v>
      </c>
      <c r="H26" s="10" t="s">
        <v>17</v>
      </c>
      <c r="I26" s="10" t="s">
        <v>26</v>
      </c>
      <c r="J26" s="8" t="s">
        <v>25</v>
      </c>
      <c r="K26" s="8" t="str">
        <f t="shared" si="0"/>
        <v>P-4004</v>
      </c>
      <c r="L26" s="8" t="s">
        <v>28</v>
      </c>
      <c r="M26" s="23">
        <v>0.9</v>
      </c>
      <c r="N26" s="10" t="s">
        <v>402</v>
      </c>
      <c r="O26" s="12" t="str">
        <f t="shared" si="2"/>
        <v>COP</v>
      </c>
    </row>
    <row r="27" spans="1:15">
      <c r="A27" s="7" t="s">
        <v>217</v>
      </c>
      <c r="B27" s="7" t="s">
        <v>408</v>
      </c>
      <c r="C27" s="7" t="s">
        <v>218</v>
      </c>
      <c r="D27" s="7" t="s">
        <v>14</v>
      </c>
      <c r="E27" s="7" t="s">
        <v>409</v>
      </c>
      <c r="F27" s="7" t="s">
        <v>37</v>
      </c>
      <c r="G27" s="8" t="s">
        <v>16</v>
      </c>
      <c r="H27" s="10" t="s">
        <v>17</v>
      </c>
      <c r="I27" s="10" t="s">
        <v>26</v>
      </c>
      <c r="J27" s="8" t="s">
        <v>25</v>
      </c>
      <c r="K27" s="8" t="str">
        <f t="shared" si="0"/>
        <v>P-4004-A</v>
      </c>
      <c r="L27" s="8" t="s">
        <v>28</v>
      </c>
      <c r="M27" s="23">
        <v>700</v>
      </c>
      <c r="N27" s="10" t="s">
        <v>402</v>
      </c>
      <c r="O27" s="12" t="str">
        <f t="shared" si="2"/>
        <v>COP</v>
      </c>
    </row>
    <row r="28" spans="1:15">
      <c r="A28" s="7" t="s">
        <v>217</v>
      </c>
      <c r="B28" s="7" t="s">
        <v>68</v>
      </c>
      <c r="C28" s="7" t="s">
        <v>218</v>
      </c>
      <c r="D28" s="7" t="s">
        <v>14</v>
      </c>
      <c r="E28" s="7" t="s">
        <v>564</v>
      </c>
      <c r="F28" s="7" t="s">
        <v>37</v>
      </c>
      <c r="G28" s="8" t="s">
        <v>16</v>
      </c>
      <c r="H28" s="10" t="s">
        <v>17</v>
      </c>
      <c r="I28" s="10" t="s">
        <v>26</v>
      </c>
      <c r="J28" s="8" t="s">
        <v>25</v>
      </c>
      <c r="K28" s="8" t="str">
        <f t="shared" si="0"/>
        <v>P-4005</v>
      </c>
      <c r="L28" s="8" t="s">
        <v>28</v>
      </c>
      <c r="M28" s="23">
        <v>12000</v>
      </c>
      <c r="N28" s="10" t="s">
        <v>402</v>
      </c>
      <c r="O28" s="12" t="str">
        <f t="shared" ref="O28:O91" si="3">D28</f>
        <v>COP</v>
      </c>
    </row>
    <row r="29" spans="1:15">
      <c r="A29" s="7" t="s">
        <v>217</v>
      </c>
      <c r="B29" s="7" t="s">
        <v>69</v>
      </c>
      <c r="C29" s="7" t="s">
        <v>218</v>
      </c>
      <c r="D29" s="7" t="s">
        <v>14</v>
      </c>
      <c r="E29" s="7" t="s">
        <v>565</v>
      </c>
      <c r="F29" s="7" t="s">
        <v>64</v>
      </c>
      <c r="G29" s="8" t="s">
        <v>16</v>
      </c>
      <c r="H29" s="10" t="s">
        <v>70</v>
      </c>
      <c r="I29" s="10" t="s">
        <v>26</v>
      </c>
      <c r="J29" s="8" t="s">
        <v>25</v>
      </c>
      <c r="K29" s="8" t="str">
        <f t="shared" si="0"/>
        <v>P-4006</v>
      </c>
      <c r="L29" s="8" t="s">
        <v>28</v>
      </c>
      <c r="M29" s="23">
        <v>72000000</v>
      </c>
      <c r="N29" s="10" t="s">
        <v>402</v>
      </c>
      <c r="O29" s="12" t="str">
        <f t="shared" si="3"/>
        <v>COP</v>
      </c>
    </row>
    <row r="30" spans="1:15">
      <c r="A30" s="7" t="s">
        <v>217</v>
      </c>
      <c r="B30" s="7" t="s">
        <v>71</v>
      </c>
      <c r="C30" s="7" t="s">
        <v>218</v>
      </c>
      <c r="D30" s="7" t="s">
        <v>14</v>
      </c>
      <c r="E30" s="7" t="s">
        <v>565</v>
      </c>
      <c r="F30" s="7" t="s">
        <v>64</v>
      </c>
      <c r="G30" s="8" t="s">
        <v>16</v>
      </c>
      <c r="H30" s="10" t="s">
        <v>72</v>
      </c>
      <c r="I30" s="10" t="s">
        <v>26</v>
      </c>
      <c r="J30" s="8" t="s">
        <v>25</v>
      </c>
      <c r="K30" s="8" t="str">
        <f t="shared" si="0"/>
        <v>P-4007</v>
      </c>
      <c r="L30" s="8" t="s">
        <v>28</v>
      </c>
      <c r="M30" s="23">
        <v>20571428.57</v>
      </c>
      <c r="N30" s="10" t="s">
        <v>402</v>
      </c>
      <c r="O30" s="12" t="str">
        <f t="shared" si="3"/>
        <v>COP</v>
      </c>
    </row>
    <row r="31" spans="1:15">
      <c r="A31" s="7" t="s">
        <v>217</v>
      </c>
      <c r="B31" s="7" t="s">
        <v>73</v>
      </c>
      <c r="C31" s="7" t="s">
        <v>218</v>
      </c>
      <c r="D31" s="7" t="s">
        <v>14</v>
      </c>
      <c r="E31" s="7" t="s">
        <v>565</v>
      </c>
      <c r="F31" s="7" t="s">
        <v>64</v>
      </c>
      <c r="G31" s="8" t="s">
        <v>16</v>
      </c>
      <c r="H31" s="10" t="s">
        <v>74</v>
      </c>
      <c r="I31" s="10" t="s">
        <v>26</v>
      </c>
      <c r="J31" s="8" t="s">
        <v>25</v>
      </c>
      <c r="K31" s="8" t="str">
        <f t="shared" si="0"/>
        <v>P-4008</v>
      </c>
      <c r="L31" s="8" t="s">
        <v>28</v>
      </c>
      <c r="M31" s="23">
        <v>72000000</v>
      </c>
      <c r="N31" s="10" t="s">
        <v>402</v>
      </c>
      <c r="O31" s="12" t="str">
        <f t="shared" si="3"/>
        <v>COP</v>
      </c>
    </row>
    <row r="32" spans="1:15">
      <c r="A32" s="7" t="s">
        <v>217</v>
      </c>
      <c r="B32" s="7" t="s">
        <v>75</v>
      </c>
      <c r="C32" s="7" t="s">
        <v>218</v>
      </c>
      <c r="D32" s="7" t="s">
        <v>14</v>
      </c>
      <c r="E32" s="7" t="s">
        <v>405</v>
      </c>
      <c r="F32" s="7" t="s">
        <v>76</v>
      </c>
      <c r="G32" s="8" t="s">
        <v>16</v>
      </c>
      <c r="H32" s="10" t="s">
        <v>17</v>
      </c>
      <c r="I32" s="10" t="s">
        <v>26</v>
      </c>
      <c r="J32" s="8" t="s">
        <v>25</v>
      </c>
      <c r="K32" s="8" t="str">
        <f t="shared" si="0"/>
        <v>P-4009</v>
      </c>
      <c r="L32" s="8" t="s">
        <v>23</v>
      </c>
      <c r="M32" s="23">
        <v>204156000</v>
      </c>
      <c r="N32" s="10" t="s">
        <v>402</v>
      </c>
      <c r="O32" s="12" t="str">
        <f t="shared" si="3"/>
        <v>COP</v>
      </c>
    </row>
    <row r="33" spans="1:15">
      <c r="A33" s="7" t="s">
        <v>217</v>
      </c>
      <c r="B33" s="7" t="s">
        <v>77</v>
      </c>
      <c r="C33" s="7" t="s">
        <v>218</v>
      </c>
      <c r="D33" s="7" t="s">
        <v>14</v>
      </c>
      <c r="E33" s="7" t="s">
        <v>406</v>
      </c>
      <c r="F33" s="7" t="s">
        <v>76</v>
      </c>
      <c r="G33" s="8" t="s">
        <v>16</v>
      </c>
      <c r="H33" s="10" t="s">
        <v>17</v>
      </c>
      <c r="I33" s="10" t="s">
        <v>26</v>
      </c>
      <c r="J33" s="8" t="s">
        <v>25</v>
      </c>
      <c r="K33" s="8" t="str">
        <f t="shared" si="0"/>
        <v>P-4010</v>
      </c>
      <c r="L33" s="8" t="s">
        <v>23</v>
      </c>
      <c r="M33" s="23">
        <v>380312000</v>
      </c>
      <c r="N33" s="10" t="s">
        <v>402</v>
      </c>
      <c r="O33" s="12" t="str">
        <f t="shared" si="3"/>
        <v>COP</v>
      </c>
    </row>
    <row r="34" spans="1:15">
      <c r="A34" s="7" t="s">
        <v>217</v>
      </c>
      <c r="B34" s="7" t="s">
        <v>78</v>
      </c>
      <c r="C34" s="7" t="s">
        <v>218</v>
      </c>
      <c r="D34" s="7" t="s">
        <v>14</v>
      </c>
      <c r="E34" s="7" t="s">
        <v>407</v>
      </c>
      <c r="F34" s="7" t="s">
        <v>76</v>
      </c>
      <c r="G34" s="8" t="s">
        <v>16</v>
      </c>
      <c r="H34" s="10" t="s">
        <v>17</v>
      </c>
      <c r="I34" s="10" t="s">
        <v>26</v>
      </c>
      <c r="J34" s="8" t="s">
        <v>25</v>
      </c>
      <c r="K34" s="8" t="str">
        <f t="shared" si="0"/>
        <v>P-4011</v>
      </c>
      <c r="L34" s="8" t="s">
        <v>23</v>
      </c>
      <c r="M34" s="23">
        <v>612468000</v>
      </c>
      <c r="N34" s="10" t="s">
        <v>402</v>
      </c>
      <c r="O34" s="12" t="str">
        <f t="shared" si="3"/>
        <v>COP</v>
      </c>
    </row>
    <row r="35" spans="1:15">
      <c r="A35" s="7" t="s">
        <v>217</v>
      </c>
      <c r="B35" s="7" t="s">
        <v>79</v>
      </c>
      <c r="C35" s="7" t="s">
        <v>218</v>
      </c>
      <c r="D35" s="7" t="s">
        <v>14</v>
      </c>
      <c r="E35" s="7" t="s">
        <v>566</v>
      </c>
      <c r="F35" s="7" t="s">
        <v>76</v>
      </c>
      <c r="G35" s="8" t="s">
        <v>16</v>
      </c>
      <c r="H35" s="10" t="s">
        <v>70</v>
      </c>
      <c r="I35" s="10" t="s">
        <v>26</v>
      </c>
      <c r="J35" s="8" t="s">
        <v>25</v>
      </c>
      <c r="K35" s="8" t="str">
        <f t="shared" si="0"/>
        <v>P-4012</v>
      </c>
      <c r="L35" s="8" t="s">
        <v>23</v>
      </c>
      <c r="M35" s="23">
        <v>504000000</v>
      </c>
      <c r="N35" s="10" t="s">
        <v>402</v>
      </c>
      <c r="O35" s="12" t="str">
        <f t="shared" si="3"/>
        <v>COP</v>
      </c>
    </row>
    <row r="36" spans="1:15">
      <c r="A36" s="7" t="s">
        <v>217</v>
      </c>
      <c r="B36" s="7" t="s">
        <v>80</v>
      </c>
      <c r="C36" s="7" t="s">
        <v>218</v>
      </c>
      <c r="D36" s="7" t="s">
        <v>14</v>
      </c>
      <c r="E36" s="7" t="s">
        <v>566</v>
      </c>
      <c r="F36" s="7" t="s">
        <v>76</v>
      </c>
      <c r="G36" s="8" t="s">
        <v>16</v>
      </c>
      <c r="H36" s="10" t="s">
        <v>72</v>
      </c>
      <c r="I36" s="10" t="s">
        <v>26</v>
      </c>
      <c r="J36" s="8" t="s">
        <v>25</v>
      </c>
      <c r="K36" s="8" t="str">
        <f t="shared" si="0"/>
        <v>P-4013</v>
      </c>
      <c r="L36" s="8" t="s">
        <v>23</v>
      </c>
      <c r="M36" s="23">
        <v>144000000</v>
      </c>
      <c r="N36" s="10" t="s">
        <v>402</v>
      </c>
      <c r="O36" s="12" t="str">
        <f t="shared" si="3"/>
        <v>COP</v>
      </c>
    </row>
    <row r="37" spans="1:15">
      <c r="A37" s="7" t="s">
        <v>217</v>
      </c>
      <c r="B37" s="7" t="s">
        <v>81</v>
      </c>
      <c r="C37" s="7" t="s">
        <v>218</v>
      </c>
      <c r="D37" s="7" t="s">
        <v>14</v>
      </c>
      <c r="E37" s="7" t="s">
        <v>566</v>
      </c>
      <c r="F37" s="7" t="s">
        <v>76</v>
      </c>
      <c r="G37" s="8" t="s">
        <v>16</v>
      </c>
      <c r="H37" s="10" t="s">
        <v>74</v>
      </c>
      <c r="I37" s="10" t="s">
        <v>26</v>
      </c>
      <c r="J37" s="8" t="s">
        <v>25</v>
      </c>
      <c r="K37" s="8" t="str">
        <f t="shared" si="0"/>
        <v>P-4014</v>
      </c>
      <c r="L37" s="8" t="s">
        <v>23</v>
      </c>
      <c r="M37" s="23">
        <v>504000000</v>
      </c>
      <c r="N37" s="10" t="s">
        <v>402</v>
      </c>
      <c r="O37" s="12" t="str">
        <f t="shared" si="3"/>
        <v>COP</v>
      </c>
    </row>
    <row r="38" spans="1:15">
      <c r="A38" s="7" t="s">
        <v>217</v>
      </c>
      <c r="B38" s="7" t="s">
        <v>410</v>
      </c>
      <c r="C38" s="7" t="s">
        <v>218</v>
      </c>
      <c r="D38" s="7" t="s">
        <v>14</v>
      </c>
      <c r="E38" s="7" t="s">
        <v>411</v>
      </c>
      <c r="F38" s="7" t="s">
        <v>76</v>
      </c>
      <c r="G38" s="8" t="s">
        <v>16</v>
      </c>
      <c r="H38" s="10" t="s">
        <v>17</v>
      </c>
      <c r="I38" s="10" t="s">
        <v>26</v>
      </c>
      <c r="J38" s="8" t="s">
        <v>25</v>
      </c>
      <c r="K38" s="8" t="str">
        <f t="shared" si="0"/>
        <v>P-4014-A</v>
      </c>
      <c r="L38" s="8" t="s">
        <v>23</v>
      </c>
      <c r="M38" s="23">
        <v>797790000</v>
      </c>
      <c r="N38" s="10" t="s">
        <v>402</v>
      </c>
      <c r="O38" s="12" t="str">
        <f t="shared" si="3"/>
        <v>COP</v>
      </c>
    </row>
    <row r="39" spans="1:15">
      <c r="A39" s="7" t="s">
        <v>217</v>
      </c>
      <c r="B39" s="7" t="s">
        <v>412</v>
      </c>
      <c r="C39" s="7" t="s">
        <v>218</v>
      </c>
      <c r="D39" s="7" t="s">
        <v>14</v>
      </c>
      <c r="E39" s="7" t="s">
        <v>567</v>
      </c>
      <c r="F39" s="7" t="s">
        <v>76</v>
      </c>
      <c r="G39" s="8" t="s">
        <v>16</v>
      </c>
      <c r="H39" s="10" t="s">
        <v>17</v>
      </c>
      <c r="I39" s="10" t="s">
        <v>26</v>
      </c>
      <c r="J39" s="8" t="s">
        <v>25</v>
      </c>
      <c r="K39" s="8" t="str">
        <f t="shared" si="0"/>
        <v>P-4014-B</v>
      </c>
      <c r="L39" s="8" t="s">
        <v>23</v>
      </c>
      <c r="M39" s="23">
        <v>80000000</v>
      </c>
      <c r="N39" s="10" t="s">
        <v>402</v>
      </c>
      <c r="O39" s="12" t="str">
        <f t="shared" si="3"/>
        <v>COP</v>
      </c>
    </row>
    <row r="40" spans="1:15">
      <c r="A40" s="7" t="s">
        <v>217</v>
      </c>
      <c r="B40" s="7" t="s">
        <v>413</v>
      </c>
      <c r="C40" s="7" t="s">
        <v>218</v>
      </c>
      <c r="D40" s="7" t="s">
        <v>14</v>
      </c>
      <c r="E40" s="7" t="s">
        <v>568</v>
      </c>
      <c r="F40" s="7" t="s">
        <v>76</v>
      </c>
      <c r="G40" s="8" t="s">
        <v>16</v>
      </c>
      <c r="H40" s="10" t="s">
        <v>17</v>
      </c>
      <c r="I40" s="10" t="s">
        <v>26</v>
      </c>
      <c r="J40" s="8" t="s">
        <v>25</v>
      </c>
      <c r="K40" s="8" t="str">
        <f t="shared" si="0"/>
        <v>P-4014-C</v>
      </c>
      <c r="L40" s="8" t="s">
        <v>23</v>
      </c>
      <c r="M40" s="23">
        <v>180000000</v>
      </c>
      <c r="N40" s="10" t="s">
        <v>402</v>
      </c>
      <c r="O40" s="12" t="str">
        <f t="shared" si="3"/>
        <v>COP</v>
      </c>
    </row>
    <row r="41" spans="1:15">
      <c r="A41" s="7" t="s">
        <v>217</v>
      </c>
      <c r="B41" s="7" t="s">
        <v>414</v>
      </c>
      <c r="C41" s="7" t="s">
        <v>218</v>
      </c>
      <c r="D41" s="7" t="s">
        <v>14</v>
      </c>
      <c r="E41" s="7" t="s">
        <v>569</v>
      </c>
      <c r="F41" s="7" t="s">
        <v>76</v>
      </c>
      <c r="G41" s="8" t="s">
        <v>16</v>
      </c>
      <c r="H41" s="10" t="s">
        <v>17</v>
      </c>
      <c r="I41" s="10" t="s">
        <v>26</v>
      </c>
      <c r="J41" s="8" t="s">
        <v>25</v>
      </c>
      <c r="K41" s="8" t="str">
        <f t="shared" si="0"/>
        <v>P-4014-D</v>
      </c>
      <c r="L41" s="8" t="s">
        <v>23</v>
      </c>
      <c r="M41" s="23">
        <v>360000000</v>
      </c>
      <c r="N41" s="10" t="s">
        <v>402</v>
      </c>
      <c r="O41" s="12" t="str">
        <f t="shared" si="3"/>
        <v>COP</v>
      </c>
    </row>
    <row r="42" spans="1:15">
      <c r="A42" s="7" t="s">
        <v>217</v>
      </c>
      <c r="B42" s="7" t="s">
        <v>415</v>
      </c>
      <c r="C42" s="7" t="s">
        <v>218</v>
      </c>
      <c r="D42" s="7" t="s">
        <v>14</v>
      </c>
      <c r="E42" s="7" t="s">
        <v>570</v>
      </c>
      <c r="F42" s="7" t="s">
        <v>76</v>
      </c>
      <c r="G42" s="8" t="s">
        <v>16</v>
      </c>
      <c r="H42" s="10" t="s">
        <v>17</v>
      </c>
      <c r="I42" s="10" t="s">
        <v>26</v>
      </c>
      <c r="J42" s="8" t="s">
        <v>25</v>
      </c>
      <c r="K42" s="8" t="str">
        <f t="shared" si="0"/>
        <v>P-4014-E</v>
      </c>
      <c r="L42" s="8" t="s">
        <v>23</v>
      </c>
      <c r="M42" s="23">
        <v>720000000</v>
      </c>
      <c r="N42" s="10" t="s">
        <v>402</v>
      </c>
      <c r="O42" s="12" t="str">
        <f t="shared" si="3"/>
        <v>COP</v>
      </c>
    </row>
    <row r="43" spans="1:15">
      <c r="A43" s="7" t="s">
        <v>217</v>
      </c>
      <c r="B43" s="7" t="s">
        <v>416</v>
      </c>
      <c r="C43" s="7" t="s">
        <v>218</v>
      </c>
      <c r="D43" s="7" t="s">
        <v>14</v>
      </c>
      <c r="E43" s="7" t="s">
        <v>567</v>
      </c>
      <c r="F43" s="7" t="s">
        <v>64</v>
      </c>
      <c r="G43" s="8" t="s">
        <v>16</v>
      </c>
      <c r="H43" s="10" t="s">
        <v>17</v>
      </c>
      <c r="I43" s="10" t="s">
        <v>26</v>
      </c>
      <c r="J43" s="8" t="s">
        <v>25</v>
      </c>
      <c r="K43" s="8" t="str">
        <f t="shared" si="0"/>
        <v>P-4014-F</v>
      </c>
      <c r="L43" s="8" t="s">
        <v>28</v>
      </c>
      <c r="M43" s="23">
        <v>15000000</v>
      </c>
      <c r="N43" s="10" t="s">
        <v>402</v>
      </c>
      <c r="O43" s="12" t="str">
        <f t="shared" si="3"/>
        <v>COP</v>
      </c>
    </row>
    <row r="44" spans="1:15">
      <c r="A44" s="7" t="s">
        <v>217</v>
      </c>
      <c r="B44" s="7" t="s">
        <v>417</v>
      </c>
      <c r="C44" s="7" t="s">
        <v>218</v>
      </c>
      <c r="D44" s="7" t="s">
        <v>14</v>
      </c>
      <c r="E44" s="7" t="s">
        <v>568</v>
      </c>
      <c r="F44" s="7" t="s">
        <v>64</v>
      </c>
      <c r="G44" s="8" t="s">
        <v>16</v>
      </c>
      <c r="H44" s="10" t="s">
        <v>17</v>
      </c>
      <c r="I44" s="10" t="s">
        <v>26</v>
      </c>
      <c r="J44" s="8" t="s">
        <v>25</v>
      </c>
      <c r="K44" s="8" t="str">
        <f t="shared" si="0"/>
        <v>P-4014-G</v>
      </c>
      <c r="L44" s="8" t="s">
        <v>28</v>
      </c>
      <c r="M44" s="23">
        <v>22500000</v>
      </c>
      <c r="N44" s="10" t="s">
        <v>402</v>
      </c>
      <c r="O44" s="12" t="str">
        <f t="shared" si="3"/>
        <v>COP</v>
      </c>
    </row>
    <row r="45" spans="1:15">
      <c r="A45" s="7" t="s">
        <v>217</v>
      </c>
      <c r="B45" s="7" t="s">
        <v>571</v>
      </c>
      <c r="C45" s="7" t="s">
        <v>218</v>
      </c>
      <c r="D45" s="7" t="s">
        <v>14</v>
      </c>
      <c r="E45" s="7" t="s">
        <v>569</v>
      </c>
      <c r="F45" s="7" t="s">
        <v>64</v>
      </c>
      <c r="G45" s="8" t="s">
        <v>16</v>
      </c>
      <c r="H45" s="10" t="s">
        <v>17</v>
      </c>
      <c r="I45" s="10" t="s">
        <v>26</v>
      </c>
      <c r="J45" s="8" t="s">
        <v>25</v>
      </c>
      <c r="K45" s="8" t="str">
        <f t="shared" si="0"/>
        <v>P-4014-H</v>
      </c>
      <c r="L45" s="8" t="s">
        <v>28</v>
      </c>
      <c r="M45" s="23">
        <v>45000000</v>
      </c>
      <c r="N45" s="10" t="s">
        <v>402</v>
      </c>
      <c r="O45" s="12" t="str">
        <f t="shared" si="3"/>
        <v>COP</v>
      </c>
    </row>
    <row r="46" spans="1:15">
      <c r="A46" s="7" t="s">
        <v>217</v>
      </c>
      <c r="B46" s="7" t="s">
        <v>572</v>
      </c>
      <c r="C46" s="7" t="s">
        <v>218</v>
      </c>
      <c r="D46" s="7" t="s">
        <v>14</v>
      </c>
      <c r="E46" s="7" t="s">
        <v>570</v>
      </c>
      <c r="F46" s="7" t="s">
        <v>64</v>
      </c>
      <c r="G46" s="7" t="s">
        <v>16</v>
      </c>
      <c r="H46" s="10" t="s">
        <v>17</v>
      </c>
      <c r="I46" s="10" t="s">
        <v>26</v>
      </c>
      <c r="J46" s="8" t="s">
        <v>25</v>
      </c>
      <c r="K46" s="8" t="str">
        <f t="shared" si="0"/>
        <v>P-4014-I</v>
      </c>
      <c r="L46" s="8" t="s">
        <v>28</v>
      </c>
      <c r="M46" s="23">
        <v>90000000</v>
      </c>
      <c r="N46" s="10" t="s">
        <v>402</v>
      </c>
      <c r="O46" s="12" t="str">
        <f t="shared" si="3"/>
        <v>COP</v>
      </c>
    </row>
    <row r="47" spans="1:15">
      <c r="A47" s="7" t="s">
        <v>217</v>
      </c>
      <c r="B47" s="7" t="s">
        <v>82</v>
      </c>
      <c r="C47" s="7" t="s">
        <v>218</v>
      </c>
      <c r="D47" s="7" t="s">
        <v>14</v>
      </c>
      <c r="E47" s="7" t="s">
        <v>573</v>
      </c>
      <c r="F47" s="7" t="s">
        <v>64</v>
      </c>
      <c r="G47" s="7" t="s">
        <v>16</v>
      </c>
      <c r="H47" s="10" t="s">
        <v>17</v>
      </c>
      <c r="I47" s="10" t="s">
        <v>26</v>
      </c>
      <c r="J47" s="8" t="s">
        <v>25</v>
      </c>
      <c r="K47" s="8" t="str">
        <f t="shared" si="0"/>
        <v>P-9001</v>
      </c>
      <c r="L47" s="8" t="s">
        <v>28</v>
      </c>
      <c r="M47" s="23">
        <v>26000000</v>
      </c>
      <c r="N47" s="10" t="s">
        <v>402</v>
      </c>
      <c r="O47" s="12" t="str">
        <f t="shared" si="3"/>
        <v>COP</v>
      </c>
    </row>
    <row r="48" spans="1:15">
      <c r="A48" s="7" t="s">
        <v>217</v>
      </c>
      <c r="B48" s="7" t="s">
        <v>83</v>
      </c>
      <c r="C48" s="7" t="s">
        <v>218</v>
      </c>
      <c r="D48" s="7" t="s">
        <v>14</v>
      </c>
      <c r="E48" s="7" t="s">
        <v>573</v>
      </c>
      <c r="F48" s="7" t="s">
        <v>76</v>
      </c>
      <c r="G48" s="7" t="s">
        <v>16</v>
      </c>
      <c r="H48" s="10" t="s">
        <v>17</v>
      </c>
      <c r="I48" s="10" t="s">
        <v>26</v>
      </c>
      <c r="J48" s="8" t="s">
        <v>25</v>
      </c>
      <c r="K48" s="8" t="str">
        <f t="shared" si="0"/>
        <v>P-9002</v>
      </c>
      <c r="L48" s="8" t="s">
        <v>23</v>
      </c>
      <c r="M48" s="23">
        <v>250000000</v>
      </c>
      <c r="N48" s="10" t="s">
        <v>402</v>
      </c>
      <c r="O48" s="12" t="str">
        <f t="shared" si="3"/>
        <v>COP</v>
      </c>
    </row>
    <row r="49" spans="1:15">
      <c r="A49" s="7" t="s">
        <v>217</v>
      </c>
      <c r="B49" s="7" t="s">
        <v>84</v>
      </c>
      <c r="C49" s="7" t="s">
        <v>218</v>
      </c>
      <c r="D49" s="7" t="s">
        <v>14</v>
      </c>
      <c r="E49" s="7" t="s">
        <v>574</v>
      </c>
      <c r="F49" s="7" t="s">
        <v>64</v>
      </c>
      <c r="G49" s="7" t="s">
        <v>16</v>
      </c>
      <c r="H49" s="10" t="s">
        <v>17</v>
      </c>
      <c r="I49" s="10" t="s">
        <v>26</v>
      </c>
      <c r="J49" s="8" t="s">
        <v>25</v>
      </c>
      <c r="K49" s="8" t="str">
        <f t="shared" si="0"/>
        <v>P-9003</v>
      </c>
      <c r="L49" s="8" t="s">
        <v>28</v>
      </c>
      <c r="M49" s="23">
        <v>434000</v>
      </c>
      <c r="N49" s="10" t="s">
        <v>402</v>
      </c>
      <c r="O49" s="12" t="str">
        <f t="shared" si="3"/>
        <v>COP</v>
      </c>
    </row>
    <row r="50" spans="1:15">
      <c r="A50" s="7" t="s">
        <v>217</v>
      </c>
      <c r="B50" s="7" t="s">
        <v>85</v>
      </c>
      <c r="C50" s="7" t="s">
        <v>218</v>
      </c>
      <c r="D50" s="7" t="s">
        <v>14</v>
      </c>
      <c r="E50" s="7" t="s">
        <v>575</v>
      </c>
      <c r="F50" s="7" t="s">
        <v>76</v>
      </c>
      <c r="G50" s="7" t="s">
        <v>16</v>
      </c>
      <c r="H50" s="10" t="s">
        <v>17</v>
      </c>
      <c r="I50" s="10" t="s">
        <v>26</v>
      </c>
      <c r="J50" s="8" t="s">
        <v>25</v>
      </c>
      <c r="K50" s="8" t="str">
        <f t="shared" si="0"/>
        <v>P-9004</v>
      </c>
      <c r="L50" s="8" t="s">
        <v>28</v>
      </c>
      <c r="M50" s="23">
        <v>3500000</v>
      </c>
      <c r="N50" s="10" t="s">
        <v>402</v>
      </c>
      <c r="O50" s="12" t="str">
        <f t="shared" si="3"/>
        <v>COP</v>
      </c>
    </row>
    <row r="51" spans="1:15">
      <c r="A51" s="7" t="s">
        <v>217</v>
      </c>
      <c r="B51" s="7" t="s">
        <v>86</v>
      </c>
      <c r="C51" s="7" t="s">
        <v>218</v>
      </c>
      <c r="D51" s="7" t="s">
        <v>14</v>
      </c>
      <c r="E51" s="7" t="s">
        <v>87</v>
      </c>
      <c r="F51" s="7" t="s">
        <v>64</v>
      </c>
      <c r="G51" s="7" t="s">
        <v>16</v>
      </c>
      <c r="H51" s="10" t="s">
        <v>17</v>
      </c>
      <c r="I51" s="10" t="s">
        <v>26</v>
      </c>
      <c r="J51" s="8" t="s">
        <v>25</v>
      </c>
      <c r="K51" s="8" t="str">
        <f t="shared" si="0"/>
        <v>P-9005</v>
      </c>
      <c r="L51" s="8" t="s">
        <v>28</v>
      </c>
      <c r="M51" s="23">
        <v>3125000</v>
      </c>
      <c r="N51" s="10" t="s">
        <v>402</v>
      </c>
      <c r="O51" s="12" t="str">
        <f t="shared" si="3"/>
        <v>COP</v>
      </c>
    </row>
    <row r="52" spans="1:15">
      <c r="A52" s="7" t="s">
        <v>217</v>
      </c>
      <c r="B52" s="7" t="s">
        <v>88</v>
      </c>
      <c r="C52" s="7" t="s">
        <v>218</v>
      </c>
      <c r="D52" s="7" t="s">
        <v>14</v>
      </c>
      <c r="E52" s="7" t="s">
        <v>87</v>
      </c>
      <c r="F52" s="7" t="s">
        <v>76</v>
      </c>
      <c r="G52" s="7" t="s">
        <v>16</v>
      </c>
      <c r="H52" s="10" t="s">
        <v>17</v>
      </c>
      <c r="I52" s="10" t="s">
        <v>26</v>
      </c>
      <c r="J52" s="8" t="s">
        <v>25</v>
      </c>
      <c r="K52" s="8" t="str">
        <f t="shared" si="0"/>
        <v>P-9006</v>
      </c>
      <c r="L52" s="8" t="s">
        <v>23</v>
      </c>
      <c r="M52" s="23">
        <v>25000000</v>
      </c>
      <c r="N52" s="10" t="s">
        <v>402</v>
      </c>
      <c r="O52" s="12" t="str">
        <f t="shared" si="3"/>
        <v>COP</v>
      </c>
    </row>
    <row r="53" spans="1:15">
      <c r="A53" s="7" t="s">
        <v>217</v>
      </c>
      <c r="B53" s="7" t="s">
        <v>576</v>
      </c>
      <c r="C53" s="7" t="s">
        <v>218</v>
      </c>
      <c r="D53" s="7" t="s">
        <v>14</v>
      </c>
      <c r="E53" s="7" t="s">
        <v>577</v>
      </c>
      <c r="F53" s="7" t="s">
        <v>64</v>
      </c>
      <c r="G53" s="7" t="s">
        <v>16</v>
      </c>
      <c r="H53" s="10" t="s">
        <v>72</v>
      </c>
      <c r="I53" s="10" t="s">
        <v>26</v>
      </c>
      <c r="J53" s="8" t="s">
        <v>25</v>
      </c>
      <c r="K53" s="8" t="str">
        <f t="shared" si="0"/>
        <v>P-9007</v>
      </c>
      <c r="L53" s="8" t="s">
        <v>28</v>
      </c>
      <c r="M53" s="23">
        <v>47356166.666666664</v>
      </c>
      <c r="N53" s="10" t="s">
        <v>402</v>
      </c>
      <c r="O53" s="12" t="str">
        <f t="shared" si="3"/>
        <v>COP</v>
      </c>
    </row>
    <row r="54" spans="1:15">
      <c r="A54" s="7" t="s">
        <v>217</v>
      </c>
      <c r="B54" s="7" t="s">
        <v>578</v>
      </c>
      <c r="C54" s="7" t="s">
        <v>218</v>
      </c>
      <c r="D54" s="7" t="s">
        <v>14</v>
      </c>
      <c r="E54" s="7" t="s">
        <v>577</v>
      </c>
      <c r="F54" s="7" t="s">
        <v>76</v>
      </c>
      <c r="G54" s="7" t="s">
        <v>16</v>
      </c>
      <c r="H54" s="10" t="s">
        <v>72</v>
      </c>
      <c r="I54" s="10" t="s">
        <v>26</v>
      </c>
      <c r="J54" s="8" t="s">
        <v>25</v>
      </c>
      <c r="K54" s="8" t="str">
        <f t="shared" si="0"/>
        <v>P-9008</v>
      </c>
      <c r="L54" s="8" t="s">
        <v>28</v>
      </c>
      <c r="M54" s="23">
        <v>568274000</v>
      </c>
      <c r="N54" s="10" t="s">
        <v>402</v>
      </c>
      <c r="O54" s="12" t="str">
        <f t="shared" si="3"/>
        <v>COP</v>
      </c>
    </row>
    <row r="55" spans="1:15">
      <c r="A55" s="7" t="s">
        <v>217</v>
      </c>
      <c r="B55" s="7" t="s">
        <v>579</v>
      </c>
      <c r="C55" s="7" t="s">
        <v>218</v>
      </c>
      <c r="D55" s="7" t="s">
        <v>14</v>
      </c>
      <c r="E55" s="7" t="s">
        <v>580</v>
      </c>
      <c r="F55" s="7" t="s">
        <v>64</v>
      </c>
      <c r="G55" s="7" t="s">
        <v>16</v>
      </c>
      <c r="H55" s="10" t="s">
        <v>74</v>
      </c>
      <c r="I55" s="10" t="s">
        <v>26</v>
      </c>
      <c r="J55" s="8" t="s">
        <v>25</v>
      </c>
      <c r="K55" s="8" t="str">
        <f t="shared" si="0"/>
        <v>P-9009</v>
      </c>
      <c r="L55" s="8" t="s">
        <v>28</v>
      </c>
      <c r="M55" s="23">
        <v>62983701.666666664</v>
      </c>
      <c r="N55" s="10" t="s">
        <v>402</v>
      </c>
      <c r="O55" s="12" t="str">
        <f t="shared" si="3"/>
        <v>COP</v>
      </c>
    </row>
    <row r="56" spans="1:15">
      <c r="A56" s="7" t="s">
        <v>217</v>
      </c>
      <c r="B56" s="7" t="s">
        <v>581</v>
      </c>
      <c r="C56" s="7" t="s">
        <v>218</v>
      </c>
      <c r="D56" s="7" t="s">
        <v>14</v>
      </c>
      <c r="E56" s="7" t="s">
        <v>580</v>
      </c>
      <c r="F56" s="7" t="s">
        <v>76</v>
      </c>
      <c r="G56" s="7" t="s">
        <v>16</v>
      </c>
      <c r="H56" s="10" t="s">
        <v>74</v>
      </c>
      <c r="I56" s="10" t="s">
        <v>26</v>
      </c>
      <c r="J56" s="8" t="s">
        <v>25</v>
      </c>
      <c r="K56" s="8" t="str">
        <f t="shared" si="0"/>
        <v>P-9010</v>
      </c>
      <c r="L56" s="8" t="s">
        <v>28</v>
      </c>
      <c r="M56" s="23">
        <v>755804420</v>
      </c>
      <c r="N56" s="10" t="s">
        <v>402</v>
      </c>
      <c r="O56" s="12" t="str">
        <f t="shared" si="3"/>
        <v>COP</v>
      </c>
    </row>
    <row r="57" spans="1:15">
      <c r="A57" s="7" t="s">
        <v>217</v>
      </c>
      <c r="B57" s="7" t="s">
        <v>582</v>
      </c>
      <c r="C57" s="7" t="s">
        <v>218</v>
      </c>
      <c r="D57" s="7" t="s">
        <v>14</v>
      </c>
      <c r="E57" s="7" t="s">
        <v>583</v>
      </c>
      <c r="F57" s="7" t="s">
        <v>64</v>
      </c>
      <c r="G57" s="7" t="s">
        <v>16</v>
      </c>
      <c r="H57" s="10" t="s">
        <v>70</v>
      </c>
      <c r="I57" s="10" t="s">
        <v>26</v>
      </c>
      <c r="J57" s="8" t="s">
        <v>25</v>
      </c>
      <c r="K57" s="8" t="str">
        <f t="shared" si="0"/>
        <v>P-9011</v>
      </c>
      <c r="L57" s="8" t="s">
        <v>28</v>
      </c>
      <c r="M57" s="23">
        <v>78611236.666666657</v>
      </c>
      <c r="N57" s="10" t="s">
        <v>402</v>
      </c>
      <c r="O57" s="12" t="str">
        <f t="shared" si="3"/>
        <v>COP</v>
      </c>
    </row>
    <row r="58" spans="1:15">
      <c r="A58" s="7" t="s">
        <v>217</v>
      </c>
      <c r="B58" s="7" t="s">
        <v>584</v>
      </c>
      <c r="C58" s="7" t="s">
        <v>218</v>
      </c>
      <c r="D58" s="7" t="s">
        <v>14</v>
      </c>
      <c r="E58" s="7" t="s">
        <v>583</v>
      </c>
      <c r="F58" s="7" t="s">
        <v>76</v>
      </c>
      <c r="G58" s="7" t="s">
        <v>16</v>
      </c>
      <c r="H58" s="10" t="s">
        <v>70</v>
      </c>
      <c r="I58" s="10" t="s">
        <v>26</v>
      </c>
      <c r="J58" s="8" t="s">
        <v>25</v>
      </c>
      <c r="K58" s="8" t="str">
        <f t="shared" si="0"/>
        <v>P-9012</v>
      </c>
      <c r="L58" s="8" t="s">
        <v>28</v>
      </c>
      <c r="M58" s="23">
        <v>943334839.99999988</v>
      </c>
      <c r="N58" s="10" t="s">
        <v>402</v>
      </c>
      <c r="O58" s="12" t="str">
        <f t="shared" si="3"/>
        <v>COP</v>
      </c>
    </row>
    <row r="59" spans="1:15">
      <c r="A59" s="7" t="s">
        <v>217</v>
      </c>
      <c r="B59" s="7" t="s">
        <v>585</v>
      </c>
      <c r="C59" s="7" t="s">
        <v>218</v>
      </c>
      <c r="D59" s="7" t="s">
        <v>14</v>
      </c>
      <c r="E59" s="7" t="s">
        <v>586</v>
      </c>
      <c r="F59" s="7" t="s">
        <v>64</v>
      </c>
      <c r="G59" s="7" t="s">
        <v>16</v>
      </c>
      <c r="H59" s="10" t="s">
        <v>72</v>
      </c>
      <c r="I59" s="10" t="s">
        <v>26</v>
      </c>
      <c r="J59" s="8" t="s">
        <v>25</v>
      </c>
      <c r="K59" s="8" t="str">
        <f t="shared" si="0"/>
        <v>P-9013</v>
      </c>
      <c r="L59" s="8" t="s">
        <v>28</v>
      </c>
      <c r="M59" s="23">
        <v>34000000</v>
      </c>
      <c r="N59" s="10" t="s">
        <v>402</v>
      </c>
      <c r="O59" s="12" t="str">
        <f t="shared" si="3"/>
        <v>COP</v>
      </c>
    </row>
    <row r="60" spans="1:15">
      <c r="A60" s="7" t="s">
        <v>217</v>
      </c>
      <c r="B60" s="7" t="s">
        <v>587</v>
      </c>
      <c r="C60" s="7" t="s">
        <v>218</v>
      </c>
      <c r="D60" s="7" t="s">
        <v>14</v>
      </c>
      <c r="E60" s="7" t="s">
        <v>586</v>
      </c>
      <c r="F60" s="7" t="s">
        <v>76</v>
      </c>
      <c r="G60" s="7" t="s">
        <v>16</v>
      </c>
      <c r="H60" s="10" t="s">
        <v>72</v>
      </c>
      <c r="I60" s="10" t="s">
        <v>26</v>
      </c>
      <c r="J60" s="8" t="s">
        <v>25</v>
      </c>
      <c r="K60" s="8" t="str">
        <f t="shared" si="0"/>
        <v>P-9014</v>
      </c>
      <c r="L60" s="8" t="s">
        <v>28</v>
      </c>
      <c r="M60" s="23">
        <v>324000000</v>
      </c>
      <c r="N60" s="10" t="s">
        <v>402</v>
      </c>
      <c r="O60" s="12" t="str">
        <f t="shared" si="3"/>
        <v>COP</v>
      </c>
    </row>
    <row r="61" spans="1:15">
      <c r="A61" s="7" t="s">
        <v>217</v>
      </c>
      <c r="B61" s="7" t="s">
        <v>588</v>
      </c>
      <c r="C61" s="7" t="s">
        <v>218</v>
      </c>
      <c r="D61" s="7" t="s">
        <v>14</v>
      </c>
      <c r="E61" s="7" t="s">
        <v>589</v>
      </c>
      <c r="F61" s="7" t="s">
        <v>64</v>
      </c>
      <c r="G61" s="7" t="s">
        <v>16</v>
      </c>
      <c r="H61" s="10" t="s">
        <v>74</v>
      </c>
      <c r="I61" s="10" t="s">
        <v>26</v>
      </c>
      <c r="J61" s="8" t="s">
        <v>25</v>
      </c>
      <c r="K61" s="8" t="str">
        <f t="shared" si="0"/>
        <v>P-9015</v>
      </c>
      <c r="L61" s="8" t="s">
        <v>28</v>
      </c>
      <c r="M61" s="23">
        <v>105000000</v>
      </c>
      <c r="N61" s="10" t="s">
        <v>402</v>
      </c>
      <c r="O61" s="12" t="str">
        <f t="shared" si="3"/>
        <v>COP</v>
      </c>
    </row>
    <row r="62" spans="1:15">
      <c r="A62" s="7" t="s">
        <v>217</v>
      </c>
      <c r="B62" s="7" t="s">
        <v>590</v>
      </c>
      <c r="C62" s="7" t="s">
        <v>218</v>
      </c>
      <c r="D62" s="7" t="s">
        <v>14</v>
      </c>
      <c r="E62" s="7" t="s">
        <v>589</v>
      </c>
      <c r="F62" s="7" t="s">
        <v>76</v>
      </c>
      <c r="G62" s="7" t="s">
        <v>16</v>
      </c>
      <c r="H62" s="10" t="s">
        <v>74</v>
      </c>
      <c r="I62" s="10" t="s">
        <v>26</v>
      </c>
      <c r="J62" s="8" t="s">
        <v>25</v>
      </c>
      <c r="K62" s="8" t="str">
        <f t="shared" si="0"/>
        <v>P-9016</v>
      </c>
      <c r="L62" s="8" t="s">
        <v>28</v>
      </c>
      <c r="M62" s="23">
        <v>960000000</v>
      </c>
      <c r="N62" s="10" t="s">
        <v>402</v>
      </c>
      <c r="O62" s="12" t="str">
        <f t="shared" si="3"/>
        <v>COP</v>
      </c>
    </row>
    <row r="63" spans="1:15">
      <c r="A63" s="7" t="s">
        <v>217</v>
      </c>
      <c r="B63" s="7" t="s">
        <v>591</v>
      </c>
      <c r="C63" s="7" t="s">
        <v>218</v>
      </c>
      <c r="D63" s="7" t="s">
        <v>14</v>
      </c>
      <c r="E63" s="7" t="s">
        <v>592</v>
      </c>
      <c r="F63" s="7" t="s">
        <v>64</v>
      </c>
      <c r="G63" s="7" t="s">
        <v>16</v>
      </c>
      <c r="H63" s="10" t="s">
        <v>70</v>
      </c>
      <c r="I63" s="10" t="s">
        <v>26</v>
      </c>
      <c r="J63" s="8" t="s">
        <v>25</v>
      </c>
      <c r="K63" s="8" t="str">
        <f t="shared" si="0"/>
        <v>P-9017</v>
      </c>
      <c r="L63" s="8" t="s">
        <v>28</v>
      </c>
      <c r="M63" s="23">
        <v>160000000</v>
      </c>
      <c r="N63" s="10" t="s">
        <v>402</v>
      </c>
      <c r="O63" s="12" t="str">
        <f t="shared" si="3"/>
        <v>COP</v>
      </c>
    </row>
    <row r="64" spans="1:15">
      <c r="A64" s="7" t="s">
        <v>217</v>
      </c>
      <c r="B64" s="7" t="s">
        <v>593</v>
      </c>
      <c r="C64" s="7" t="s">
        <v>218</v>
      </c>
      <c r="D64" s="7" t="s">
        <v>14</v>
      </c>
      <c r="E64" s="7" t="s">
        <v>592</v>
      </c>
      <c r="F64" s="7" t="s">
        <v>76</v>
      </c>
      <c r="G64" s="7" t="s">
        <v>16</v>
      </c>
      <c r="H64" s="10" t="s">
        <v>70</v>
      </c>
      <c r="I64" s="10" t="s">
        <v>26</v>
      </c>
      <c r="J64" s="8" t="s">
        <v>25</v>
      </c>
      <c r="K64" s="8" t="str">
        <f t="shared" si="0"/>
        <v>P-9018</v>
      </c>
      <c r="L64" s="8" t="s">
        <v>28</v>
      </c>
      <c r="M64" s="23">
        <v>1550000000</v>
      </c>
      <c r="N64" s="10" t="s">
        <v>402</v>
      </c>
      <c r="O64" s="12" t="str">
        <f t="shared" si="3"/>
        <v>COP</v>
      </c>
    </row>
    <row r="65" spans="1:15">
      <c r="A65" s="7" t="s">
        <v>217</v>
      </c>
      <c r="B65" s="7" t="s">
        <v>594</v>
      </c>
      <c r="C65" s="7" t="s">
        <v>218</v>
      </c>
      <c r="D65" s="7" t="s">
        <v>175</v>
      </c>
      <c r="E65" s="7" t="s">
        <v>595</v>
      </c>
      <c r="F65" s="7" t="s">
        <v>64</v>
      </c>
      <c r="G65" s="7" t="s">
        <v>16</v>
      </c>
      <c r="H65" s="10" t="s">
        <v>17</v>
      </c>
      <c r="I65" s="10" t="s">
        <v>26</v>
      </c>
      <c r="J65" s="8" t="s">
        <v>25</v>
      </c>
      <c r="K65" s="8" t="str">
        <f t="shared" si="0"/>
        <v>P-9019</v>
      </c>
      <c r="L65" s="8" t="s">
        <v>28</v>
      </c>
      <c r="M65" s="23">
        <v>1150</v>
      </c>
      <c r="N65" s="10" t="s">
        <v>216</v>
      </c>
      <c r="O65" s="12" t="str">
        <f t="shared" si="3"/>
        <v>USD</v>
      </c>
    </row>
    <row r="66" spans="1:15">
      <c r="A66" s="7" t="s">
        <v>217</v>
      </c>
      <c r="B66" s="7" t="s">
        <v>596</v>
      </c>
      <c r="C66" s="7" t="s">
        <v>218</v>
      </c>
      <c r="D66" s="7" t="s">
        <v>175</v>
      </c>
      <c r="E66" s="7" t="s">
        <v>597</v>
      </c>
      <c r="F66" s="7" t="s">
        <v>64</v>
      </c>
      <c r="G66" s="7" t="s">
        <v>16</v>
      </c>
      <c r="H66" s="10" t="s">
        <v>17</v>
      </c>
      <c r="I66" s="10" t="s">
        <v>26</v>
      </c>
      <c r="J66" s="8" t="s">
        <v>25</v>
      </c>
      <c r="K66" s="8" t="str">
        <f t="shared" ref="K66:K129" si="4">+B66</f>
        <v>P-9020</v>
      </c>
      <c r="L66" s="8" t="s">
        <v>28</v>
      </c>
      <c r="M66" s="23">
        <v>2300</v>
      </c>
      <c r="N66" s="10" t="s">
        <v>216</v>
      </c>
      <c r="O66" s="12" t="str">
        <f t="shared" si="3"/>
        <v>USD</v>
      </c>
    </row>
    <row r="67" spans="1:15">
      <c r="A67" s="7" t="s">
        <v>217</v>
      </c>
      <c r="B67" s="7" t="s">
        <v>598</v>
      </c>
      <c r="C67" s="7" t="s">
        <v>218</v>
      </c>
      <c r="D67" s="7" t="s">
        <v>175</v>
      </c>
      <c r="E67" s="7" t="s">
        <v>599</v>
      </c>
      <c r="F67" s="7" t="s">
        <v>64</v>
      </c>
      <c r="G67" s="7" t="s">
        <v>16</v>
      </c>
      <c r="H67" s="10" t="s">
        <v>17</v>
      </c>
      <c r="I67" s="10" t="s">
        <v>26</v>
      </c>
      <c r="J67" s="8" t="s">
        <v>25</v>
      </c>
      <c r="K67" s="8" t="str">
        <f t="shared" si="4"/>
        <v>P-9021</v>
      </c>
      <c r="L67" s="8" t="s">
        <v>28</v>
      </c>
      <c r="M67" s="23">
        <v>3450</v>
      </c>
      <c r="N67" s="10" t="s">
        <v>216</v>
      </c>
      <c r="O67" s="12" t="str">
        <f t="shared" si="3"/>
        <v>USD</v>
      </c>
    </row>
    <row r="68" spans="1:15">
      <c r="A68" s="7" t="s">
        <v>217</v>
      </c>
      <c r="B68" s="7" t="s">
        <v>600</v>
      </c>
      <c r="C68" s="7" t="s">
        <v>218</v>
      </c>
      <c r="D68" s="7" t="s">
        <v>175</v>
      </c>
      <c r="E68" s="7" t="s">
        <v>601</v>
      </c>
      <c r="F68" s="7" t="s">
        <v>64</v>
      </c>
      <c r="G68" s="8" t="s">
        <v>16</v>
      </c>
      <c r="H68" s="10" t="s">
        <v>17</v>
      </c>
      <c r="I68" s="10" t="s">
        <v>26</v>
      </c>
      <c r="J68" s="10" t="s">
        <v>25</v>
      </c>
      <c r="K68" s="8" t="str">
        <f t="shared" si="4"/>
        <v>P-9022</v>
      </c>
      <c r="L68" s="8" t="s">
        <v>28</v>
      </c>
      <c r="M68" s="23">
        <v>4094</v>
      </c>
      <c r="N68" s="10" t="s">
        <v>216</v>
      </c>
      <c r="O68" s="12" t="str">
        <f t="shared" si="3"/>
        <v>USD</v>
      </c>
    </row>
    <row r="69" spans="1:15">
      <c r="A69" s="7" t="s">
        <v>217</v>
      </c>
      <c r="B69" s="7" t="s">
        <v>602</v>
      </c>
      <c r="C69" s="7" t="s">
        <v>218</v>
      </c>
      <c r="D69" s="7" t="s">
        <v>175</v>
      </c>
      <c r="E69" s="7" t="s">
        <v>603</v>
      </c>
      <c r="F69" s="7" t="s">
        <v>64</v>
      </c>
      <c r="G69" s="8" t="s">
        <v>16</v>
      </c>
      <c r="H69" s="10" t="s">
        <v>17</v>
      </c>
      <c r="I69" s="10" t="s">
        <v>26</v>
      </c>
      <c r="J69" s="10" t="s">
        <v>25</v>
      </c>
      <c r="K69" s="8" t="str">
        <f t="shared" si="4"/>
        <v>P-9023</v>
      </c>
      <c r="L69" s="8" t="s">
        <v>28</v>
      </c>
      <c r="M69" s="23">
        <v>4750</v>
      </c>
      <c r="N69" s="10" t="s">
        <v>216</v>
      </c>
      <c r="O69" s="12" t="str">
        <f t="shared" si="3"/>
        <v>USD</v>
      </c>
    </row>
    <row r="70" spans="1:15">
      <c r="A70" s="7" t="s">
        <v>217</v>
      </c>
      <c r="B70" s="7" t="s">
        <v>604</v>
      </c>
      <c r="C70" s="7" t="s">
        <v>218</v>
      </c>
      <c r="D70" s="7" t="s">
        <v>175</v>
      </c>
      <c r="E70" s="7" t="s">
        <v>605</v>
      </c>
      <c r="F70" s="7" t="s">
        <v>64</v>
      </c>
      <c r="G70" s="8" t="s">
        <v>16</v>
      </c>
      <c r="H70" s="10" t="s">
        <v>17</v>
      </c>
      <c r="I70" s="10" t="s">
        <v>26</v>
      </c>
      <c r="J70" s="10" t="s">
        <v>25</v>
      </c>
      <c r="K70" s="8" t="str">
        <f t="shared" si="4"/>
        <v>P-9024</v>
      </c>
      <c r="L70" s="8" t="s">
        <v>28</v>
      </c>
      <c r="M70" s="23">
        <v>765</v>
      </c>
      <c r="N70" s="10" t="s">
        <v>216</v>
      </c>
      <c r="O70" s="12" t="str">
        <f t="shared" si="3"/>
        <v>USD</v>
      </c>
    </row>
    <row r="71" spans="1:15">
      <c r="A71" s="7" t="s">
        <v>217</v>
      </c>
      <c r="B71" s="7" t="s">
        <v>606</v>
      </c>
      <c r="C71" s="7" t="s">
        <v>218</v>
      </c>
      <c r="D71" s="7" t="s">
        <v>175</v>
      </c>
      <c r="E71" s="7" t="s">
        <v>607</v>
      </c>
      <c r="F71" s="7" t="s">
        <v>64</v>
      </c>
      <c r="G71" s="8" t="s">
        <v>16</v>
      </c>
      <c r="H71" s="10" t="s">
        <v>17</v>
      </c>
      <c r="I71" s="10" t="s">
        <v>26</v>
      </c>
      <c r="J71" s="10" t="s">
        <v>25</v>
      </c>
      <c r="K71" s="8" t="str">
        <f t="shared" si="4"/>
        <v>P-9025</v>
      </c>
      <c r="L71" s="8" t="s">
        <v>28</v>
      </c>
      <c r="M71" s="23">
        <v>1530</v>
      </c>
      <c r="N71" s="10" t="s">
        <v>216</v>
      </c>
      <c r="O71" s="12" t="str">
        <f t="shared" si="3"/>
        <v>USD</v>
      </c>
    </row>
    <row r="72" spans="1:15">
      <c r="A72" s="7" t="s">
        <v>217</v>
      </c>
      <c r="B72" s="7" t="s">
        <v>608</v>
      </c>
      <c r="C72" s="7" t="s">
        <v>218</v>
      </c>
      <c r="D72" s="7" t="s">
        <v>175</v>
      </c>
      <c r="E72" s="7" t="s">
        <v>609</v>
      </c>
      <c r="F72" s="7" t="s">
        <v>64</v>
      </c>
      <c r="G72" s="8" t="s">
        <v>16</v>
      </c>
      <c r="H72" s="10" t="s">
        <v>17</v>
      </c>
      <c r="I72" s="10" t="s">
        <v>26</v>
      </c>
      <c r="J72" s="10" t="s">
        <v>25</v>
      </c>
      <c r="K72" s="8" t="str">
        <f t="shared" si="4"/>
        <v>P-9026</v>
      </c>
      <c r="L72" s="8" t="s">
        <v>28</v>
      </c>
      <c r="M72" s="23">
        <v>2300</v>
      </c>
      <c r="N72" s="10" t="s">
        <v>216</v>
      </c>
      <c r="O72" s="12" t="str">
        <f t="shared" si="3"/>
        <v>USD</v>
      </c>
    </row>
    <row r="73" spans="1:15">
      <c r="A73" s="7" t="s">
        <v>217</v>
      </c>
      <c r="B73" s="7" t="s">
        <v>610</v>
      </c>
      <c r="C73" s="7" t="s">
        <v>218</v>
      </c>
      <c r="D73" s="7" t="s">
        <v>175</v>
      </c>
      <c r="E73" s="7" t="s">
        <v>611</v>
      </c>
      <c r="F73" s="7" t="s">
        <v>64</v>
      </c>
      <c r="G73" s="8" t="s">
        <v>16</v>
      </c>
      <c r="H73" s="10" t="s">
        <v>17</v>
      </c>
      <c r="I73" s="10" t="s">
        <v>26</v>
      </c>
      <c r="J73" s="10" t="s">
        <v>25</v>
      </c>
      <c r="K73" s="8" t="str">
        <f t="shared" si="4"/>
        <v>P-9027</v>
      </c>
      <c r="L73" s="8" t="s">
        <v>28</v>
      </c>
      <c r="M73" s="23">
        <v>2737</v>
      </c>
      <c r="N73" s="10" t="s">
        <v>216</v>
      </c>
      <c r="O73" s="12" t="str">
        <f t="shared" si="3"/>
        <v>USD</v>
      </c>
    </row>
    <row r="74" spans="1:15">
      <c r="A74" s="7" t="s">
        <v>217</v>
      </c>
      <c r="B74" s="7" t="s">
        <v>612</v>
      </c>
      <c r="C74" s="7" t="s">
        <v>218</v>
      </c>
      <c r="D74" s="7" t="s">
        <v>175</v>
      </c>
      <c r="E74" s="7" t="s">
        <v>613</v>
      </c>
      <c r="F74" s="7" t="s">
        <v>64</v>
      </c>
      <c r="G74" s="8" t="s">
        <v>16</v>
      </c>
      <c r="H74" s="10" t="s">
        <v>17</v>
      </c>
      <c r="I74" s="10" t="s">
        <v>26</v>
      </c>
      <c r="J74" s="10" t="s">
        <v>25</v>
      </c>
      <c r="K74" s="8" t="str">
        <f t="shared" si="4"/>
        <v>P-9028</v>
      </c>
      <c r="L74" s="8" t="s">
        <v>28</v>
      </c>
      <c r="M74" s="23">
        <v>3163</v>
      </c>
      <c r="N74" s="10" t="s">
        <v>216</v>
      </c>
      <c r="O74" s="12" t="str">
        <f t="shared" si="3"/>
        <v>USD</v>
      </c>
    </row>
    <row r="75" spans="1:15">
      <c r="A75" s="7" t="s">
        <v>217</v>
      </c>
      <c r="B75" s="7" t="s">
        <v>614</v>
      </c>
      <c r="C75" s="7" t="s">
        <v>218</v>
      </c>
      <c r="D75" s="7" t="s">
        <v>175</v>
      </c>
      <c r="E75" s="7" t="s">
        <v>615</v>
      </c>
      <c r="F75" s="7" t="s">
        <v>64</v>
      </c>
      <c r="G75" s="8" t="s">
        <v>16</v>
      </c>
      <c r="H75" s="10" t="s">
        <v>17</v>
      </c>
      <c r="I75" s="10" t="s">
        <v>26</v>
      </c>
      <c r="J75" s="10" t="s">
        <v>25</v>
      </c>
      <c r="K75" s="8" t="str">
        <f t="shared" si="4"/>
        <v>P-9029</v>
      </c>
      <c r="L75" s="8" t="s">
        <v>28</v>
      </c>
      <c r="M75" s="23">
        <v>385</v>
      </c>
      <c r="N75" s="10" t="s">
        <v>216</v>
      </c>
      <c r="O75" s="12" t="str">
        <f t="shared" si="3"/>
        <v>USD</v>
      </c>
    </row>
    <row r="76" spans="1:15">
      <c r="A76" s="7" t="s">
        <v>217</v>
      </c>
      <c r="B76" s="7" t="s">
        <v>616</v>
      </c>
      <c r="C76" s="7" t="s">
        <v>218</v>
      </c>
      <c r="D76" s="7" t="s">
        <v>175</v>
      </c>
      <c r="E76" s="7" t="s">
        <v>617</v>
      </c>
      <c r="F76" s="7" t="s">
        <v>64</v>
      </c>
      <c r="G76" s="8" t="s">
        <v>16</v>
      </c>
      <c r="H76" s="10" t="s">
        <v>17</v>
      </c>
      <c r="I76" s="10" t="s">
        <v>26</v>
      </c>
      <c r="J76" s="10" t="s">
        <v>25</v>
      </c>
      <c r="K76" s="8" t="str">
        <f t="shared" si="4"/>
        <v>P-9030</v>
      </c>
      <c r="L76" s="8" t="s">
        <v>28</v>
      </c>
      <c r="M76" s="23">
        <v>771</v>
      </c>
      <c r="N76" s="10" t="s">
        <v>216</v>
      </c>
      <c r="O76" s="12" t="str">
        <f t="shared" si="3"/>
        <v>USD</v>
      </c>
    </row>
    <row r="77" spans="1:15">
      <c r="A77" s="7" t="s">
        <v>217</v>
      </c>
      <c r="B77" s="7" t="s">
        <v>618</v>
      </c>
      <c r="C77" s="7" t="s">
        <v>218</v>
      </c>
      <c r="D77" s="7" t="s">
        <v>175</v>
      </c>
      <c r="E77" s="7" t="s">
        <v>619</v>
      </c>
      <c r="F77" s="7" t="s">
        <v>64</v>
      </c>
      <c r="G77" s="8" t="s">
        <v>16</v>
      </c>
      <c r="H77" s="10" t="s">
        <v>17</v>
      </c>
      <c r="I77" s="10" t="s">
        <v>26</v>
      </c>
      <c r="J77" s="10" t="s">
        <v>25</v>
      </c>
      <c r="K77" s="8" t="str">
        <f t="shared" si="4"/>
        <v>P-9031</v>
      </c>
      <c r="L77" s="8" t="s">
        <v>28</v>
      </c>
      <c r="M77" s="23">
        <v>1150</v>
      </c>
      <c r="N77" s="10" t="s">
        <v>216</v>
      </c>
      <c r="O77" s="12" t="str">
        <f t="shared" si="3"/>
        <v>USD</v>
      </c>
    </row>
    <row r="78" spans="1:15">
      <c r="A78" s="7" t="s">
        <v>217</v>
      </c>
      <c r="B78" s="7" t="s">
        <v>620</v>
      </c>
      <c r="C78" s="7" t="s">
        <v>218</v>
      </c>
      <c r="D78" s="7" t="s">
        <v>175</v>
      </c>
      <c r="E78" s="7" t="s">
        <v>621</v>
      </c>
      <c r="F78" s="7" t="s">
        <v>64</v>
      </c>
      <c r="G78" s="8" t="s">
        <v>16</v>
      </c>
      <c r="H78" s="10" t="s">
        <v>17</v>
      </c>
      <c r="I78" s="10" t="s">
        <v>26</v>
      </c>
      <c r="J78" s="10" t="s">
        <v>25</v>
      </c>
      <c r="K78" s="8" t="str">
        <f t="shared" si="4"/>
        <v>P-9032</v>
      </c>
      <c r="L78" s="8" t="s">
        <v>28</v>
      </c>
      <c r="M78" s="23">
        <v>1369</v>
      </c>
      <c r="N78" s="10" t="s">
        <v>216</v>
      </c>
      <c r="O78" s="12" t="str">
        <f t="shared" si="3"/>
        <v>USD</v>
      </c>
    </row>
    <row r="79" spans="1:15">
      <c r="A79" s="7" t="s">
        <v>217</v>
      </c>
      <c r="B79" s="7" t="s">
        <v>622</v>
      </c>
      <c r="C79" s="7" t="s">
        <v>218</v>
      </c>
      <c r="D79" s="7" t="s">
        <v>175</v>
      </c>
      <c r="E79" s="7" t="s">
        <v>623</v>
      </c>
      <c r="F79" s="7" t="s">
        <v>64</v>
      </c>
      <c r="G79" s="8" t="s">
        <v>16</v>
      </c>
      <c r="H79" s="10" t="s">
        <v>17</v>
      </c>
      <c r="I79" s="10" t="s">
        <v>26</v>
      </c>
      <c r="J79" s="10" t="s">
        <v>25</v>
      </c>
      <c r="K79" s="8" t="str">
        <f t="shared" si="4"/>
        <v>P-9033</v>
      </c>
      <c r="L79" s="8" t="s">
        <v>28</v>
      </c>
      <c r="M79" s="23">
        <v>1587</v>
      </c>
      <c r="N79" s="10" t="s">
        <v>216</v>
      </c>
      <c r="O79" s="12" t="str">
        <f t="shared" si="3"/>
        <v>USD</v>
      </c>
    </row>
    <row r="80" spans="1:15">
      <c r="A80" s="7" t="s">
        <v>217</v>
      </c>
      <c r="B80" s="7" t="s">
        <v>179</v>
      </c>
      <c r="C80" s="7" t="s">
        <v>218</v>
      </c>
      <c r="D80" s="7" t="s">
        <v>14</v>
      </c>
      <c r="E80" s="7" t="s">
        <v>418</v>
      </c>
      <c r="F80" s="7" t="s">
        <v>64</v>
      </c>
      <c r="G80" s="8" t="s">
        <v>16</v>
      </c>
      <c r="H80" s="10" t="s">
        <v>17</v>
      </c>
      <c r="I80" s="10" t="s">
        <v>26</v>
      </c>
      <c r="J80" s="10" t="s">
        <v>25</v>
      </c>
      <c r="K80" s="8" t="str">
        <f t="shared" si="4"/>
        <v>AG-7001</v>
      </c>
      <c r="L80" s="8" t="s">
        <v>28</v>
      </c>
      <c r="M80" s="23">
        <v>12000000</v>
      </c>
      <c r="N80" s="10" t="s">
        <v>402</v>
      </c>
      <c r="O80" s="12" t="str">
        <f t="shared" si="3"/>
        <v>COP</v>
      </c>
    </row>
    <row r="81" spans="1:15">
      <c r="A81" s="7" t="s">
        <v>217</v>
      </c>
      <c r="B81" s="7" t="s">
        <v>180</v>
      </c>
      <c r="C81" s="7" t="s">
        <v>218</v>
      </c>
      <c r="D81" s="7" t="s">
        <v>14</v>
      </c>
      <c r="E81" s="7" t="s">
        <v>419</v>
      </c>
      <c r="F81" s="7" t="s">
        <v>64</v>
      </c>
      <c r="G81" s="8" t="s">
        <v>16</v>
      </c>
      <c r="H81" s="10" t="s">
        <v>17</v>
      </c>
      <c r="I81" s="10" t="s">
        <v>26</v>
      </c>
      <c r="J81" s="10" t="s">
        <v>25</v>
      </c>
      <c r="K81" s="8" t="str">
        <f t="shared" ref="K81:K87" si="5">+B81</f>
        <v>AG-7002</v>
      </c>
      <c r="L81" s="8" t="s">
        <v>28</v>
      </c>
      <c r="M81" s="23">
        <v>12000000</v>
      </c>
      <c r="N81" s="10" t="s">
        <v>402</v>
      </c>
      <c r="O81" s="12" t="str">
        <f t="shared" si="3"/>
        <v>COP</v>
      </c>
    </row>
    <row r="82" spans="1:15">
      <c r="A82" s="7" t="s">
        <v>217</v>
      </c>
      <c r="B82" s="7" t="s">
        <v>181</v>
      </c>
      <c r="C82" s="7" t="s">
        <v>218</v>
      </c>
      <c r="D82" s="7" t="s">
        <v>14</v>
      </c>
      <c r="E82" s="7" t="s">
        <v>420</v>
      </c>
      <c r="F82" s="7" t="s">
        <v>64</v>
      </c>
      <c r="G82" s="8" t="s">
        <v>16</v>
      </c>
      <c r="H82" s="10" t="s">
        <v>17</v>
      </c>
      <c r="I82" s="10" t="s">
        <v>26</v>
      </c>
      <c r="J82" s="10" t="s">
        <v>25</v>
      </c>
      <c r="K82" s="8" t="str">
        <f t="shared" si="5"/>
        <v>AG-7003</v>
      </c>
      <c r="L82" s="8" t="s">
        <v>28</v>
      </c>
      <c r="M82" s="23">
        <v>12000000</v>
      </c>
      <c r="N82" s="10" t="s">
        <v>402</v>
      </c>
      <c r="O82" s="12" t="str">
        <f t="shared" si="3"/>
        <v>COP</v>
      </c>
    </row>
    <row r="83" spans="1:15">
      <c r="A83" s="7" t="s">
        <v>217</v>
      </c>
      <c r="B83" s="7" t="s">
        <v>182</v>
      </c>
      <c r="C83" s="7" t="s">
        <v>218</v>
      </c>
      <c r="D83" s="7" t="s">
        <v>14</v>
      </c>
      <c r="E83" s="7" t="s">
        <v>421</v>
      </c>
      <c r="F83" s="7" t="s">
        <v>64</v>
      </c>
      <c r="G83" s="8" t="s">
        <v>16</v>
      </c>
      <c r="H83" s="10" t="s">
        <v>17</v>
      </c>
      <c r="I83" s="10" t="s">
        <v>26</v>
      </c>
      <c r="J83" s="10" t="s">
        <v>25</v>
      </c>
      <c r="K83" s="8" t="str">
        <f t="shared" si="5"/>
        <v>AG-7004</v>
      </c>
      <c r="L83" s="8" t="s">
        <v>28</v>
      </c>
      <c r="M83" s="23">
        <v>12000000</v>
      </c>
      <c r="N83" s="10" t="s">
        <v>402</v>
      </c>
      <c r="O83" s="12" t="str">
        <f t="shared" si="3"/>
        <v>COP</v>
      </c>
    </row>
    <row r="84" spans="1:15">
      <c r="A84" s="7" t="s">
        <v>217</v>
      </c>
      <c r="B84" s="7" t="s">
        <v>183</v>
      </c>
      <c r="C84" s="7" t="s">
        <v>218</v>
      </c>
      <c r="D84" s="7" t="s">
        <v>14</v>
      </c>
      <c r="E84" s="7" t="s">
        <v>422</v>
      </c>
      <c r="F84" s="7" t="s">
        <v>64</v>
      </c>
      <c r="G84" s="8" t="s">
        <v>16</v>
      </c>
      <c r="H84" s="10" t="s">
        <v>17</v>
      </c>
      <c r="I84" s="10" t="s">
        <v>26</v>
      </c>
      <c r="J84" s="10" t="s">
        <v>25</v>
      </c>
      <c r="K84" s="8" t="str">
        <f t="shared" si="5"/>
        <v>AG-7005</v>
      </c>
      <c r="L84" s="8" t="s">
        <v>28</v>
      </c>
      <c r="M84" s="23">
        <v>15000000</v>
      </c>
      <c r="N84" s="10" t="s">
        <v>402</v>
      </c>
      <c r="O84" s="12" t="str">
        <f t="shared" si="3"/>
        <v>COP</v>
      </c>
    </row>
    <row r="85" spans="1:15">
      <c r="A85" s="7" t="s">
        <v>217</v>
      </c>
      <c r="B85" s="7" t="s">
        <v>184</v>
      </c>
      <c r="C85" s="7" t="s">
        <v>218</v>
      </c>
      <c r="D85" s="7" t="s">
        <v>14</v>
      </c>
      <c r="E85" s="7" t="s">
        <v>423</v>
      </c>
      <c r="F85" s="7" t="s">
        <v>64</v>
      </c>
      <c r="G85" s="8" t="s">
        <v>16</v>
      </c>
      <c r="H85" s="10" t="s">
        <v>17</v>
      </c>
      <c r="I85" s="10" t="s">
        <v>26</v>
      </c>
      <c r="J85" s="10" t="s">
        <v>25</v>
      </c>
      <c r="K85" s="8" t="str">
        <f t="shared" si="5"/>
        <v>AG-7006</v>
      </c>
      <c r="L85" s="8" t="s">
        <v>28</v>
      </c>
      <c r="M85" s="23">
        <v>15000000</v>
      </c>
      <c r="N85" s="10" t="s">
        <v>402</v>
      </c>
      <c r="O85" s="12" t="str">
        <f t="shared" si="3"/>
        <v>COP</v>
      </c>
    </row>
    <row r="86" spans="1:15">
      <c r="A86" s="7" t="s">
        <v>217</v>
      </c>
      <c r="B86" s="7" t="s">
        <v>185</v>
      </c>
      <c r="C86" s="7" t="s">
        <v>218</v>
      </c>
      <c r="D86" s="7" t="s">
        <v>14</v>
      </c>
      <c r="E86" s="7" t="s">
        <v>424</v>
      </c>
      <c r="F86" s="7" t="s">
        <v>64</v>
      </c>
      <c r="G86" s="8" t="s">
        <v>16</v>
      </c>
      <c r="H86" s="10" t="s">
        <v>17</v>
      </c>
      <c r="I86" s="10" t="s">
        <v>26</v>
      </c>
      <c r="J86" s="10" t="s">
        <v>25</v>
      </c>
      <c r="K86" s="8" t="str">
        <f t="shared" si="5"/>
        <v>AG-7007</v>
      </c>
      <c r="L86" s="8" t="s">
        <v>28</v>
      </c>
      <c r="M86" s="23">
        <v>12000000</v>
      </c>
      <c r="N86" s="10" t="s">
        <v>402</v>
      </c>
      <c r="O86" s="12" t="str">
        <f t="shared" si="3"/>
        <v>COP</v>
      </c>
    </row>
    <row r="87" spans="1:15">
      <c r="A87" s="7" t="s">
        <v>217</v>
      </c>
      <c r="B87" s="7" t="s">
        <v>186</v>
      </c>
      <c r="C87" s="7" t="s">
        <v>218</v>
      </c>
      <c r="D87" s="7" t="s">
        <v>14</v>
      </c>
      <c r="E87" s="7" t="s">
        <v>425</v>
      </c>
      <c r="F87" s="7" t="s">
        <v>64</v>
      </c>
      <c r="G87" s="8" t="s">
        <v>16</v>
      </c>
      <c r="H87" s="10" t="s">
        <v>17</v>
      </c>
      <c r="I87" s="10" t="s">
        <v>26</v>
      </c>
      <c r="J87" s="10" t="s">
        <v>25</v>
      </c>
      <c r="K87" s="8" t="str">
        <f t="shared" si="5"/>
        <v>AG-7008</v>
      </c>
      <c r="L87" s="8" t="s">
        <v>28</v>
      </c>
      <c r="M87" s="23">
        <v>12000000</v>
      </c>
      <c r="N87" s="10" t="s">
        <v>402</v>
      </c>
      <c r="O87" s="12" t="str">
        <f t="shared" si="3"/>
        <v>COP</v>
      </c>
    </row>
    <row r="88" spans="1:15">
      <c r="A88" s="7" t="s">
        <v>217</v>
      </c>
      <c r="B88" s="7" t="s">
        <v>187</v>
      </c>
      <c r="C88" s="7" t="s">
        <v>218</v>
      </c>
      <c r="D88" s="7" t="s">
        <v>14</v>
      </c>
      <c r="E88" s="7" t="s">
        <v>188</v>
      </c>
      <c r="F88" s="7" t="s">
        <v>76</v>
      </c>
      <c r="G88" s="8" t="s">
        <v>16</v>
      </c>
      <c r="H88" s="10" t="s">
        <v>70</v>
      </c>
      <c r="I88" s="10" t="s">
        <v>26</v>
      </c>
      <c r="J88" s="10" t="s">
        <v>25</v>
      </c>
      <c r="K88" s="8" t="str">
        <f t="shared" si="4"/>
        <v>PR-001-1</v>
      </c>
      <c r="L88" s="8" t="s">
        <v>28</v>
      </c>
      <c r="M88" s="23">
        <v>180000000</v>
      </c>
      <c r="N88" s="10" t="s">
        <v>402</v>
      </c>
      <c r="O88" s="12" t="str">
        <f t="shared" si="3"/>
        <v>COP</v>
      </c>
    </row>
    <row r="89" spans="1:15">
      <c r="A89" s="7" t="s">
        <v>217</v>
      </c>
      <c r="B89" s="7" t="s">
        <v>189</v>
      </c>
      <c r="C89" s="7" t="s">
        <v>218</v>
      </c>
      <c r="D89" s="7" t="s">
        <v>14</v>
      </c>
      <c r="E89" s="7" t="s">
        <v>188</v>
      </c>
      <c r="F89" s="7" t="s">
        <v>76</v>
      </c>
      <c r="G89" s="8" t="s">
        <v>16</v>
      </c>
      <c r="H89" s="10" t="s">
        <v>72</v>
      </c>
      <c r="I89" s="10" t="s">
        <v>26</v>
      </c>
      <c r="J89" s="10" t="s">
        <v>25</v>
      </c>
      <c r="K89" s="8" t="str">
        <f t="shared" si="4"/>
        <v>PR-001-2</v>
      </c>
      <c r="L89" s="8" t="s">
        <v>28</v>
      </c>
      <c r="M89" s="23">
        <v>240000000</v>
      </c>
      <c r="N89" s="10" t="s">
        <v>402</v>
      </c>
      <c r="O89" s="12" t="str">
        <f t="shared" si="3"/>
        <v>COP</v>
      </c>
    </row>
    <row r="90" spans="1:15">
      <c r="A90" s="7" t="s">
        <v>217</v>
      </c>
      <c r="B90" s="7" t="s">
        <v>190</v>
      </c>
      <c r="C90" s="7" t="s">
        <v>218</v>
      </c>
      <c r="D90" s="7" t="s">
        <v>14</v>
      </c>
      <c r="E90" s="7" t="s">
        <v>188</v>
      </c>
      <c r="F90" s="7" t="s">
        <v>76</v>
      </c>
      <c r="G90" s="8" t="s">
        <v>16</v>
      </c>
      <c r="H90" s="10" t="s">
        <v>74</v>
      </c>
      <c r="I90" s="10" t="s">
        <v>26</v>
      </c>
      <c r="J90" s="10" t="s">
        <v>25</v>
      </c>
      <c r="K90" s="8" t="str">
        <f t="shared" si="4"/>
        <v>PR-001-3</v>
      </c>
      <c r="L90" s="8" t="s">
        <v>28</v>
      </c>
      <c r="M90" s="23">
        <v>300000000</v>
      </c>
      <c r="N90" s="10" t="s">
        <v>402</v>
      </c>
      <c r="O90" s="12" t="str">
        <f t="shared" si="3"/>
        <v>COP</v>
      </c>
    </row>
    <row r="91" spans="1:15">
      <c r="A91" s="7" t="s">
        <v>217</v>
      </c>
      <c r="B91" s="7" t="s">
        <v>191</v>
      </c>
      <c r="C91" s="7" t="s">
        <v>218</v>
      </c>
      <c r="D91" s="7" t="s">
        <v>14</v>
      </c>
      <c r="E91" s="7" t="s">
        <v>624</v>
      </c>
      <c r="F91" s="7" t="s">
        <v>76</v>
      </c>
      <c r="G91" s="8" t="s">
        <v>16</v>
      </c>
      <c r="H91" s="10" t="s">
        <v>17</v>
      </c>
      <c r="I91" s="10" t="s">
        <v>26</v>
      </c>
      <c r="J91" s="10" t="s">
        <v>25</v>
      </c>
      <c r="K91" s="8" t="str">
        <f t="shared" si="4"/>
        <v>PR-002-1</v>
      </c>
      <c r="L91" s="8" t="s">
        <v>28</v>
      </c>
      <c r="M91" s="24">
        <v>204156000</v>
      </c>
      <c r="N91" s="10" t="s">
        <v>402</v>
      </c>
      <c r="O91" s="12" t="str">
        <f t="shared" si="3"/>
        <v>COP</v>
      </c>
    </row>
    <row r="92" spans="1:15">
      <c r="A92" s="7" t="s">
        <v>217</v>
      </c>
      <c r="B92" s="7" t="s">
        <v>192</v>
      </c>
      <c r="C92" s="7" t="s">
        <v>218</v>
      </c>
      <c r="D92" s="7" t="s">
        <v>14</v>
      </c>
      <c r="E92" s="7" t="s">
        <v>625</v>
      </c>
      <c r="F92" s="7" t="s">
        <v>76</v>
      </c>
      <c r="G92" s="8" t="s">
        <v>16</v>
      </c>
      <c r="H92" s="10" t="s">
        <v>17</v>
      </c>
      <c r="I92" s="10" t="s">
        <v>26</v>
      </c>
      <c r="J92" s="10" t="s">
        <v>25</v>
      </c>
      <c r="K92" s="8" t="str">
        <f t="shared" si="4"/>
        <v>PR-002-2</v>
      </c>
      <c r="L92" s="8" t="s">
        <v>28</v>
      </c>
      <c r="M92" s="24">
        <v>380312000</v>
      </c>
      <c r="N92" s="10" t="s">
        <v>402</v>
      </c>
      <c r="O92" s="12" t="str">
        <f t="shared" ref="O92:O155" si="6">D92</f>
        <v>COP</v>
      </c>
    </row>
    <row r="93" spans="1:15">
      <c r="A93" s="7" t="s">
        <v>217</v>
      </c>
      <c r="B93" s="7" t="s">
        <v>193</v>
      </c>
      <c r="C93" s="7" t="s">
        <v>218</v>
      </c>
      <c r="D93" s="7" t="s">
        <v>14</v>
      </c>
      <c r="E93" s="7" t="s">
        <v>565</v>
      </c>
      <c r="F93" s="7" t="s">
        <v>76</v>
      </c>
      <c r="G93" s="8" t="s">
        <v>16</v>
      </c>
      <c r="H93" s="10" t="s">
        <v>70</v>
      </c>
      <c r="I93" s="10" t="s">
        <v>26</v>
      </c>
      <c r="J93" s="10" t="s">
        <v>25</v>
      </c>
      <c r="K93" s="8" t="str">
        <f t="shared" si="4"/>
        <v>PR-003-1</v>
      </c>
      <c r="L93" s="8" t="s">
        <v>28</v>
      </c>
      <c r="M93" s="24">
        <v>504000000</v>
      </c>
      <c r="N93" s="10" t="s">
        <v>402</v>
      </c>
      <c r="O93" s="12" t="str">
        <f t="shared" si="6"/>
        <v>COP</v>
      </c>
    </row>
    <row r="94" spans="1:15">
      <c r="A94" s="7" t="s">
        <v>217</v>
      </c>
      <c r="B94" s="7" t="s">
        <v>194</v>
      </c>
      <c r="C94" s="7" t="s">
        <v>218</v>
      </c>
      <c r="D94" s="7" t="s">
        <v>14</v>
      </c>
      <c r="E94" s="7" t="s">
        <v>565</v>
      </c>
      <c r="F94" s="7" t="s">
        <v>76</v>
      </c>
      <c r="G94" s="8" t="s">
        <v>16</v>
      </c>
      <c r="H94" s="10" t="s">
        <v>72</v>
      </c>
      <c r="I94" s="10" t="s">
        <v>26</v>
      </c>
      <c r="J94" s="10" t="s">
        <v>25</v>
      </c>
      <c r="K94" s="8" t="str">
        <f t="shared" si="4"/>
        <v>PR-003-2</v>
      </c>
      <c r="L94" s="8" t="s">
        <v>28</v>
      </c>
      <c r="M94" s="24">
        <v>144000000</v>
      </c>
      <c r="N94" s="10" t="s">
        <v>402</v>
      </c>
      <c r="O94" s="12" t="str">
        <f t="shared" si="6"/>
        <v>COP</v>
      </c>
    </row>
    <row r="95" spans="1:15">
      <c r="A95" s="7" t="s">
        <v>217</v>
      </c>
      <c r="B95" s="7" t="s">
        <v>195</v>
      </c>
      <c r="C95" s="7" t="s">
        <v>218</v>
      </c>
      <c r="D95" s="7" t="s">
        <v>14</v>
      </c>
      <c r="E95" s="7" t="s">
        <v>565</v>
      </c>
      <c r="F95" s="7" t="s">
        <v>76</v>
      </c>
      <c r="G95" s="8" t="s">
        <v>16</v>
      </c>
      <c r="H95" s="10" t="s">
        <v>74</v>
      </c>
      <c r="I95" s="10" t="s">
        <v>26</v>
      </c>
      <c r="J95" s="10" t="s">
        <v>25</v>
      </c>
      <c r="K95" s="8" t="str">
        <f t="shared" si="4"/>
        <v>PR-003-3</v>
      </c>
      <c r="L95" s="8" t="s">
        <v>28</v>
      </c>
      <c r="M95" s="24">
        <v>504000000</v>
      </c>
      <c r="N95" s="10" t="s">
        <v>402</v>
      </c>
      <c r="O95" s="12" t="str">
        <f t="shared" si="6"/>
        <v>COP</v>
      </c>
    </row>
    <row r="96" spans="1:15">
      <c r="A96" s="7" t="s">
        <v>217</v>
      </c>
      <c r="B96" s="7" t="s">
        <v>196</v>
      </c>
      <c r="C96" s="7" t="s">
        <v>218</v>
      </c>
      <c r="D96" s="7" t="s">
        <v>14</v>
      </c>
      <c r="E96" s="7" t="s">
        <v>426</v>
      </c>
      <c r="F96" s="7" t="s">
        <v>76</v>
      </c>
      <c r="G96" s="8" t="s">
        <v>16</v>
      </c>
      <c r="H96" s="10" t="s">
        <v>17</v>
      </c>
      <c r="I96" s="10" t="s">
        <v>26</v>
      </c>
      <c r="J96" s="10" t="s">
        <v>25</v>
      </c>
      <c r="K96" s="8" t="str">
        <f t="shared" si="4"/>
        <v>CP-001</v>
      </c>
      <c r="L96" s="8" t="s">
        <v>28</v>
      </c>
      <c r="M96" s="23">
        <v>500000</v>
      </c>
      <c r="N96" s="10" t="s">
        <v>402</v>
      </c>
      <c r="O96" s="12" t="str">
        <f t="shared" si="6"/>
        <v>COP</v>
      </c>
    </row>
    <row r="97" spans="1:15">
      <c r="A97" s="7" t="s">
        <v>217</v>
      </c>
      <c r="B97" s="7" t="s">
        <v>197</v>
      </c>
      <c r="C97" s="7" t="s">
        <v>218</v>
      </c>
      <c r="D97" s="7" t="s">
        <v>14</v>
      </c>
      <c r="E97" s="7" t="s">
        <v>427</v>
      </c>
      <c r="F97" s="7" t="s">
        <v>76</v>
      </c>
      <c r="G97" s="8" t="s">
        <v>16</v>
      </c>
      <c r="H97" s="10" t="s">
        <v>17</v>
      </c>
      <c r="I97" s="10" t="s">
        <v>26</v>
      </c>
      <c r="J97" s="10" t="s">
        <v>25</v>
      </c>
      <c r="K97" s="8" t="str">
        <f t="shared" si="4"/>
        <v>CP-002</v>
      </c>
      <c r="L97" s="8" t="s">
        <v>28</v>
      </c>
      <c r="M97" s="23">
        <v>5312000</v>
      </c>
      <c r="N97" s="10" t="s">
        <v>402</v>
      </c>
      <c r="O97" s="12" t="str">
        <f t="shared" si="6"/>
        <v>COP</v>
      </c>
    </row>
    <row r="98" spans="1:15">
      <c r="A98" s="7" t="s">
        <v>217</v>
      </c>
      <c r="B98" s="7" t="s">
        <v>198</v>
      </c>
      <c r="C98" s="7" t="s">
        <v>218</v>
      </c>
      <c r="D98" s="7" t="s">
        <v>14</v>
      </c>
      <c r="E98" s="7" t="s">
        <v>428</v>
      </c>
      <c r="F98" s="7" t="s">
        <v>76</v>
      </c>
      <c r="G98" s="8" t="s">
        <v>16</v>
      </c>
      <c r="H98" s="10" t="s">
        <v>17</v>
      </c>
      <c r="I98" s="10" t="s">
        <v>26</v>
      </c>
      <c r="J98" s="10" t="s">
        <v>25</v>
      </c>
      <c r="K98" s="8" t="str">
        <f t="shared" si="4"/>
        <v>CP-003</v>
      </c>
      <c r="L98" s="8" t="s">
        <v>28</v>
      </c>
      <c r="M98" s="23">
        <v>10000</v>
      </c>
      <c r="N98" s="10" t="s">
        <v>402</v>
      </c>
      <c r="O98" s="12" t="str">
        <f t="shared" si="6"/>
        <v>COP</v>
      </c>
    </row>
    <row r="99" spans="1:15">
      <c r="A99" s="7" t="s">
        <v>217</v>
      </c>
      <c r="B99" s="7" t="s">
        <v>199</v>
      </c>
      <c r="C99" s="7" t="s">
        <v>218</v>
      </c>
      <c r="D99" s="7" t="s">
        <v>14</v>
      </c>
      <c r="E99" s="7" t="s">
        <v>626</v>
      </c>
      <c r="F99" s="7" t="s">
        <v>76</v>
      </c>
      <c r="G99" s="8" t="s">
        <v>16</v>
      </c>
      <c r="H99" s="10" t="s">
        <v>17</v>
      </c>
      <c r="I99" s="10" t="s">
        <v>26</v>
      </c>
      <c r="J99" s="10" t="s">
        <v>25</v>
      </c>
      <c r="K99" s="8" t="str">
        <f t="shared" si="4"/>
        <v>CP-004</v>
      </c>
      <c r="L99" s="8" t="s">
        <v>28</v>
      </c>
      <c r="M99" s="23">
        <v>60000000</v>
      </c>
      <c r="N99" s="10" t="s">
        <v>402</v>
      </c>
      <c r="O99" s="12" t="str">
        <f t="shared" si="6"/>
        <v>COP</v>
      </c>
    </row>
    <row r="100" spans="1:15">
      <c r="A100" s="7" t="s">
        <v>217</v>
      </c>
      <c r="B100" s="7" t="s">
        <v>200</v>
      </c>
      <c r="C100" s="7" t="s">
        <v>218</v>
      </c>
      <c r="D100" s="7" t="s">
        <v>14</v>
      </c>
      <c r="E100" s="7" t="s">
        <v>429</v>
      </c>
      <c r="F100" s="7" t="s">
        <v>76</v>
      </c>
      <c r="G100" s="8" t="s">
        <v>16</v>
      </c>
      <c r="H100" s="10" t="s">
        <v>17</v>
      </c>
      <c r="I100" s="10" t="s">
        <v>26</v>
      </c>
      <c r="J100" s="10" t="s">
        <v>25</v>
      </c>
      <c r="K100" s="8" t="str">
        <f t="shared" si="4"/>
        <v>CP-005</v>
      </c>
      <c r="L100" s="8" t="s">
        <v>28</v>
      </c>
      <c r="M100" s="23">
        <v>300000000</v>
      </c>
      <c r="N100" s="10" t="s">
        <v>402</v>
      </c>
      <c r="O100" s="12" t="str">
        <f t="shared" si="6"/>
        <v>COP</v>
      </c>
    </row>
    <row r="101" spans="1:15">
      <c r="A101" s="7" t="s">
        <v>217</v>
      </c>
      <c r="B101" s="7" t="s">
        <v>201</v>
      </c>
      <c r="C101" s="7" t="s">
        <v>218</v>
      </c>
      <c r="D101" s="7" t="s">
        <v>14</v>
      </c>
      <c r="E101" s="7" t="s">
        <v>430</v>
      </c>
      <c r="F101" s="7" t="s">
        <v>76</v>
      </c>
      <c r="G101" s="8" t="s">
        <v>16</v>
      </c>
      <c r="H101" s="10" t="s">
        <v>17</v>
      </c>
      <c r="I101" s="10" t="s">
        <v>26</v>
      </c>
      <c r="J101" s="10" t="s">
        <v>25</v>
      </c>
      <c r="K101" s="8" t="str">
        <f t="shared" si="4"/>
        <v>CP-006</v>
      </c>
      <c r="L101" s="8" t="s">
        <v>28</v>
      </c>
      <c r="M101" s="23">
        <v>990000</v>
      </c>
      <c r="N101" s="10" t="s">
        <v>402</v>
      </c>
      <c r="O101" s="12" t="str">
        <f t="shared" si="6"/>
        <v>COP</v>
      </c>
    </row>
    <row r="102" spans="1:15">
      <c r="A102" s="7" t="s">
        <v>217</v>
      </c>
      <c r="B102" s="7" t="s">
        <v>89</v>
      </c>
      <c r="C102" s="7" t="s">
        <v>218</v>
      </c>
      <c r="D102" s="7" t="s">
        <v>14</v>
      </c>
      <c r="E102" s="7" t="s">
        <v>627</v>
      </c>
      <c r="F102" s="7" t="s">
        <v>91</v>
      </c>
      <c r="G102" s="8" t="s">
        <v>21</v>
      </c>
      <c r="H102" s="10" t="s">
        <v>70</v>
      </c>
      <c r="I102" s="10" t="s">
        <v>26</v>
      </c>
      <c r="J102" s="10" t="s">
        <v>166</v>
      </c>
      <c r="K102" s="8" t="str">
        <f t="shared" si="4"/>
        <v>IT-SW-01-01</v>
      </c>
      <c r="L102" s="8" t="s">
        <v>28</v>
      </c>
      <c r="M102" s="23">
        <v>1571200</v>
      </c>
      <c r="N102" s="10" t="s">
        <v>216</v>
      </c>
      <c r="O102" s="12" t="str">
        <f t="shared" si="6"/>
        <v>COP</v>
      </c>
    </row>
    <row r="103" spans="1:15">
      <c r="A103" s="7" t="s">
        <v>217</v>
      </c>
      <c r="B103" s="7" t="s">
        <v>92</v>
      </c>
      <c r="C103" s="7" t="s">
        <v>218</v>
      </c>
      <c r="D103" s="7" t="s">
        <v>14</v>
      </c>
      <c r="E103" s="7" t="s">
        <v>627</v>
      </c>
      <c r="F103" s="7" t="s">
        <v>91</v>
      </c>
      <c r="G103" s="8" t="s">
        <v>21</v>
      </c>
      <c r="H103" s="10" t="s">
        <v>70</v>
      </c>
      <c r="I103" s="10" t="s">
        <v>42</v>
      </c>
      <c r="J103" s="10" t="s">
        <v>166</v>
      </c>
      <c r="K103" s="8" t="str">
        <f t="shared" si="4"/>
        <v>IT-SW-01-02</v>
      </c>
      <c r="L103" s="8" t="s">
        <v>28</v>
      </c>
      <c r="M103" s="23">
        <v>3928000</v>
      </c>
      <c r="N103" s="10" t="s">
        <v>216</v>
      </c>
      <c r="O103" s="12" t="str">
        <f t="shared" si="6"/>
        <v>COP</v>
      </c>
    </row>
    <row r="104" spans="1:15">
      <c r="A104" s="7" t="s">
        <v>217</v>
      </c>
      <c r="B104" s="7" t="s">
        <v>93</v>
      </c>
      <c r="C104" s="7" t="s">
        <v>218</v>
      </c>
      <c r="D104" s="7" t="s">
        <v>14</v>
      </c>
      <c r="E104" s="7" t="s">
        <v>627</v>
      </c>
      <c r="F104" s="7" t="s">
        <v>91</v>
      </c>
      <c r="G104" s="8" t="s">
        <v>21</v>
      </c>
      <c r="H104" s="10" t="s">
        <v>74</v>
      </c>
      <c r="I104" s="10" t="s">
        <v>26</v>
      </c>
      <c r="J104" s="10" t="s">
        <v>166</v>
      </c>
      <c r="K104" s="8" t="str">
        <f t="shared" si="4"/>
        <v>IT-SW-01-03</v>
      </c>
      <c r="L104" s="8" t="s">
        <v>28</v>
      </c>
      <c r="M104" s="23">
        <v>1571200</v>
      </c>
      <c r="N104" s="10" t="s">
        <v>216</v>
      </c>
      <c r="O104" s="12" t="str">
        <f t="shared" si="6"/>
        <v>COP</v>
      </c>
    </row>
    <row r="105" spans="1:15">
      <c r="A105" s="7" t="s">
        <v>217</v>
      </c>
      <c r="B105" s="7" t="s">
        <v>94</v>
      </c>
      <c r="C105" s="7" t="s">
        <v>218</v>
      </c>
      <c r="D105" s="7" t="s">
        <v>14</v>
      </c>
      <c r="E105" s="7" t="s">
        <v>627</v>
      </c>
      <c r="F105" s="7" t="s">
        <v>91</v>
      </c>
      <c r="G105" s="8" t="s">
        <v>21</v>
      </c>
      <c r="H105" s="10" t="s">
        <v>74</v>
      </c>
      <c r="I105" s="10" t="s">
        <v>42</v>
      </c>
      <c r="J105" s="10" t="s">
        <v>166</v>
      </c>
      <c r="K105" s="8" t="str">
        <f t="shared" si="4"/>
        <v>IT-SW-01-04</v>
      </c>
      <c r="L105" s="8" t="s">
        <v>28</v>
      </c>
      <c r="M105" s="23">
        <v>4080000</v>
      </c>
      <c r="N105" s="10" t="s">
        <v>216</v>
      </c>
      <c r="O105" s="12" t="str">
        <f t="shared" si="6"/>
        <v>COP</v>
      </c>
    </row>
    <row r="106" spans="1:15">
      <c r="A106" s="7" t="s">
        <v>217</v>
      </c>
      <c r="B106" s="7" t="s">
        <v>95</v>
      </c>
      <c r="C106" s="7" t="s">
        <v>218</v>
      </c>
      <c r="D106" s="7" t="s">
        <v>14</v>
      </c>
      <c r="E106" s="7" t="s">
        <v>627</v>
      </c>
      <c r="F106" s="7" t="s">
        <v>91</v>
      </c>
      <c r="G106" s="8" t="s">
        <v>21</v>
      </c>
      <c r="H106" s="10" t="s">
        <v>72</v>
      </c>
      <c r="I106" s="10" t="s">
        <v>26</v>
      </c>
      <c r="J106" s="10" t="s">
        <v>166</v>
      </c>
      <c r="K106" s="8" t="str">
        <f t="shared" si="4"/>
        <v>IT-SW-01-05</v>
      </c>
      <c r="L106" s="8" t="s">
        <v>28</v>
      </c>
      <c r="M106" s="23">
        <v>1571200</v>
      </c>
      <c r="N106" s="10" t="s">
        <v>216</v>
      </c>
      <c r="O106" s="12" t="str">
        <f t="shared" si="6"/>
        <v>COP</v>
      </c>
    </row>
    <row r="107" spans="1:15">
      <c r="A107" s="7" t="s">
        <v>217</v>
      </c>
      <c r="B107" s="7" t="s">
        <v>96</v>
      </c>
      <c r="C107" s="7" t="s">
        <v>218</v>
      </c>
      <c r="D107" s="7" t="s">
        <v>14</v>
      </c>
      <c r="E107" s="7" t="s">
        <v>627</v>
      </c>
      <c r="F107" s="7" t="s">
        <v>91</v>
      </c>
      <c r="G107" s="8" t="s">
        <v>21</v>
      </c>
      <c r="H107" s="10" t="s">
        <v>72</v>
      </c>
      <c r="I107" s="10" t="s">
        <v>42</v>
      </c>
      <c r="J107" s="10" t="s">
        <v>166</v>
      </c>
      <c r="K107" s="8" t="str">
        <f t="shared" si="4"/>
        <v>IT-SW-01-06</v>
      </c>
      <c r="L107" s="8" t="s">
        <v>28</v>
      </c>
      <c r="M107" s="23">
        <v>5100000</v>
      </c>
      <c r="N107" s="10" t="s">
        <v>216</v>
      </c>
      <c r="O107" s="12" t="str">
        <f t="shared" si="6"/>
        <v>COP</v>
      </c>
    </row>
    <row r="108" spans="1:15">
      <c r="A108" s="7" t="s">
        <v>217</v>
      </c>
      <c r="B108" s="7" t="s">
        <v>97</v>
      </c>
      <c r="C108" s="7" t="s">
        <v>218</v>
      </c>
      <c r="D108" s="7" t="s">
        <v>14</v>
      </c>
      <c r="E108" s="7" t="s">
        <v>628</v>
      </c>
      <c r="F108" s="7" t="s">
        <v>99</v>
      </c>
      <c r="G108" s="8" t="s">
        <v>21</v>
      </c>
      <c r="H108" s="10" t="s">
        <v>70</v>
      </c>
      <c r="I108" s="10" t="s">
        <v>26</v>
      </c>
      <c r="J108" s="10" t="s">
        <v>166</v>
      </c>
      <c r="K108" s="8" t="str">
        <f t="shared" si="4"/>
        <v>IT-SW-02-01</v>
      </c>
      <c r="L108" s="8" t="s">
        <v>28</v>
      </c>
      <c r="M108" s="23">
        <v>1571200</v>
      </c>
      <c r="N108" s="10" t="s">
        <v>216</v>
      </c>
      <c r="O108" s="12" t="str">
        <f t="shared" si="6"/>
        <v>COP</v>
      </c>
    </row>
    <row r="109" spans="1:15">
      <c r="A109" s="7" t="s">
        <v>217</v>
      </c>
      <c r="B109" s="7" t="s">
        <v>100</v>
      </c>
      <c r="C109" s="7" t="s">
        <v>218</v>
      </c>
      <c r="D109" s="7" t="s">
        <v>14</v>
      </c>
      <c r="E109" s="7" t="s">
        <v>629</v>
      </c>
      <c r="F109" s="7" t="s">
        <v>99</v>
      </c>
      <c r="G109" s="8" t="s">
        <v>21</v>
      </c>
      <c r="H109" s="10" t="s">
        <v>70</v>
      </c>
      <c r="I109" s="10" t="s">
        <v>42</v>
      </c>
      <c r="J109" s="10" t="s">
        <v>166</v>
      </c>
      <c r="K109" s="8" t="str">
        <f t="shared" si="4"/>
        <v>IT-SW-02-02</v>
      </c>
      <c r="L109" s="8" t="s">
        <v>28</v>
      </c>
      <c r="M109" s="23">
        <v>4320800</v>
      </c>
      <c r="N109" s="10" t="s">
        <v>216</v>
      </c>
      <c r="O109" s="12" t="str">
        <f t="shared" si="6"/>
        <v>COP</v>
      </c>
    </row>
    <row r="110" spans="1:15">
      <c r="A110" s="7" t="s">
        <v>217</v>
      </c>
      <c r="B110" s="7" t="s">
        <v>101</v>
      </c>
      <c r="C110" s="7" t="s">
        <v>218</v>
      </c>
      <c r="D110" s="7" t="s">
        <v>14</v>
      </c>
      <c r="E110" s="7" t="s">
        <v>628</v>
      </c>
      <c r="F110" s="7" t="s">
        <v>99</v>
      </c>
      <c r="G110" s="8" t="s">
        <v>21</v>
      </c>
      <c r="H110" s="10" t="s">
        <v>74</v>
      </c>
      <c r="I110" s="10" t="s">
        <v>26</v>
      </c>
      <c r="J110" s="10" t="s">
        <v>166</v>
      </c>
      <c r="K110" s="8" t="str">
        <f t="shared" si="4"/>
        <v>IT-SW-02-03</v>
      </c>
      <c r="L110" s="8" t="s">
        <v>28</v>
      </c>
      <c r="M110" s="23">
        <v>1571200</v>
      </c>
      <c r="N110" s="10" t="s">
        <v>216</v>
      </c>
      <c r="O110" s="12" t="str">
        <f t="shared" si="6"/>
        <v>COP</v>
      </c>
    </row>
    <row r="111" spans="1:15">
      <c r="A111" s="7" t="s">
        <v>217</v>
      </c>
      <c r="B111" s="7" t="s">
        <v>102</v>
      </c>
      <c r="C111" s="7" t="s">
        <v>218</v>
      </c>
      <c r="D111" s="7" t="s">
        <v>14</v>
      </c>
      <c r="E111" s="7" t="s">
        <v>628</v>
      </c>
      <c r="F111" s="7" t="s">
        <v>99</v>
      </c>
      <c r="G111" s="8" t="s">
        <v>21</v>
      </c>
      <c r="H111" s="10" t="s">
        <v>74</v>
      </c>
      <c r="I111" s="10" t="s">
        <v>42</v>
      </c>
      <c r="J111" s="10" t="s">
        <v>166</v>
      </c>
      <c r="K111" s="8" t="str">
        <f t="shared" si="4"/>
        <v>IT-SW-02-04</v>
      </c>
      <c r="L111" s="8" t="s">
        <v>28</v>
      </c>
      <c r="M111" s="23">
        <v>4488000</v>
      </c>
      <c r="N111" s="10" t="s">
        <v>216</v>
      </c>
      <c r="O111" s="12" t="str">
        <f t="shared" si="6"/>
        <v>COP</v>
      </c>
    </row>
    <row r="112" spans="1:15">
      <c r="A112" s="7" t="s">
        <v>217</v>
      </c>
      <c r="B112" s="7" t="s">
        <v>103</v>
      </c>
      <c r="C112" s="7" t="s">
        <v>218</v>
      </c>
      <c r="D112" s="7" t="s">
        <v>14</v>
      </c>
      <c r="E112" s="7" t="s">
        <v>628</v>
      </c>
      <c r="F112" s="7" t="s">
        <v>99</v>
      </c>
      <c r="G112" s="8" t="s">
        <v>21</v>
      </c>
      <c r="H112" s="10" t="s">
        <v>72</v>
      </c>
      <c r="I112" s="10" t="s">
        <v>26</v>
      </c>
      <c r="J112" s="10" t="s">
        <v>166</v>
      </c>
      <c r="K112" s="8" t="str">
        <f t="shared" si="4"/>
        <v>IT-SW-02-05</v>
      </c>
      <c r="L112" s="8" t="s">
        <v>28</v>
      </c>
      <c r="M112" s="23">
        <v>1571200</v>
      </c>
      <c r="N112" s="10" t="s">
        <v>216</v>
      </c>
      <c r="O112" s="12" t="str">
        <f t="shared" si="6"/>
        <v>COP</v>
      </c>
    </row>
    <row r="113" spans="1:15">
      <c r="A113" s="7" t="s">
        <v>217</v>
      </c>
      <c r="B113" s="7" t="s">
        <v>104</v>
      </c>
      <c r="C113" s="7" t="s">
        <v>218</v>
      </c>
      <c r="D113" s="7" t="s">
        <v>14</v>
      </c>
      <c r="E113" s="7" t="s">
        <v>628</v>
      </c>
      <c r="F113" s="7" t="s">
        <v>99</v>
      </c>
      <c r="G113" s="8" t="s">
        <v>21</v>
      </c>
      <c r="H113" s="10" t="s">
        <v>72</v>
      </c>
      <c r="I113" s="10" t="s">
        <v>42</v>
      </c>
      <c r="J113" s="10" t="s">
        <v>166</v>
      </c>
      <c r="K113" s="8" t="str">
        <f t="shared" si="4"/>
        <v>IT-SW-02-06</v>
      </c>
      <c r="L113" s="8" t="s">
        <v>28</v>
      </c>
      <c r="M113" s="23">
        <v>5610000</v>
      </c>
      <c r="N113" s="10" t="s">
        <v>216</v>
      </c>
      <c r="O113" s="12" t="str">
        <f t="shared" si="6"/>
        <v>COP</v>
      </c>
    </row>
    <row r="114" spans="1:15">
      <c r="A114" s="7" t="s">
        <v>217</v>
      </c>
      <c r="B114" s="7" t="s">
        <v>105</v>
      </c>
      <c r="C114" s="7" t="s">
        <v>218</v>
      </c>
      <c r="D114" s="7" t="s">
        <v>14</v>
      </c>
      <c r="E114" s="7" t="s">
        <v>630</v>
      </c>
      <c r="F114" s="7" t="s">
        <v>91</v>
      </c>
      <c r="G114" s="8" t="s">
        <v>21</v>
      </c>
      <c r="H114" s="10" t="s">
        <v>70</v>
      </c>
      <c r="I114" s="10" t="s">
        <v>26</v>
      </c>
      <c r="J114" s="10" t="s">
        <v>171</v>
      </c>
      <c r="K114" s="8" t="str">
        <f t="shared" si="4"/>
        <v>IT-SW-03-01</v>
      </c>
      <c r="L114" s="8" t="s">
        <v>28</v>
      </c>
      <c r="M114" s="23">
        <v>1571200</v>
      </c>
      <c r="N114" s="10" t="s">
        <v>216</v>
      </c>
      <c r="O114" s="12" t="str">
        <f t="shared" si="6"/>
        <v>COP</v>
      </c>
    </row>
    <row r="115" spans="1:15">
      <c r="A115" s="7" t="s">
        <v>217</v>
      </c>
      <c r="B115" s="7" t="s">
        <v>107</v>
      </c>
      <c r="C115" s="7" t="s">
        <v>218</v>
      </c>
      <c r="D115" s="7" t="s">
        <v>14</v>
      </c>
      <c r="E115" s="7" t="s">
        <v>630</v>
      </c>
      <c r="F115" s="7" t="s">
        <v>91</v>
      </c>
      <c r="G115" s="8" t="s">
        <v>21</v>
      </c>
      <c r="H115" s="10" t="s">
        <v>70</v>
      </c>
      <c r="I115" s="10" t="s">
        <v>42</v>
      </c>
      <c r="J115" s="10" t="s">
        <v>171</v>
      </c>
      <c r="K115" s="8" t="str">
        <f t="shared" si="4"/>
        <v>IT-SW-03-02</v>
      </c>
      <c r="L115" s="8" t="s">
        <v>28</v>
      </c>
      <c r="M115" s="23">
        <v>4320800</v>
      </c>
      <c r="N115" s="10" t="s">
        <v>216</v>
      </c>
      <c r="O115" s="12" t="str">
        <f t="shared" si="6"/>
        <v>COP</v>
      </c>
    </row>
    <row r="116" spans="1:15">
      <c r="A116" s="7" t="s">
        <v>217</v>
      </c>
      <c r="B116" s="7" t="s">
        <v>108</v>
      </c>
      <c r="C116" s="7" t="s">
        <v>218</v>
      </c>
      <c r="D116" s="7" t="s">
        <v>14</v>
      </c>
      <c r="E116" s="7" t="s">
        <v>630</v>
      </c>
      <c r="F116" s="7" t="s">
        <v>91</v>
      </c>
      <c r="G116" s="8" t="s">
        <v>21</v>
      </c>
      <c r="H116" s="10" t="s">
        <v>74</v>
      </c>
      <c r="I116" s="10" t="s">
        <v>26</v>
      </c>
      <c r="J116" s="10" t="s">
        <v>171</v>
      </c>
      <c r="K116" s="8" t="str">
        <f t="shared" si="4"/>
        <v>IT-SW-03-03</v>
      </c>
      <c r="L116" s="8" t="s">
        <v>28</v>
      </c>
      <c r="M116" s="23">
        <v>1571200</v>
      </c>
      <c r="N116" s="10" t="s">
        <v>216</v>
      </c>
      <c r="O116" s="12" t="str">
        <f t="shared" si="6"/>
        <v>COP</v>
      </c>
    </row>
    <row r="117" spans="1:15">
      <c r="A117" s="7" t="s">
        <v>217</v>
      </c>
      <c r="B117" s="7" t="s">
        <v>109</v>
      </c>
      <c r="C117" s="7" t="s">
        <v>218</v>
      </c>
      <c r="D117" s="7" t="s">
        <v>14</v>
      </c>
      <c r="E117" s="7" t="s">
        <v>630</v>
      </c>
      <c r="F117" s="7" t="s">
        <v>91</v>
      </c>
      <c r="G117" s="8" t="s">
        <v>21</v>
      </c>
      <c r="H117" s="10" t="s">
        <v>74</v>
      </c>
      <c r="I117" s="10" t="s">
        <v>42</v>
      </c>
      <c r="J117" s="10" t="s">
        <v>171</v>
      </c>
      <c r="K117" s="8" t="str">
        <f t="shared" si="4"/>
        <v>IT-SW-03-04</v>
      </c>
      <c r="L117" s="8" t="s">
        <v>28</v>
      </c>
      <c r="M117" s="23">
        <v>4488000</v>
      </c>
      <c r="N117" s="10" t="s">
        <v>216</v>
      </c>
      <c r="O117" s="12" t="str">
        <f t="shared" si="6"/>
        <v>COP</v>
      </c>
    </row>
    <row r="118" spans="1:15">
      <c r="A118" s="7" t="s">
        <v>217</v>
      </c>
      <c r="B118" s="7" t="s">
        <v>110</v>
      </c>
      <c r="C118" s="7" t="s">
        <v>218</v>
      </c>
      <c r="D118" s="7" t="s">
        <v>14</v>
      </c>
      <c r="E118" s="7" t="s">
        <v>630</v>
      </c>
      <c r="F118" s="7" t="s">
        <v>91</v>
      </c>
      <c r="G118" s="8" t="s">
        <v>21</v>
      </c>
      <c r="H118" s="10" t="s">
        <v>72</v>
      </c>
      <c r="I118" s="10" t="s">
        <v>26</v>
      </c>
      <c r="J118" s="10" t="s">
        <v>171</v>
      </c>
      <c r="K118" s="8" t="str">
        <f t="shared" si="4"/>
        <v>IT-SW-03-05</v>
      </c>
      <c r="L118" s="8" t="s">
        <v>28</v>
      </c>
      <c r="M118" s="23">
        <v>1571200</v>
      </c>
      <c r="N118" s="10" t="s">
        <v>216</v>
      </c>
      <c r="O118" s="12" t="str">
        <f t="shared" si="6"/>
        <v>COP</v>
      </c>
    </row>
    <row r="119" spans="1:15">
      <c r="A119" s="7" t="s">
        <v>217</v>
      </c>
      <c r="B119" s="7" t="s">
        <v>111</v>
      </c>
      <c r="C119" s="7" t="s">
        <v>218</v>
      </c>
      <c r="D119" s="7" t="s">
        <v>14</v>
      </c>
      <c r="E119" s="7" t="s">
        <v>630</v>
      </c>
      <c r="F119" s="7" t="s">
        <v>91</v>
      </c>
      <c r="G119" s="8" t="s">
        <v>21</v>
      </c>
      <c r="H119" s="10" t="s">
        <v>72</v>
      </c>
      <c r="I119" s="10" t="s">
        <v>42</v>
      </c>
      <c r="J119" s="10" t="s">
        <v>171</v>
      </c>
      <c r="K119" s="8" t="str">
        <f t="shared" si="4"/>
        <v>IT-SW-03-06</v>
      </c>
      <c r="L119" s="8" t="s">
        <v>28</v>
      </c>
      <c r="M119" s="23">
        <v>5610000</v>
      </c>
      <c r="N119" s="10" t="s">
        <v>216</v>
      </c>
      <c r="O119" s="12" t="str">
        <f t="shared" si="6"/>
        <v>COP</v>
      </c>
    </row>
    <row r="120" spans="1:15">
      <c r="A120" s="7" t="s">
        <v>217</v>
      </c>
      <c r="B120" s="7" t="s">
        <v>112</v>
      </c>
      <c r="C120" s="7" t="s">
        <v>218</v>
      </c>
      <c r="D120" s="7" t="s">
        <v>14</v>
      </c>
      <c r="E120" s="7" t="s">
        <v>631</v>
      </c>
      <c r="F120" s="7" t="s">
        <v>99</v>
      </c>
      <c r="G120" s="8" t="s">
        <v>21</v>
      </c>
      <c r="H120" s="10" t="s">
        <v>70</v>
      </c>
      <c r="I120" s="10" t="s">
        <v>26</v>
      </c>
      <c r="J120" s="10" t="s">
        <v>171</v>
      </c>
      <c r="K120" s="8" t="str">
        <f t="shared" si="4"/>
        <v>IT-SW-04-01</v>
      </c>
      <c r="L120" s="8" t="s">
        <v>28</v>
      </c>
      <c r="M120" s="23">
        <v>1571200</v>
      </c>
      <c r="N120" s="10" t="s">
        <v>216</v>
      </c>
      <c r="O120" s="12" t="str">
        <f t="shared" si="6"/>
        <v>COP</v>
      </c>
    </row>
    <row r="121" spans="1:15">
      <c r="A121" s="7" t="s">
        <v>217</v>
      </c>
      <c r="B121" s="7" t="s">
        <v>114</v>
      </c>
      <c r="C121" s="7" t="s">
        <v>218</v>
      </c>
      <c r="D121" s="7" t="s">
        <v>14</v>
      </c>
      <c r="E121" s="7" t="s">
        <v>631</v>
      </c>
      <c r="F121" s="7" t="s">
        <v>99</v>
      </c>
      <c r="G121" s="8" t="s">
        <v>21</v>
      </c>
      <c r="H121" s="10" t="s">
        <v>70</v>
      </c>
      <c r="I121" s="10" t="s">
        <v>42</v>
      </c>
      <c r="J121" s="10" t="s">
        <v>171</v>
      </c>
      <c r="K121" s="8" t="str">
        <f t="shared" si="4"/>
        <v>IT-SW-04-02</v>
      </c>
      <c r="L121" s="8" t="s">
        <v>28</v>
      </c>
      <c r="M121" s="23">
        <v>4752880</v>
      </c>
      <c r="N121" s="10" t="s">
        <v>216</v>
      </c>
      <c r="O121" s="12" t="str">
        <f t="shared" si="6"/>
        <v>COP</v>
      </c>
    </row>
    <row r="122" spans="1:15">
      <c r="A122" s="7" t="s">
        <v>217</v>
      </c>
      <c r="B122" s="7" t="s">
        <v>115</v>
      </c>
      <c r="C122" s="7" t="s">
        <v>218</v>
      </c>
      <c r="D122" s="7" t="s">
        <v>14</v>
      </c>
      <c r="E122" s="7" t="s">
        <v>631</v>
      </c>
      <c r="F122" s="7" t="s">
        <v>99</v>
      </c>
      <c r="G122" s="8" t="s">
        <v>21</v>
      </c>
      <c r="H122" s="10" t="s">
        <v>74</v>
      </c>
      <c r="I122" s="10" t="s">
        <v>26</v>
      </c>
      <c r="J122" s="10" t="s">
        <v>171</v>
      </c>
      <c r="K122" s="8" t="str">
        <f t="shared" si="4"/>
        <v>IT-SW-04-03</v>
      </c>
      <c r="L122" s="8" t="s">
        <v>28</v>
      </c>
      <c r="M122" s="23">
        <v>1571200</v>
      </c>
      <c r="N122" s="10" t="s">
        <v>216</v>
      </c>
      <c r="O122" s="12" t="str">
        <f t="shared" si="6"/>
        <v>COP</v>
      </c>
    </row>
    <row r="123" spans="1:15">
      <c r="A123" s="7" t="s">
        <v>217</v>
      </c>
      <c r="B123" s="7" t="s">
        <v>116</v>
      </c>
      <c r="C123" s="7" t="s">
        <v>218</v>
      </c>
      <c r="D123" s="7" t="s">
        <v>14</v>
      </c>
      <c r="E123" s="7" t="s">
        <v>631</v>
      </c>
      <c r="F123" s="7" t="s">
        <v>99</v>
      </c>
      <c r="G123" s="8" t="s">
        <v>21</v>
      </c>
      <c r="H123" s="10" t="s">
        <v>74</v>
      </c>
      <c r="I123" s="10" t="s">
        <v>42</v>
      </c>
      <c r="J123" s="10" t="s">
        <v>171</v>
      </c>
      <c r="K123" s="8" t="str">
        <f t="shared" si="4"/>
        <v>IT-SW-04-04</v>
      </c>
      <c r="L123" s="8" t="s">
        <v>28</v>
      </c>
      <c r="M123" s="23">
        <v>4936800</v>
      </c>
      <c r="N123" s="10" t="s">
        <v>216</v>
      </c>
      <c r="O123" s="12" t="str">
        <f t="shared" si="6"/>
        <v>COP</v>
      </c>
    </row>
    <row r="124" spans="1:15">
      <c r="A124" s="7" t="s">
        <v>217</v>
      </c>
      <c r="B124" s="7" t="s">
        <v>117</v>
      </c>
      <c r="C124" s="7" t="s">
        <v>218</v>
      </c>
      <c r="D124" s="7" t="s">
        <v>14</v>
      </c>
      <c r="E124" s="7" t="s">
        <v>631</v>
      </c>
      <c r="F124" s="7" t="s">
        <v>99</v>
      </c>
      <c r="G124" s="8" t="s">
        <v>21</v>
      </c>
      <c r="H124" s="10" t="s">
        <v>72</v>
      </c>
      <c r="I124" s="10" t="s">
        <v>26</v>
      </c>
      <c r="J124" s="10" t="s">
        <v>171</v>
      </c>
      <c r="K124" s="8" t="str">
        <f t="shared" si="4"/>
        <v>IT-SW-04-05</v>
      </c>
      <c r="L124" s="8" t="s">
        <v>28</v>
      </c>
      <c r="M124" s="23">
        <v>1571200</v>
      </c>
      <c r="N124" s="10" t="s">
        <v>216</v>
      </c>
      <c r="O124" s="12" t="str">
        <f t="shared" si="6"/>
        <v>COP</v>
      </c>
    </row>
    <row r="125" spans="1:15">
      <c r="A125" s="7" t="s">
        <v>217</v>
      </c>
      <c r="B125" s="7" t="s">
        <v>118</v>
      </c>
      <c r="C125" s="7" t="s">
        <v>218</v>
      </c>
      <c r="D125" s="7" t="s">
        <v>14</v>
      </c>
      <c r="E125" s="7" t="s">
        <v>631</v>
      </c>
      <c r="F125" s="7" t="s">
        <v>99</v>
      </c>
      <c r="G125" s="8" t="s">
        <v>21</v>
      </c>
      <c r="H125" s="10" t="s">
        <v>72</v>
      </c>
      <c r="I125" s="10" t="s">
        <v>42</v>
      </c>
      <c r="J125" s="10" t="s">
        <v>171</v>
      </c>
      <c r="K125" s="8" t="str">
        <f t="shared" si="4"/>
        <v>IT-SW-04-06</v>
      </c>
      <c r="L125" s="8" t="s">
        <v>28</v>
      </c>
      <c r="M125" s="23">
        <v>6171000</v>
      </c>
      <c r="N125" s="10" t="s">
        <v>216</v>
      </c>
      <c r="O125" s="12" t="str">
        <f t="shared" si="6"/>
        <v>COP</v>
      </c>
    </row>
    <row r="126" spans="1:15">
      <c r="A126" s="7" t="s">
        <v>217</v>
      </c>
      <c r="B126" s="7" t="s">
        <v>431</v>
      </c>
      <c r="C126" s="7" t="s">
        <v>218</v>
      </c>
      <c r="D126" s="7" t="s">
        <v>14</v>
      </c>
      <c r="E126" s="7" t="s">
        <v>432</v>
      </c>
      <c r="F126" s="7" t="s">
        <v>99</v>
      </c>
      <c r="G126" s="8" t="s">
        <v>21</v>
      </c>
      <c r="H126" s="10" t="s">
        <v>17</v>
      </c>
      <c r="I126" s="10" t="s">
        <v>26</v>
      </c>
      <c r="J126" s="10" t="s">
        <v>171</v>
      </c>
      <c r="K126" s="8" t="str">
        <f t="shared" si="4"/>
        <v>IT-SW-04-06A</v>
      </c>
      <c r="L126" s="8" t="s">
        <v>28</v>
      </c>
      <c r="M126" s="23">
        <v>37610100</v>
      </c>
      <c r="N126" s="10" t="s">
        <v>216</v>
      </c>
      <c r="O126" s="12" t="str">
        <f t="shared" si="6"/>
        <v>COP</v>
      </c>
    </row>
    <row r="127" spans="1:15">
      <c r="A127" s="7" t="s">
        <v>217</v>
      </c>
      <c r="B127" s="7" t="s">
        <v>433</v>
      </c>
      <c r="C127" s="7" t="s">
        <v>218</v>
      </c>
      <c r="D127" s="7" t="s">
        <v>14</v>
      </c>
      <c r="E127" s="7" t="s">
        <v>432</v>
      </c>
      <c r="F127" s="7" t="s">
        <v>99</v>
      </c>
      <c r="G127" s="8" t="s">
        <v>21</v>
      </c>
      <c r="H127" s="10" t="s">
        <v>70</v>
      </c>
      <c r="I127" s="10" t="s">
        <v>42</v>
      </c>
      <c r="J127" s="10" t="s">
        <v>171</v>
      </c>
      <c r="K127" s="8" t="str">
        <f t="shared" si="4"/>
        <v>IT-SW-04-06B</v>
      </c>
      <c r="L127" s="8" t="s">
        <v>28</v>
      </c>
      <c r="M127" s="23">
        <v>45132120</v>
      </c>
      <c r="N127" s="10" t="s">
        <v>216</v>
      </c>
      <c r="O127" s="12" t="str">
        <f t="shared" si="6"/>
        <v>COP</v>
      </c>
    </row>
    <row r="128" spans="1:15">
      <c r="A128" s="7" t="s">
        <v>217</v>
      </c>
      <c r="B128" s="7" t="s">
        <v>434</v>
      </c>
      <c r="C128" s="7" t="s">
        <v>218</v>
      </c>
      <c r="D128" s="7" t="s">
        <v>14</v>
      </c>
      <c r="E128" s="7" t="s">
        <v>432</v>
      </c>
      <c r="F128" s="7" t="s">
        <v>99</v>
      </c>
      <c r="G128" s="8" t="s">
        <v>21</v>
      </c>
      <c r="H128" s="10" t="s">
        <v>74</v>
      </c>
      <c r="I128" s="10" t="s">
        <v>42</v>
      </c>
      <c r="J128" s="10" t="s">
        <v>171</v>
      </c>
      <c r="K128" s="8" t="str">
        <f t="shared" si="4"/>
        <v>IT-SW-04-06C</v>
      </c>
      <c r="L128" s="8" t="s">
        <v>28</v>
      </c>
      <c r="M128" s="23">
        <v>54158544</v>
      </c>
      <c r="N128" s="10" t="s">
        <v>216</v>
      </c>
      <c r="O128" s="12" t="str">
        <f t="shared" si="6"/>
        <v>COP</v>
      </c>
    </row>
    <row r="129" spans="1:15">
      <c r="A129" s="7" t="s">
        <v>217</v>
      </c>
      <c r="B129" s="7" t="s">
        <v>435</v>
      </c>
      <c r="C129" s="7" t="s">
        <v>218</v>
      </c>
      <c r="D129" s="7" t="s">
        <v>14</v>
      </c>
      <c r="E129" s="7" t="s">
        <v>432</v>
      </c>
      <c r="F129" s="7" t="s">
        <v>99</v>
      </c>
      <c r="G129" s="8" t="s">
        <v>21</v>
      </c>
      <c r="H129" s="10" t="s">
        <v>72</v>
      </c>
      <c r="I129" s="10" t="s">
        <v>42</v>
      </c>
      <c r="J129" s="10" t="s">
        <v>171</v>
      </c>
      <c r="K129" s="8" t="str">
        <f t="shared" si="4"/>
        <v>IT-SW-04-06D</v>
      </c>
      <c r="L129" s="8" t="s">
        <v>28</v>
      </c>
      <c r="M129" s="23">
        <v>64990252.799999997</v>
      </c>
      <c r="N129" s="10" t="s">
        <v>216</v>
      </c>
      <c r="O129" s="12" t="str">
        <f t="shared" si="6"/>
        <v>COP</v>
      </c>
    </row>
    <row r="130" spans="1:15">
      <c r="A130" s="7" t="s">
        <v>217</v>
      </c>
      <c r="B130" s="7" t="s">
        <v>119</v>
      </c>
      <c r="C130" s="7" t="s">
        <v>218</v>
      </c>
      <c r="D130" s="7" t="s">
        <v>14</v>
      </c>
      <c r="E130" s="7" t="s">
        <v>632</v>
      </c>
      <c r="F130" s="7" t="s">
        <v>29</v>
      </c>
      <c r="G130" s="8" t="s">
        <v>21</v>
      </c>
      <c r="H130" s="10" t="s">
        <v>70</v>
      </c>
      <c r="I130" s="10" t="s">
        <v>26</v>
      </c>
      <c r="J130" s="10" t="s">
        <v>171</v>
      </c>
      <c r="K130" s="8" t="str">
        <f t="shared" ref="K130:K165" si="7">+B130</f>
        <v>IT-SW-05-01</v>
      </c>
      <c r="L130" s="8" t="s">
        <v>28</v>
      </c>
      <c r="M130" s="23">
        <v>184000</v>
      </c>
      <c r="N130" s="10" t="s">
        <v>216</v>
      </c>
      <c r="O130" s="12" t="str">
        <f t="shared" si="6"/>
        <v>COP</v>
      </c>
    </row>
    <row r="131" spans="1:15">
      <c r="A131" s="7" t="s">
        <v>217</v>
      </c>
      <c r="B131" s="7" t="s">
        <v>121</v>
      </c>
      <c r="C131" s="7" t="s">
        <v>218</v>
      </c>
      <c r="D131" s="7" t="s">
        <v>14</v>
      </c>
      <c r="E131" s="7" t="s">
        <v>632</v>
      </c>
      <c r="F131" s="7" t="s">
        <v>29</v>
      </c>
      <c r="G131" s="8" t="s">
        <v>21</v>
      </c>
      <c r="H131" s="10" t="s">
        <v>70</v>
      </c>
      <c r="I131" s="10" t="s">
        <v>42</v>
      </c>
      <c r="J131" s="10" t="s">
        <v>171</v>
      </c>
      <c r="K131" s="8" t="str">
        <f t="shared" si="7"/>
        <v>IT-SW-05-02</v>
      </c>
      <c r="L131" s="8" t="s">
        <v>28</v>
      </c>
      <c r="M131" s="23">
        <v>230000</v>
      </c>
      <c r="N131" s="10" t="s">
        <v>216</v>
      </c>
      <c r="O131" s="12" t="str">
        <f t="shared" si="6"/>
        <v>COP</v>
      </c>
    </row>
    <row r="132" spans="1:15">
      <c r="A132" s="7" t="s">
        <v>217</v>
      </c>
      <c r="B132" s="7" t="s">
        <v>122</v>
      </c>
      <c r="C132" s="7" t="s">
        <v>218</v>
      </c>
      <c r="D132" s="7" t="s">
        <v>14</v>
      </c>
      <c r="E132" s="7" t="s">
        <v>632</v>
      </c>
      <c r="F132" s="7" t="s">
        <v>29</v>
      </c>
      <c r="G132" s="8" t="s">
        <v>21</v>
      </c>
      <c r="H132" s="10" t="s">
        <v>74</v>
      </c>
      <c r="I132" s="10" t="s">
        <v>26</v>
      </c>
      <c r="J132" s="10" t="s">
        <v>171</v>
      </c>
      <c r="K132" s="8" t="str">
        <f t="shared" si="7"/>
        <v>IT-SW-05-03</v>
      </c>
      <c r="L132" s="8" t="s">
        <v>28</v>
      </c>
      <c r="M132" s="23">
        <v>130000</v>
      </c>
      <c r="N132" s="10" t="s">
        <v>216</v>
      </c>
      <c r="O132" s="12" t="str">
        <f t="shared" si="6"/>
        <v>COP</v>
      </c>
    </row>
    <row r="133" spans="1:15">
      <c r="A133" s="7" t="s">
        <v>217</v>
      </c>
      <c r="B133" s="7" t="s">
        <v>123</v>
      </c>
      <c r="C133" s="7" t="s">
        <v>218</v>
      </c>
      <c r="D133" s="7" t="s">
        <v>14</v>
      </c>
      <c r="E133" s="7" t="s">
        <v>632</v>
      </c>
      <c r="F133" s="7" t="s">
        <v>29</v>
      </c>
      <c r="G133" s="8" t="s">
        <v>21</v>
      </c>
      <c r="H133" s="10" t="s">
        <v>74</v>
      </c>
      <c r="I133" s="10" t="s">
        <v>42</v>
      </c>
      <c r="J133" s="10" t="s">
        <v>171</v>
      </c>
      <c r="K133" s="8" t="str">
        <f t="shared" si="7"/>
        <v>IT-SW-05-04</v>
      </c>
      <c r="L133" s="8" t="s">
        <v>28</v>
      </c>
      <c r="M133" s="23">
        <v>337500</v>
      </c>
      <c r="N133" s="10" t="s">
        <v>216</v>
      </c>
      <c r="O133" s="12" t="str">
        <f t="shared" si="6"/>
        <v>COP</v>
      </c>
    </row>
    <row r="134" spans="1:15">
      <c r="A134" s="7" t="s">
        <v>217</v>
      </c>
      <c r="B134" s="7" t="s">
        <v>124</v>
      </c>
      <c r="C134" s="7" t="s">
        <v>218</v>
      </c>
      <c r="D134" s="7" t="s">
        <v>14</v>
      </c>
      <c r="E134" s="7" t="s">
        <v>632</v>
      </c>
      <c r="F134" s="7" t="s">
        <v>29</v>
      </c>
      <c r="G134" s="8" t="s">
        <v>21</v>
      </c>
      <c r="H134" s="10" t="s">
        <v>72</v>
      </c>
      <c r="I134" s="10" t="s">
        <v>26</v>
      </c>
      <c r="J134" s="10" t="s">
        <v>171</v>
      </c>
      <c r="K134" s="8" t="str">
        <f t="shared" si="7"/>
        <v>IT-SW-05-05</v>
      </c>
      <c r="L134" s="8" t="s">
        <v>28</v>
      </c>
      <c r="M134" s="23">
        <v>130000</v>
      </c>
      <c r="N134" s="10" t="s">
        <v>216</v>
      </c>
      <c r="O134" s="12" t="str">
        <f t="shared" si="6"/>
        <v>COP</v>
      </c>
    </row>
    <row r="135" spans="1:15">
      <c r="A135" s="7" t="s">
        <v>217</v>
      </c>
      <c r="B135" s="7" t="s">
        <v>125</v>
      </c>
      <c r="C135" s="7" t="s">
        <v>218</v>
      </c>
      <c r="D135" s="7" t="s">
        <v>14</v>
      </c>
      <c r="E135" s="7" t="s">
        <v>632</v>
      </c>
      <c r="F135" s="7" t="s">
        <v>29</v>
      </c>
      <c r="G135" s="8" t="s">
        <v>21</v>
      </c>
      <c r="H135" s="10" t="s">
        <v>72</v>
      </c>
      <c r="I135" s="10" t="s">
        <v>42</v>
      </c>
      <c r="J135" s="10" t="s">
        <v>171</v>
      </c>
      <c r="K135" s="8" t="str">
        <f t="shared" si="7"/>
        <v>IT-SW-05-06</v>
      </c>
      <c r="L135" s="8" t="s">
        <v>28</v>
      </c>
      <c r="M135" s="23">
        <v>337500</v>
      </c>
      <c r="N135" s="10" t="s">
        <v>216</v>
      </c>
      <c r="O135" s="12" t="str">
        <f t="shared" si="6"/>
        <v>COP</v>
      </c>
    </row>
    <row r="136" spans="1:15">
      <c r="A136" s="7" t="s">
        <v>217</v>
      </c>
      <c r="B136" s="7" t="s">
        <v>126</v>
      </c>
      <c r="C136" s="7" t="s">
        <v>218</v>
      </c>
      <c r="D136" s="7" t="s">
        <v>14</v>
      </c>
      <c r="E136" s="7" t="s">
        <v>633</v>
      </c>
      <c r="F136" s="7" t="s">
        <v>128</v>
      </c>
      <c r="G136" s="8" t="s">
        <v>21</v>
      </c>
      <c r="H136" s="10" t="s">
        <v>70</v>
      </c>
      <c r="I136" s="10" t="s">
        <v>42</v>
      </c>
      <c r="J136" s="10" t="s">
        <v>167</v>
      </c>
      <c r="K136" s="8" t="str">
        <f t="shared" si="7"/>
        <v>IT-SW-06-01</v>
      </c>
      <c r="L136" s="8" t="s">
        <v>28</v>
      </c>
      <c r="M136" s="23">
        <v>18000000</v>
      </c>
      <c r="N136" s="10" t="s">
        <v>216</v>
      </c>
      <c r="O136" s="12" t="str">
        <f t="shared" si="6"/>
        <v>COP</v>
      </c>
    </row>
    <row r="137" spans="1:15">
      <c r="A137" s="7" t="s">
        <v>217</v>
      </c>
      <c r="B137" s="7" t="s">
        <v>129</v>
      </c>
      <c r="C137" s="7" t="s">
        <v>218</v>
      </c>
      <c r="D137" s="7" t="s">
        <v>14</v>
      </c>
      <c r="E137" s="7" t="s">
        <v>633</v>
      </c>
      <c r="F137" s="7" t="s">
        <v>128</v>
      </c>
      <c r="G137" s="8" t="s">
        <v>21</v>
      </c>
      <c r="H137" s="10" t="s">
        <v>74</v>
      </c>
      <c r="I137" s="10" t="s">
        <v>42</v>
      </c>
      <c r="J137" s="10" t="s">
        <v>167</v>
      </c>
      <c r="K137" s="8" t="str">
        <f t="shared" si="7"/>
        <v>IT-SW-06-02</v>
      </c>
      <c r="L137" s="8" t="s">
        <v>28</v>
      </c>
      <c r="M137" s="23">
        <v>18000000</v>
      </c>
      <c r="N137" s="10" t="s">
        <v>216</v>
      </c>
      <c r="O137" s="12" t="str">
        <f t="shared" si="6"/>
        <v>COP</v>
      </c>
    </row>
    <row r="138" spans="1:15">
      <c r="A138" s="7" t="s">
        <v>217</v>
      </c>
      <c r="B138" s="7" t="s">
        <v>130</v>
      </c>
      <c r="C138" s="7" t="s">
        <v>218</v>
      </c>
      <c r="D138" s="7" t="s">
        <v>14</v>
      </c>
      <c r="E138" s="7" t="s">
        <v>633</v>
      </c>
      <c r="F138" s="7" t="s">
        <v>128</v>
      </c>
      <c r="G138" s="8" t="s">
        <v>21</v>
      </c>
      <c r="H138" s="10" t="s">
        <v>72</v>
      </c>
      <c r="I138" s="10" t="s">
        <v>42</v>
      </c>
      <c r="J138" s="10" t="s">
        <v>167</v>
      </c>
      <c r="K138" s="8" t="str">
        <f t="shared" si="7"/>
        <v>IT-SW-06-03</v>
      </c>
      <c r="L138" s="8" t="s">
        <v>28</v>
      </c>
      <c r="M138" s="23">
        <v>18000000</v>
      </c>
      <c r="N138" s="10" t="s">
        <v>216</v>
      </c>
      <c r="O138" s="12" t="str">
        <f t="shared" si="6"/>
        <v>COP</v>
      </c>
    </row>
    <row r="139" spans="1:15">
      <c r="A139" s="7" t="s">
        <v>217</v>
      </c>
      <c r="B139" s="7" t="s">
        <v>131</v>
      </c>
      <c r="C139" s="7" t="s">
        <v>218</v>
      </c>
      <c r="D139" s="7" t="s">
        <v>14</v>
      </c>
      <c r="E139" s="7" t="s">
        <v>634</v>
      </c>
      <c r="F139" s="7" t="s">
        <v>133</v>
      </c>
      <c r="G139" s="8" t="s">
        <v>21</v>
      </c>
      <c r="H139" s="10" t="s">
        <v>70</v>
      </c>
      <c r="I139" s="10" t="s">
        <v>26</v>
      </c>
      <c r="J139" s="10" t="s">
        <v>171</v>
      </c>
      <c r="K139" s="8" t="str">
        <f t="shared" si="7"/>
        <v>IT-SW-07-01</v>
      </c>
      <c r="L139" s="8" t="s">
        <v>28</v>
      </c>
      <c r="M139" s="23">
        <v>368000</v>
      </c>
      <c r="N139" s="10" t="s">
        <v>216</v>
      </c>
      <c r="O139" s="12" t="str">
        <f t="shared" si="6"/>
        <v>COP</v>
      </c>
    </row>
    <row r="140" spans="1:15">
      <c r="A140" s="7" t="s">
        <v>217</v>
      </c>
      <c r="B140" s="7" t="s">
        <v>134</v>
      </c>
      <c r="C140" s="7" t="s">
        <v>218</v>
      </c>
      <c r="D140" s="7" t="s">
        <v>14</v>
      </c>
      <c r="E140" s="7" t="s">
        <v>634</v>
      </c>
      <c r="F140" s="7" t="s">
        <v>133</v>
      </c>
      <c r="G140" s="8" t="s">
        <v>21</v>
      </c>
      <c r="H140" s="10" t="s">
        <v>70</v>
      </c>
      <c r="I140" s="10" t="s">
        <v>42</v>
      </c>
      <c r="J140" s="10" t="s">
        <v>171</v>
      </c>
      <c r="K140" s="8" t="str">
        <f t="shared" si="7"/>
        <v>IT-SW-07-02</v>
      </c>
      <c r="L140" s="8" t="s">
        <v>28</v>
      </c>
      <c r="M140" s="23">
        <v>460000</v>
      </c>
      <c r="N140" s="10" t="s">
        <v>216</v>
      </c>
      <c r="O140" s="12" t="str">
        <f t="shared" si="6"/>
        <v>COP</v>
      </c>
    </row>
    <row r="141" spans="1:15">
      <c r="A141" s="7" t="s">
        <v>217</v>
      </c>
      <c r="B141" s="7" t="s">
        <v>135</v>
      </c>
      <c r="C141" s="7" t="s">
        <v>218</v>
      </c>
      <c r="D141" s="7" t="s">
        <v>14</v>
      </c>
      <c r="E141" s="7" t="s">
        <v>634</v>
      </c>
      <c r="F141" s="7" t="s">
        <v>133</v>
      </c>
      <c r="G141" s="8" t="s">
        <v>21</v>
      </c>
      <c r="H141" s="10" t="s">
        <v>74</v>
      </c>
      <c r="I141" s="10" t="s">
        <v>26</v>
      </c>
      <c r="J141" s="10" t="s">
        <v>171</v>
      </c>
      <c r="K141" s="8" t="str">
        <f t="shared" si="7"/>
        <v>IT-SW-07-03</v>
      </c>
      <c r="L141" s="8" t="s">
        <v>28</v>
      </c>
      <c r="M141" s="23">
        <v>260000</v>
      </c>
      <c r="N141" s="10" t="s">
        <v>216</v>
      </c>
      <c r="O141" s="12" t="str">
        <f t="shared" si="6"/>
        <v>COP</v>
      </c>
    </row>
    <row r="142" spans="1:15">
      <c r="A142" s="7" t="s">
        <v>217</v>
      </c>
      <c r="B142" s="7" t="s">
        <v>136</v>
      </c>
      <c r="C142" s="7" t="s">
        <v>218</v>
      </c>
      <c r="D142" s="7" t="s">
        <v>14</v>
      </c>
      <c r="E142" s="7" t="s">
        <v>634</v>
      </c>
      <c r="F142" s="7" t="s">
        <v>133</v>
      </c>
      <c r="G142" s="8" t="s">
        <v>21</v>
      </c>
      <c r="H142" s="10" t="s">
        <v>74</v>
      </c>
      <c r="I142" s="10" t="s">
        <v>42</v>
      </c>
      <c r="J142" s="10" t="s">
        <v>171</v>
      </c>
      <c r="K142" s="8" t="str">
        <f t="shared" si="7"/>
        <v>IT-SW-07-04</v>
      </c>
      <c r="L142" s="8" t="s">
        <v>28</v>
      </c>
      <c r="M142" s="23">
        <v>675000</v>
      </c>
      <c r="N142" s="10" t="s">
        <v>216</v>
      </c>
      <c r="O142" s="12" t="str">
        <f t="shared" si="6"/>
        <v>COP</v>
      </c>
    </row>
    <row r="143" spans="1:15">
      <c r="A143" s="7" t="s">
        <v>217</v>
      </c>
      <c r="B143" s="7" t="s">
        <v>137</v>
      </c>
      <c r="C143" s="7" t="s">
        <v>218</v>
      </c>
      <c r="D143" s="7" t="s">
        <v>14</v>
      </c>
      <c r="E143" s="7" t="s">
        <v>634</v>
      </c>
      <c r="F143" s="7" t="s">
        <v>133</v>
      </c>
      <c r="G143" s="8" t="s">
        <v>21</v>
      </c>
      <c r="H143" s="10" t="s">
        <v>72</v>
      </c>
      <c r="I143" s="10" t="s">
        <v>26</v>
      </c>
      <c r="J143" s="10" t="s">
        <v>171</v>
      </c>
      <c r="K143" s="8" t="str">
        <f t="shared" si="7"/>
        <v>IT-SW-07-05</v>
      </c>
      <c r="L143" s="8" t="s">
        <v>28</v>
      </c>
      <c r="M143" s="23">
        <v>260000</v>
      </c>
      <c r="N143" s="10" t="s">
        <v>216</v>
      </c>
      <c r="O143" s="12" t="str">
        <f t="shared" si="6"/>
        <v>COP</v>
      </c>
    </row>
    <row r="144" spans="1:15">
      <c r="A144" s="7" t="s">
        <v>217</v>
      </c>
      <c r="B144" s="7" t="s">
        <v>138</v>
      </c>
      <c r="C144" s="7" t="s">
        <v>218</v>
      </c>
      <c r="D144" s="7" t="s">
        <v>14</v>
      </c>
      <c r="E144" s="7" t="s">
        <v>634</v>
      </c>
      <c r="F144" s="7" t="s">
        <v>133</v>
      </c>
      <c r="G144" s="8" t="s">
        <v>21</v>
      </c>
      <c r="H144" s="10" t="s">
        <v>72</v>
      </c>
      <c r="I144" s="10" t="s">
        <v>42</v>
      </c>
      <c r="J144" s="10" t="s">
        <v>171</v>
      </c>
      <c r="K144" s="8" t="str">
        <f t="shared" si="7"/>
        <v>IT-SW-07-06</v>
      </c>
      <c r="L144" s="8" t="s">
        <v>28</v>
      </c>
      <c r="M144" s="23">
        <v>675000</v>
      </c>
      <c r="N144" s="10" t="s">
        <v>216</v>
      </c>
      <c r="O144" s="12" t="str">
        <f t="shared" si="6"/>
        <v>COP</v>
      </c>
    </row>
    <row r="145" spans="1:15">
      <c r="A145" s="7" t="s">
        <v>217</v>
      </c>
      <c r="B145" s="7" t="s">
        <v>139</v>
      </c>
      <c r="C145" s="7" t="s">
        <v>218</v>
      </c>
      <c r="D145" s="7" t="s">
        <v>14</v>
      </c>
      <c r="E145" s="7" t="s">
        <v>635</v>
      </c>
      <c r="F145" s="7" t="s">
        <v>141</v>
      </c>
      <c r="G145" s="8" t="s">
        <v>21</v>
      </c>
      <c r="H145" s="10" t="s">
        <v>70</v>
      </c>
      <c r="I145" s="10" t="s">
        <v>26</v>
      </c>
      <c r="J145" s="10" t="s">
        <v>171</v>
      </c>
      <c r="K145" s="8" t="str">
        <f t="shared" si="7"/>
        <v>IT-SW-08-01</v>
      </c>
      <c r="L145" s="8" t="s">
        <v>28</v>
      </c>
      <c r="M145" s="23">
        <v>18133.330000000002</v>
      </c>
      <c r="N145" s="10" t="s">
        <v>216</v>
      </c>
      <c r="O145" s="12" t="str">
        <f t="shared" si="6"/>
        <v>COP</v>
      </c>
    </row>
    <row r="146" spans="1:15">
      <c r="A146" s="7" t="s">
        <v>217</v>
      </c>
      <c r="B146" s="7" t="s">
        <v>142</v>
      </c>
      <c r="C146" s="7" t="s">
        <v>218</v>
      </c>
      <c r="D146" s="7" t="s">
        <v>14</v>
      </c>
      <c r="E146" s="7" t="s">
        <v>635</v>
      </c>
      <c r="F146" s="7" t="s">
        <v>141</v>
      </c>
      <c r="G146" s="8" t="s">
        <v>21</v>
      </c>
      <c r="H146" s="10" t="s">
        <v>70</v>
      </c>
      <c r="I146" s="10" t="s">
        <v>42</v>
      </c>
      <c r="J146" s="10" t="s">
        <v>171</v>
      </c>
      <c r="K146" s="8" t="str">
        <f t="shared" si="7"/>
        <v>IT-SW-08-02</v>
      </c>
      <c r="L146" s="8" t="s">
        <v>28</v>
      </c>
      <c r="M146" s="23">
        <v>38333.33</v>
      </c>
      <c r="N146" s="10" t="s">
        <v>216</v>
      </c>
      <c r="O146" s="12" t="str">
        <f t="shared" si="6"/>
        <v>COP</v>
      </c>
    </row>
    <row r="147" spans="1:15">
      <c r="A147" s="7" t="s">
        <v>217</v>
      </c>
      <c r="B147" s="7" t="s">
        <v>143</v>
      </c>
      <c r="C147" s="7" t="s">
        <v>218</v>
      </c>
      <c r="D147" s="7" t="s">
        <v>14</v>
      </c>
      <c r="E147" s="7" t="s">
        <v>635</v>
      </c>
      <c r="F147" s="7" t="s">
        <v>141</v>
      </c>
      <c r="G147" s="8" t="s">
        <v>21</v>
      </c>
      <c r="H147" s="10" t="s">
        <v>74</v>
      </c>
      <c r="I147" s="10" t="s">
        <v>26</v>
      </c>
      <c r="J147" s="10" t="s">
        <v>171</v>
      </c>
      <c r="K147" s="8" t="str">
        <f t="shared" si="7"/>
        <v>IT-SW-08-03</v>
      </c>
      <c r="L147" s="8" t="s">
        <v>28</v>
      </c>
      <c r="M147" s="23">
        <v>18133.330000000002</v>
      </c>
      <c r="N147" s="10" t="s">
        <v>216</v>
      </c>
      <c r="O147" s="12" t="str">
        <f t="shared" si="6"/>
        <v>COP</v>
      </c>
    </row>
    <row r="148" spans="1:15">
      <c r="A148" s="7" t="s">
        <v>217</v>
      </c>
      <c r="B148" s="7" t="s">
        <v>144</v>
      </c>
      <c r="C148" s="7" t="s">
        <v>218</v>
      </c>
      <c r="D148" s="7" t="s">
        <v>14</v>
      </c>
      <c r="E148" s="7" t="s">
        <v>635</v>
      </c>
      <c r="F148" s="7" t="s">
        <v>141</v>
      </c>
      <c r="G148" s="8" t="s">
        <v>21</v>
      </c>
      <c r="H148" s="10" t="s">
        <v>74</v>
      </c>
      <c r="I148" s="10" t="s">
        <v>42</v>
      </c>
      <c r="J148" s="10" t="s">
        <v>171</v>
      </c>
      <c r="K148" s="8" t="str">
        <f t="shared" si="7"/>
        <v>IT-SW-08-04</v>
      </c>
      <c r="L148" s="8" t="s">
        <v>28</v>
      </c>
      <c r="M148" s="23">
        <v>56250</v>
      </c>
      <c r="N148" s="10" t="s">
        <v>216</v>
      </c>
      <c r="O148" s="12" t="str">
        <f t="shared" si="6"/>
        <v>COP</v>
      </c>
    </row>
    <row r="149" spans="1:15">
      <c r="A149" s="7" t="s">
        <v>217</v>
      </c>
      <c r="B149" s="7" t="s">
        <v>145</v>
      </c>
      <c r="C149" s="7" t="s">
        <v>218</v>
      </c>
      <c r="D149" s="7" t="s">
        <v>14</v>
      </c>
      <c r="E149" s="7" t="s">
        <v>635</v>
      </c>
      <c r="F149" s="7" t="s">
        <v>141</v>
      </c>
      <c r="G149" s="8" t="s">
        <v>21</v>
      </c>
      <c r="H149" s="10" t="s">
        <v>72</v>
      </c>
      <c r="I149" s="10" t="s">
        <v>26</v>
      </c>
      <c r="J149" s="10" t="s">
        <v>171</v>
      </c>
      <c r="K149" s="8" t="str">
        <f t="shared" si="7"/>
        <v>IT-SW-08-05</v>
      </c>
      <c r="L149" s="8" t="s">
        <v>28</v>
      </c>
      <c r="M149" s="23">
        <v>18133.330000000002</v>
      </c>
      <c r="N149" s="10" t="s">
        <v>216</v>
      </c>
      <c r="O149" s="12" t="str">
        <f t="shared" si="6"/>
        <v>COP</v>
      </c>
    </row>
    <row r="150" spans="1:15">
      <c r="A150" s="7" t="s">
        <v>217</v>
      </c>
      <c r="B150" s="7" t="s">
        <v>146</v>
      </c>
      <c r="C150" s="7" t="s">
        <v>218</v>
      </c>
      <c r="D150" s="7" t="s">
        <v>14</v>
      </c>
      <c r="E150" s="7" t="s">
        <v>635</v>
      </c>
      <c r="F150" s="7" t="s">
        <v>141</v>
      </c>
      <c r="G150" s="8" t="s">
        <v>21</v>
      </c>
      <c r="H150" s="10" t="s">
        <v>72</v>
      </c>
      <c r="I150" s="10" t="s">
        <v>42</v>
      </c>
      <c r="J150" s="10" t="s">
        <v>171</v>
      </c>
      <c r="K150" s="8" t="str">
        <f t="shared" si="7"/>
        <v>IT-SW-08-06</v>
      </c>
      <c r="L150" s="8" t="s">
        <v>28</v>
      </c>
      <c r="M150" s="23">
        <v>56250</v>
      </c>
      <c r="N150" s="10" t="s">
        <v>216</v>
      </c>
      <c r="O150" s="12" t="str">
        <f t="shared" si="6"/>
        <v>COP</v>
      </c>
    </row>
    <row r="151" spans="1:15">
      <c r="A151" s="7" t="s">
        <v>217</v>
      </c>
      <c r="B151" s="7" t="s">
        <v>147</v>
      </c>
      <c r="C151" s="7" t="s">
        <v>218</v>
      </c>
      <c r="D151" s="7" t="s">
        <v>14</v>
      </c>
      <c r="E151" s="7" t="s">
        <v>636</v>
      </c>
      <c r="F151" s="7" t="s">
        <v>128</v>
      </c>
      <c r="G151" s="8" t="s">
        <v>21</v>
      </c>
      <c r="H151" s="10" t="s">
        <v>70</v>
      </c>
      <c r="I151" s="10" t="s">
        <v>42</v>
      </c>
      <c r="J151" s="10" t="s">
        <v>171</v>
      </c>
      <c r="K151" s="8" t="str">
        <f t="shared" si="7"/>
        <v>IT-SW-09-01</v>
      </c>
      <c r="L151" s="8" t="s">
        <v>28</v>
      </c>
      <c r="M151" s="23">
        <v>13594000</v>
      </c>
      <c r="N151" s="10" t="s">
        <v>216</v>
      </c>
      <c r="O151" s="12" t="str">
        <f t="shared" si="6"/>
        <v>COP</v>
      </c>
    </row>
    <row r="152" spans="1:15">
      <c r="A152" s="7" t="s">
        <v>217</v>
      </c>
      <c r="B152" s="7" t="s">
        <v>149</v>
      </c>
      <c r="C152" s="7" t="s">
        <v>218</v>
      </c>
      <c r="D152" s="7" t="s">
        <v>14</v>
      </c>
      <c r="E152" s="7" t="s">
        <v>636</v>
      </c>
      <c r="F152" s="7" t="s">
        <v>128</v>
      </c>
      <c r="G152" s="8" t="s">
        <v>21</v>
      </c>
      <c r="H152" s="10" t="s">
        <v>74</v>
      </c>
      <c r="I152" s="10" t="s">
        <v>42</v>
      </c>
      <c r="J152" s="10" t="s">
        <v>171</v>
      </c>
      <c r="K152" s="8" t="str">
        <f t="shared" si="7"/>
        <v>IT-SW-09-02</v>
      </c>
      <c r="L152" s="8" t="s">
        <v>28</v>
      </c>
      <c r="M152" s="23">
        <v>13594000</v>
      </c>
      <c r="N152" s="10" t="s">
        <v>216</v>
      </c>
      <c r="O152" s="12" t="str">
        <f t="shared" si="6"/>
        <v>COP</v>
      </c>
    </row>
    <row r="153" spans="1:15">
      <c r="A153" s="7" t="s">
        <v>217</v>
      </c>
      <c r="B153" s="7" t="s">
        <v>150</v>
      </c>
      <c r="C153" s="7" t="s">
        <v>218</v>
      </c>
      <c r="D153" s="7" t="s">
        <v>14</v>
      </c>
      <c r="E153" s="7" t="s">
        <v>636</v>
      </c>
      <c r="F153" s="7" t="s">
        <v>128</v>
      </c>
      <c r="G153" s="8" t="s">
        <v>21</v>
      </c>
      <c r="H153" s="10" t="s">
        <v>72</v>
      </c>
      <c r="I153" s="10" t="s">
        <v>42</v>
      </c>
      <c r="J153" s="10" t="s">
        <v>171</v>
      </c>
      <c r="K153" s="8" t="str">
        <f t="shared" si="7"/>
        <v>IT-SW-09-03</v>
      </c>
      <c r="L153" s="8" t="s">
        <v>28</v>
      </c>
      <c r="M153" s="23">
        <v>13594000</v>
      </c>
      <c r="N153" s="10" t="s">
        <v>216</v>
      </c>
      <c r="O153" s="12" t="str">
        <f t="shared" si="6"/>
        <v>COP</v>
      </c>
    </row>
    <row r="154" spans="1:15">
      <c r="A154" s="7" t="s">
        <v>217</v>
      </c>
      <c r="B154" s="7" t="s">
        <v>151</v>
      </c>
      <c r="C154" s="7" t="s">
        <v>218</v>
      </c>
      <c r="D154" s="7" t="s">
        <v>14</v>
      </c>
      <c r="E154" s="7" t="s">
        <v>637</v>
      </c>
      <c r="F154" s="7" t="s">
        <v>29</v>
      </c>
      <c r="G154" s="8" t="s">
        <v>21</v>
      </c>
      <c r="H154" s="10" t="s">
        <v>74</v>
      </c>
      <c r="I154" s="10" t="s">
        <v>26</v>
      </c>
      <c r="J154" s="10" t="s">
        <v>171</v>
      </c>
      <c r="K154" s="8" t="str">
        <f t="shared" si="7"/>
        <v>IT-SW-10-01</v>
      </c>
      <c r="L154" s="8" t="s">
        <v>28</v>
      </c>
      <c r="M154" s="23">
        <v>108800</v>
      </c>
      <c r="N154" s="10" t="s">
        <v>216</v>
      </c>
      <c r="O154" s="12" t="str">
        <f t="shared" si="6"/>
        <v>COP</v>
      </c>
    </row>
    <row r="155" spans="1:15">
      <c r="A155" s="7" t="s">
        <v>217</v>
      </c>
      <c r="B155" s="7" t="s">
        <v>153</v>
      </c>
      <c r="C155" s="7" t="s">
        <v>218</v>
      </c>
      <c r="D155" s="7" t="s">
        <v>14</v>
      </c>
      <c r="E155" s="7" t="s">
        <v>637</v>
      </c>
      <c r="F155" s="7" t="s">
        <v>29</v>
      </c>
      <c r="G155" s="8" t="s">
        <v>21</v>
      </c>
      <c r="H155" s="10" t="s">
        <v>74</v>
      </c>
      <c r="I155" s="10" t="s">
        <v>42</v>
      </c>
      <c r="J155" s="10" t="s">
        <v>171</v>
      </c>
      <c r="K155" s="8" t="str">
        <f t="shared" si="7"/>
        <v>IT-SW-10-02</v>
      </c>
      <c r="L155" s="8" t="s">
        <v>28</v>
      </c>
      <c r="M155" s="23">
        <v>204000</v>
      </c>
      <c r="N155" s="10" t="s">
        <v>216</v>
      </c>
      <c r="O155" s="12" t="str">
        <f t="shared" si="6"/>
        <v>COP</v>
      </c>
    </row>
    <row r="156" spans="1:15">
      <c r="A156" s="7" t="s">
        <v>217</v>
      </c>
      <c r="B156" s="7" t="s">
        <v>154</v>
      </c>
      <c r="C156" s="7" t="s">
        <v>218</v>
      </c>
      <c r="D156" s="7" t="s">
        <v>14</v>
      </c>
      <c r="E156" s="7" t="s">
        <v>637</v>
      </c>
      <c r="F156" s="7" t="s">
        <v>29</v>
      </c>
      <c r="G156" s="8" t="s">
        <v>21</v>
      </c>
      <c r="H156" s="10" t="s">
        <v>70</v>
      </c>
      <c r="I156" s="10" t="s">
        <v>26</v>
      </c>
      <c r="J156" s="10" t="s">
        <v>171</v>
      </c>
      <c r="K156" s="8" t="str">
        <f t="shared" si="7"/>
        <v>IT-SW-10-03</v>
      </c>
      <c r="L156" s="8" t="s">
        <v>28</v>
      </c>
      <c r="M156" s="23">
        <v>108800</v>
      </c>
      <c r="N156" s="10" t="s">
        <v>216</v>
      </c>
      <c r="O156" s="12" t="str">
        <f t="shared" ref="O156:O165" si="8">D156</f>
        <v>COP</v>
      </c>
    </row>
    <row r="157" spans="1:15">
      <c r="A157" s="7" t="s">
        <v>217</v>
      </c>
      <c r="B157" s="7" t="s">
        <v>155</v>
      </c>
      <c r="C157" s="7" t="s">
        <v>218</v>
      </c>
      <c r="D157" s="7" t="s">
        <v>14</v>
      </c>
      <c r="E157" s="7" t="s">
        <v>637</v>
      </c>
      <c r="F157" s="7" t="s">
        <v>29</v>
      </c>
      <c r="G157" s="8" t="s">
        <v>21</v>
      </c>
      <c r="H157" s="10" t="s">
        <v>72</v>
      </c>
      <c r="I157" s="10" t="s">
        <v>26</v>
      </c>
      <c r="J157" s="10" t="s">
        <v>171</v>
      </c>
      <c r="K157" s="8" t="str">
        <f t="shared" si="7"/>
        <v>IT-SW-10-04</v>
      </c>
      <c r="L157" s="8" t="s">
        <v>28</v>
      </c>
      <c r="M157" s="23">
        <v>108800</v>
      </c>
      <c r="N157" s="10" t="s">
        <v>216</v>
      </c>
      <c r="O157" s="12" t="str">
        <f t="shared" si="8"/>
        <v>COP</v>
      </c>
    </row>
    <row r="158" spans="1:15">
      <c r="A158" s="7" t="s">
        <v>217</v>
      </c>
      <c r="B158" s="7" t="s">
        <v>156</v>
      </c>
      <c r="C158" s="7" t="s">
        <v>218</v>
      </c>
      <c r="D158" s="7" t="s">
        <v>14</v>
      </c>
      <c r="E158" s="7" t="s">
        <v>637</v>
      </c>
      <c r="F158" s="7" t="s">
        <v>29</v>
      </c>
      <c r="G158" s="8" t="s">
        <v>21</v>
      </c>
      <c r="H158" s="10" t="s">
        <v>72</v>
      </c>
      <c r="I158" s="10" t="s">
        <v>42</v>
      </c>
      <c r="J158" s="10" t="s">
        <v>171</v>
      </c>
      <c r="K158" s="8" t="str">
        <f t="shared" si="7"/>
        <v>IT-SW-10-05</v>
      </c>
      <c r="L158" s="8" t="s">
        <v>28</v>
      </c>
      <c r="M158" s="23">
        <v>204000</v>
      </c>
      <c r="N158" s="10" t="s">
        <v>216</v>
      </c>
      <c r="O158" s="12" t="str">
        <f t="shared" si="8"/>
        <v>COP</v>
      </c>
    </row>
    <row r="159" spans="1:15">
      <c r="A159" s="7" t="s">
        <v>217</v>
      </c>
      <c r="B159" s="7" t="s">
        <v>157</v>
      </c>
      <c r="C159" s="7" t="s">
        <v>218</v>
      </c>
      <c r="D159" s="7" t="s">
        <v>14</v>
      </c>
      <c r="E159" s="7" t="s">
        <v>637</v>
      </c>
      <c r="F159" s="7" t="s">
        <v>29</v>
      </c>
      <c r="G159" s="8" t="s">
        <v>21</v>
      </c>
      <c r="H159" s="10" t="s">
        <v>70</v>
      </c>
      <c r="I159" s="10" t="s">
        <v>42</v>
      </c>
      <c r="J159" s="10" t="s">
        <v>171</v>
      </c>
      <c r="K159" s="8" t="str">
        <f t="shared" si="7"/>
        <v>IT-SW-10-06</v>
      </c>
      <c r="L159" s="8" t="s">
        <v>28</v>
      </c>
      <c r="M159" s="23">
        <v>136000</v>
      </c>
      <c r="N159" s="10" t="s">
        <v>216</v>
      </c>
      <c r="O159" s="12" t="str">
        <f t="shared" si="8"/>
        <v>COP</v>
      </c>
    </row>
    <row r="160" spans="1:15">
      <c r="A160" s="7" t="s">
        <v>217</v>
      </c>
      <c r="B160" s="7" t="s">
        <v>158</v>
      </c>
      <c r="C160" s="7" t="s">
        <v>218</v>
      </c>
      <c r="D160" s="7" t="s">
        <v>14</v>
      </c>
      <c r="E160" s="7" t="s">
        <v>638</v>
      </c>
      <c r="F160" s="7" t="s">
        <v>29</v>
      </c>
      <c r="G160" s="8" t="s">
        <v>21</v>
      </c>
      <c r="H160" s="10" t="s">
        <v>70</v>
      </c>
      <c r="I160" s="10" t="s">
        <v>42</v>
      </c>
      <c r="J160" s="10" t="s">
        <v>171</v>
      </c>
      <c r="K160" s="8" t="str">
        <f t="shared" si="7"/>
        <v>IT-SW-11-01</v>
      </c>
      <c r="L160" s="8" t="s">
        <v>28</v>
      </c>
      <c r="M160" s="23">
        <v>168000</v>
      </c>
      <c r="N160" s="10" t="s">
        <v>216</v>
      </c>
      <c r="O160" s="12" t="str">
        <f t="shared" si="8"/>
        <v>COP</v>
      </c>
    </row>
    <row r="161" spans="1:15">
      <c r="A161" s="7" t="s">
        <v>217</v>
      </c>
      <c r="B161" s="7" t="s">
        <v>160</v>
      </c>
      <c r="C161" s="7" t="s">
        <v>218</v>
      </c>
      <c r="D161" s="7" t="s">
        <v>14</v>
      </c>
      <c r="E161" s="7" t="s">
        <v>638</v>
      </c>
      <c r="F161" s="7" t="s">
        <v>29</v>
      </c>
      <c r="G161" s="8" t="s">
        <v>21</v>
      </c>
      <c r="H161" s="10" t="s">
        <v>74</v>
      </c>
      <c r="I161" s="10" t="s">
        <v>26</v>
      </c>
      <c r="J161" s="10" t="s">
        <v>171</v>
      </c>
      <c r="K161" s="8" t="str">
        <f t="shared" si="7"/>
        <v>IT-SW-11-02</v>
      </c>
      <c r="L161" s="8" t="s">
        <v>28</v>
      </c>
      <c r="M161" s="23">
        <v>134400</v>
      </c>
      <c r="N161" s="10" t="s">
        <v>216</v>
      </c>
      <c r="O161" s="12" t="str">
        <f t="shared" si="8"/>
        <v>COP</v>
      </c>
    </row>
    <row r="162" spans="1:15">
      <c r="A162" s="7" t="s">
        <v>217</v>
      </c>
      <c r="B162" s="7" t="s">
        <v>161</v>
      </c>
      <c r="C162" s="7" t="s">
        <v>218</v>
      </c>
      <c r="D162" s="7" t="s">
        <v>14</v>
      </c>
      <c r="E162" s="7" t="s">
        <v>638</v>
      </c>
      <c r="F162" s="7" t="s">
        <v>29</v>
      </c>
      <c r="G162" s="8" t="s">
        <v>21</v>
      </c>
      <c r="H162" s="10" t="s">
        <v>74</v>
      </c>
      <c r="I162" s="10" t="s">
        <v>42</v>
      </c>
      <c r="J162" s="10" t="s">
        <v>171</v>
      </c>
      <c r="K162" s="8" t="str">
        <f t="shared" si="7"/>
        <v>IT-SW-11-03</v>
      </c>
      <c r="L162" s="8" t="s">
        <v>28</v>
      </c>
      <c r="M162" s="23">
        <v>252000</v>
      </c>
      <c r="N162" s="10" t="s">
        <v>216</v>
      </c>
      <c r="O162" s="12" t="str">
        <f t="shared" si="8"/>
        <v>COP</v>
      </c>
    </row>
    <row r="163" spans="1:15">
      <c r="A163" s="7" t="s">
        <v>217</v>
      </c>
      <c r="B163" s="7" t="s">
        <v>162</v>
      </c>
      <c r="C163" s="7" t="s">
        <v>218</v>
      </c>
      <c r="D163" s="7" t="s">
        <v>14</v>
      </c>
      <c r="E163" s="7" t="s">
        <v>638</v>
      </c>
      <c r="F163" s="7" t="s">
        <v>29</v>
      </c>
      <c r="G163" s="8" t="s">
        <v>21</v>
      </c>
      <c r="H163" s="10" t="s">
        <v>72</v>
      </c>
      <c r="I163" s="10" t="s">
        <v>26</v>
      </c>
      <c r="J163" s="10" t="s">
        <v>171</v>
      </c>
      <c r="K163" s="8" t="str">
        <f t="shared" si="7"/>
        <v>IT-SW-11-04</v>
      </c>
      <c r="L163" s="8" t="s">
        <v>28</v>
      </c>
      <c r="M163" s="23">
        <v>134400</v>
      </c>
      <c r="N163" s="10" t="s">
        <v>216</v>
      </c>
      <c r="O163" s="12" t="str">
        <f t="shared" si="8"/>
        <v>COP</v>
      </c>
    </row>
    <row r="164" spans="1:15">
      <c r="A164" s="7" t="s">
        <v>217</v>
      </c>
      <c r="B164" s="7" t="s">
        <v>163</v>
      </c>
      <c r="C164" s="7" t="s">
        <v>218</v>
      </c>
      <c r="D164" s="7" t="s">
        <v>14</v>
      </c>
      <c r="E164" s="7" t="s">
        <v>638</v>
      </c>
      <c r="F164" s="7" t="s">
        <v>29</v>
      </c>
      <c r="G164" s="8" t="s">
        <v>21</v>
      </c>
      <c r="H164" s="10" t="s">
        <v>72</v>
      </c>
      <c r="I164" s="10" t="s">
        <v>42</v>
      </c>
      <c r="J164" s="10" t="s">
        <v>171</v>
      </c>
      <c r="K164" s="8" t="str">
        <f t="shared" si="7"/>
        <v>IT-SW-11-05</v>
      </c>
      <c r="L164" s="8" t="s">
        <v>28</v>
      </c>
      <c r="M164" s="23">
        <v>252000</v>
      </c>
      <c r="N164" s="10" t="s">
        <v>216</v>
      </c>
      <c r="O164" s="12" t="str">
        <f t="shared" si="8"/>
        <v>COP</v>
      </c>
    </row>
    <row r="165" spans="1:15">
      <c r="A165" s="7" t="s">
        <v>217</v>
      </c>
      <c r="B165" s="7" t="s">
        <v>164</v>
      </c>
      <c r="C165" s="7" t="s">
        <v>218</v>
      </c>
      <c r="D165" s="7" t="s">
        <v>14</v>
      </c>
      <c r="E165" s="7" t="s">
        <v>638</v>
      </c>
      <c r="F165" s="7" t="s">
        <v>29</v>
      </c>
      <c r="G165" s="8" t="s">
        <v>21</v>
      </c>
      <c r="H165" s="10" t="s">
        <v>70</v>
      </c>
      <c r="I165" s="10" t="s">
        <v>26</v>
      </c>
      <c r="J165" s="10" t="s">
        <v>171</v>
      </c>
      <c r="K165" s="8" t="str">
        <f t="shared" si="7"/>
        <v>IT-SW-11-06</v>
      </c>
      <c r="L165" s="8" t="s">
        <v>28</v>
      </c>
      <c r="M165" s="23">
        <v>134400</v>
      </c>
      <c r="N165" s="10" t="s">
        <v>216</v>
      </c>
      <c r="O165" s="12" t="str">
        <f t="shared" si="8"/>
        <v>COP</v>
      </c>
    </row>
    <row r="166" spans="1:15">
      <c r="A166" s="8" t="s">
        <v>217</v>
      </c>
      <c r="B166" s="7" t="s">
        <v>1311</v>
      </c>
      <c r="C166" s="10" t="s">
        <v>218</v>
      </c>
      <c r="D166" s="7" t="s">
        <v>14</v>
      </c>
      <c r="E166" s="8" t="s">
        <v>1312</v>
      </c>
      <c r="F166" s="8" t="s">
        <v>128</v>
      </c>
      <c r="G166" s="8" t="s">
        <v>21</v>
      </c>
      <c r="H166" s="10" t="s">
        <v>17</v>
      </c>
      <c r="I166" s="10" t="s">
        <v>26</v>
      </c>
      <c r="J166" s="10" t="s">
        <v>167</v>
      </c>
      <c r="K166" s="8" t="s">
        <v>1311</v>
      </c>
      <c r="L166" s="8" t="s">
        <v>28</v>
      </c>
      <c r="M166" s="23">
        <v>18000000</v>
      </c>
      <c r="N166" s="10" t="s">
        <v>216</v>
      </c>
      <c r="O166" s="10" t="s">
        <v>14</v>
      </c>
    </row>
    <row r="167" spans="1:15">
      <c r="A167" s="8" t="s">
        <v>217</v>
      </c>
      <c r="B167" s="7" t="s">
        <v>1313</v>
      </c>
      <c r="C167" s="10" t="s">
        <v>218</v>
      </c>
      <c r="D167" s="7" t="s">
        <v>14</v>
      </c>
      <c r="E167" s="8" t="s">
        <v>1312</v>
      </c>
      <c r="F167" s="8" t="s">
        <v>22</v>
      </c>
      <c r="G167" s="8" t="s">
        <v>21</v>
      </c>
      <c r="H167" s="10" t="s">
        <v>17</v>
      </c>
      <c r="I167" s="10" t="s">
        <v>26</v>
      </c>
      <c r="J167" s="10" t="s">
        <v>167</v>
      </c>
      <c r="K167" s="8" t="s">
        <v>1313</v>
      </c>
      <c r="L167" s="8" t="s">
        <v>23</v>
      </c>
      <c r="M167" s="23">
        <v>216000000</v>
      </c>
      <c r="N167" s="10" t="s">
        <v>216</v>
      </c>
      <c r="O167" s="10" t="s">
        <v>14</v>
      </c>
    </row>
    <row r="168" spans="1:15">
      <c r="A168" s="8" t="s">
        <v>217</v>
      </c>
      <c r="B168" s="7" t="s">
        <v>1314</v>
      </c>
      <c r="C168" s="10" t="s">
        <v>218</v>
      </c>
      <c r="D168" s="7" t="s">
        <v>14</v>
      </c>
      <c r="E168" s="8" t="s">
        <v>1315</v>
      </c>
      <c r="F168" s="8" t="s">
        <v>128</v>
      </c>
      <c r="G168" s="8" t="s">
        <v>21</v>
      </c>
      <c r="H168" s="10" t="s">
        <v>17</v>
      </c>
      <c r="I168" s="10" t="s">
        <v>26</v>
      </c>
      <c r="J168" s="10" t="s">
        <v>171</v>
      </c>
      <c r="K168" s="8" t="s">
        <v>1314</v>
      </c>
      <c r="L168" s="8" t="s">
        <v>28</v>
      </c>
      <c r="M168" s="23">
        <v>13594000</v>
      </c>
      <c r="N168" s="10" t="s">
        <v>216</v>
      </c>
      <c r="O168" s="10" t="s">
        <v>14</v>
      </c>
    </row>
    <row r="169" spans="1:15">
      <c r="A169" s="8" t="s">
        <v>217</v>
      </c>
      <c r="B169" s="7" t="s">
        <v>1314</v>
      </c>
      <c r="C169" s="10" t="s">
        <v>218</v>
      </c>
      <c r="D169" s="7" t="s">
        <v>14</v>
      </c>
      <c r="E169" s="8" t="s">
        <v>1315</v>
      </c>
      <c r="F169" s="8" t="s">
        <v>22</v>
      </c>
      <c r="G169" s="8" t="s">
        <v>21</v>
      </c>
      <c r="H169" s="10" t="s">
        <v>17</v>
      </c>
      <c r="I169" s="10" t="s">
        <v>26</v>
      </c>
      <c r="J169" s="10" t="s">
        <v>171</v>
      </c>
      <c r="K169" s="8" t="s">
        <v>1314</v>
      </c>
      <c r="L169" s="8" t="s">
        <v>23</v>
      </c>
      <c r="M169" s="23">
        <v>163128000</v>
      </c>
      <c r="N169" s="10" t="s">
        <v>216</v>
      </c>
      <c r="O169" s="10" t="s">
        <v>14</v>
      </c>
    </row>
    <row r="170" spans="1:15">
      <c r="A170" s="8" t="s">
        <v>217</v>
      </c>
      <c r="B170" s="7" t="s">
        <v>1316</v>
      </c>
      <c r="C170" s="10" t="s">
        <v>218</v>
      </c>
      <c r="D170" s="7" t="s">
        <v>14</v>
      </c>
      <c r="E170" s="8" t="s">
        <v>1317</v>
      </c>
      <c r="F170" s="8" t="s">
        <v>64</v>
      </c>
      <c r="G170" s="8" t="s">
        <v>21</v>
      </c>
      <c r="H170" s="10" t="s">
        <v>17</v>
      </c>
      <c r="I170" s="10" t="s">
        <v>26</v>
      </c>
      <c r="J170" s="10" t="s">
        <v>25</v>
      </c>
      <c r="K170" s="8" t="s">
        <v>1316</v>
      </c>
      <c r="L170" s="8" t="s">
        <v>28</v>
      </c>
      <c r="M170" s="23">
        <v>17184000</v>
      </c>
      <c r="N170" s="10" t="s">
        <v>216</v>
      </c>
      <c r="O170" s="10" t="s">
        <v>14</v>
      </c>
    </row>
    <row r="171" spans="1:15">
      <c r="A171" s="8" t="s">
        <v>217</v>
      </c>
      <c r="B171" s="7" t="s">
        <v>1318</v>
      </c>
      <c r="C171" s="10" t="s">
        <v>218</v>
      </c>
      <c r="D171" s="7" t="s">
        <v>14</v>
      </c>
      <c r="E171" s="8" t="s">
        <v>1319</v>
      </c>
      <c r="F171" s="8" t="s">
        <v>64</v>
      </c>
      <c r="G171" s="8" t="s">
        <v>21</v>
      </c>
      <c r="H171" s="10" t="s">
        <v>17</v>
      </c>
      <c r="I171" s="10" t="s">
        <v>26</v>
      </c>
      <c r="J171" s="10" t="s">
        <v>25</v>
      </c>
      <c r="K171" s="8" t="s">
        <v>1318</v>
      </c>
      <c r="L171" s="8" t="s">
        <v>28</v>
      </c>
      <c r="M171" s="23">
        <v>25776000</v>
      </c>
      <c r="N171" s="10" t="s">
        <v>216</v>
      </c>
      <c r="O171" s="10" t="s">
        <v>14</v>
      </c>
    </row>
    <row r="172" spans="1:15">
      <c r="A172" s="8" t="s">
        <v>217</v>
      </c>
      <c r="B172" s="7" t="s">
        <v>1320</v>
      </c>
      <c r="C172" s="10" t="s">
        <v>218</v>
      </c>
      <c r="D172" s="7" t="s">
        <v>14</v>
      </c>
      <c r="E172" s="8" t="s">
        <v>1321</v>
      </c>
      <c r="F172" s="8" t="s">
        <v>64</v>
      </c>
      <c r="G172" s="8" t="s">
        <v>21</v>
      </c>
      <c r="H172" s="10" t="s">
        <v>17</v>
      </c>
      <c r="I172" s="10" t="s">
        <v>26</v>
      </c>
      <c r="J172" s="10" t="s">
        <v>25</v>
      </c>
      <c r="K172" s="8" t="s">
        <v>1320</v>
      </c>
      <c r="L172" s="8" t="s">
        <v>28</v>
      </c>
      <c r="M172" s="23">
        <v>42960000</v>
      </c>
      <c r="N172" s="10" t="s">
        <v>216</v>
      </c>
      <c r="O172" s="10" t="s">
        <v>14</v>
      </c>
    </row>
    <row r="173" spans="1:15">
      <c r="A173" s="8" t="s">
        <v>217</v>
      </c>
      <c r="B173" s="7" t="s">
        <v>1322</v>
      </c>
      <c r="C173" s="10" t="s">
        <v>218</v>
      </c>
      <c r="D173" s="7" t="s">
        <v>14</v>
      </c>
      <c r="E173" s="8" t="s">
        <v>1323</v>
      </c>
      <c r="F173" s="8" t="s">
        <v>64</v>
      </c>
      <c r="G173" s="8" t="s">
        <v>21</v>
      </c>
      <c r="H173" s="10" t="s">
        <v>17</v>
      </c>
      <c r="I173" s="10" t="s">
        <v>26</v>
      </c>
      <c r="J173" s="10" t="s">
        <v>25</v>
      </c>
      <c r="K173" s="8" t="s">
        <v>1322</v>
      </c>
      <c r="L173" s="8" t="s">
        <v>28</v>
      </c>
      <c r="M173" s="23">
        <v>51552000</v>
      </c>
      <c r="N173" s="10" t="s">
        <v>216</v>
      </c>
      <c r="O173" s="10" t="s">
        <v>14</v>
      </c>
    </row>
    <row r="174" spans="1:15">
      <c r="A174" s="8" t="s">
        <v>217</v>
      </c>
      <c r="B174" s="7" t="s">
        <v>1324</v>
      </c>
      <c r="C174" s="10" t="s">
        <v>218</v>
      </c>
      <c r="D174" s="7" t="s">
        <v>14</v>
      </c>
      <c r="E174" s="8" t="s">
        <v>1325</v>
      </c>
      <c r="F174" s="8" t="s">
        <v>64</v>
      </c>
      <c r="G174" s="8" t="s">
        <v>21</v>
      </c>
      <c r="H174" s="10" t="s">
        <v>17</v>
      </c>
      <c r="I174" s="10" t="s">
        <v>26</v>
      </c>
      <c r="J174" s="10" t="s">
        <v>25</v>
      </c>
      <c r="K174" s="8" t="s">
        <v>1324</v>
      </c>
      <c r="L174" s="8" t="s">
        <v>28</v>
      </c>
      <c r="M174" s="23">
        <v>68736000</v>
      </c>
      <c r="N174" s="10" t="s">
        <v>216</v>
      </c>
      <c r="O174" s="10" t="s">
        <v>14</v>
      </c>
    </row>
    <row r="175" spans="1:15">
      <c r="A175" s="8" t="s">
        <v>217</v>
      </c>
      <c r="B175" s="7" t="s">
        <v>1326</v>
      </c>
      <c r="C175" s="10" t="s">
        <v>218</v>
      </c>
      <c r="D175" s="7" t="s">
        <v>14</v>
      </c>
      <c r="E175" s="8" t="s">
        <v>1327</v>
      </c>
      <c r="F175" s="8" t="s">
        <v>64</v>
      </c>
      <c r="G175" s="8" t="s">
        <v>21</v>
      </c>
      <c r="H175" s="10" t="s">
        <v>17</v>
      </c>
      <c r="I175" s="10" t="s">
        <v>26</v>
      </c>
      <c r="J175" s="10" t="s">
        <v>25</v>
      </c>
      <c r="K175" s="8" t="s">
        <v>1326</v>
      </c>
      <c r="L175" s="8" t="s">
        <v>28</v>
      </c>
      <c r="M175" s="23">
        <v>85920000</v>
      </c>
      <c r="N175" s="10" t="s">
        <v>216</v>
      </c>
      <c r="O175" s="10" t="s">
        <v>14</v>
      </c>
    </row>
    <row r="176" spans="1:15">
      <c r="A176" s="8" t="s">
        <v>217</v>
      </c>
      <c r="B176" s="7" t="s">
        <v>1328</v>
      </c>
      <c r="C176" s="10" t="s">
        <v>218</v>
      </c>
      <c r="D176" s="7" t="s">
        <v>14</v>
      </c>
      <c r="E176" s="8" t="s">
        <v>1329</v>
      </c>
      <c r="F176" s="8" t="s">
        <v>64</v>
      </c>
      <c r="G176" s="8" t="s">
        <v>21</v>
      </c>
      <c r="H176" s="10" t="s">
        <v>17</v>
      </c>
      <c r="I176" s="10" t="s">
        <v>26</v>
      </c>
      <c r="J176" s="10" t="s">
        <v>25</v>
      </c>
      <c r="K176" s="8" t="s">
        <v>1328</v>
      </c>
      <c r="L176" s="8" t="s">
        <v>28</v>
      </c>
      <c r="M176" s="23">
        <v>103104000</v>
      </c>
      <c r="N176" s="10" t="s">
        <v>216</v>
      </c>
      <c r="O176" s="10" t="s">
        <v>14</v>
      </c>
    </row>
    <row r="177" spans="1:15">
      <c r="A177" s="8" t="s">
        <v>217</v>
      </c>
      <c r="B177" s="7" t="s">
        <v>1330</v>
      </c>
      <c r="C177" s="10" t="s">
        <v>218</v>
      </c>
      <c r="D177" s="7" t="s">
        <v>14</v>
      </c>
      <c r="E177" s="8" t="s">
        <v>1331</v>
      </c>
      <c r="F177" s="8" t="s">
        <v>64</v>
      </c>
      <c r="G177" s="8" t="s">
        <v>16</v>
      </c>
      <c r="H177" s="10" t="s">
        <v>17</v>
      </c>
      <c r="I177" s="10" t="s">
        <v>26</v>
      </c>
      <c r="J177" s="10" t="s">
        <v>25</v>
      </c>
      <c r="K177" s="8" t="s">
        <v>1330</v>
      </c>
      <c r="L177" s="8" t="s">
        <v>23</v>
      </c>
      <c r="M177" s="23">
        <v>34000000</v>
      </c>
      <c r="N177" s="10" t="s">
        <v>402</v>
      </c>
      <c r="O177" s="10" t="s">
        <v>14</v>
      </c>
    </row>
    <row r="178" spans="1:15">
      <c r="A178" s="8" t="s">
        <v>217</v>
      </c>
      <c r="B178" s="7" t="s">
        <v>1333</v>
      </c>
      <c r="C178" s="10" t="s">
        <v>218</v>
      </c>
      <c r="D178" s="7" t="s">
        <v>14</v>
      </c>
      <c r="E178" s="8" t="s">
        <v>1334</v>
      </c>
      <c r="F178" s="8" t="s">
        <v>64</v>
      </c>
      <c r="G178" s="8" t="s">
        <v>16</v>
      </c>
      <c r="H178" s="10" t="s">
        <v>17</v>
      </c>
      <c r="I178" s="10" t="s">
        <v>26</v>
      </c>
      <c r="J178" s="10" t="s">
        <v>25</v>
      </c>
      <c r="K178" s="8" t="s">
        <v>1333</v>
      </c>
      <c r="L178" s="8" t="s">
        <v>28</v>
      </c>
      <c r="M178" s="23">
        <v>1653928</v>
      </c>
      <c r="N178" s="10" t="s">
        <v>402</v>
      </c>
      <c r="O178" s="10" t="s">
        <v>14</v>
      </c>
    </row>
    <row r="179" spans="1:15">
      <c r="A179" s="8" t="s">
        <v>217</v>
      </c>
      <c r="B179" s="7" t="s">
        <v>1335</v>
      </c>
      <c r="C179" s="10" t="s">
        <v>218</v>
      </c>
      <c r="D179" s="7" t="s">
        <v>14</v>
      </c>
      <c r="E179" s="8" t="s">
        <v>1336</v>
      </c>
      <c r="F179" s="8" t="s">
        <v>64</v>
      </c>
      <c r="G179" s="8" t="s">
        <v>16</v>
      </c>
      <c r="H179" s="10" t="s">
        <v>17</v>
      </c>
      <c r="I179" s="10" t="s">
        <v>26</v>
      </c>
      <c r="J179" s="10" t="s">
        <v>25</v>
      </c>
      <c r="K179" s="8" t="s">
        <v>1335</v>
      </c>
      <c r="L179" s="8" t="s">
        <v>28</v>
      </c>
      <c r="M179" s="23">
        <v>2452035</v>
      </c>
      <c r="N179" s="10" t="s">
        <v>402</v>
      </c>
      <c r="O179" s="10" t="s">
        <v>14</v>
      </c>
    </row>
    <row r="180" spans="1:15">
      <c r="A180" s="8" t="s">
        <v>217</v>
      </c>
      <c r="B180" s="7" t="s">
        <v>1337</v>
      </c>
      <c r="C180" s="10" t="s">
        <v>218</v>
      </c>
      <c r="D180" s="7" t="s">
        <v>14</v>
      </c>
      <c r="E180" s="8" t="s">
        <v>1338</v>
      </c>
      <c r="F180" s="8" t="s">
        <v>64</v>
      </c>
      <c r="G180" s="8" t="s">
        <v>16</v>
      </c>
      <c r="H180" s="10" t="s">
        <v>17</v>
      </c>
      <c r="I180" s="10" t="s">
        <v>26</v>
      </c>
      <c r="J180" s="10" t="s">
        <v>25</v>
      </c>
      <c r="K180" s="8" t="s">
        <v>1337</v>
      </c>
      <c r="L180" s="8" t="s">
        <v>28</v>
      </c>
      <c r="M180" s="23">
        <v>3600089</v>
      </c>
      <c r="N180" s="10" t="s">
        <v>402</v>
      </c>
      <c r="O180" s="10" t="s">
        <v>14</v>
      </c>
    </row>
    <row r="181" spans="1:15">
      <c r="A181" s="8" t="s">
        <v>217</v>
      </c>
      <c r="B181" s="7" t="s">
        <v>1339</v>
      </c>
      <c r="C181" s="10" t="s">
        <v>218</v>
      </c>
      <c r="D181" s="7" t="s">
        <v>14</v>
      </c>
      <c r="E181" s="8" t="s">
        <v>1340</v>
      </c>
      <c r="F181" s="8" t="s">
        <v>64</v>
      </c>
      <c r="G181" s="8" t="s">
        <v>16</v>
      </c>
      <c r="H181" s="10" t="s">
        <v>17</v>
      </c>
      <c r="I181" s="10" t="s">
        <v>26</v>
      </c>
      <c r="J181" s="10" t="s">
        <v>25</v>
      </c>
      <c r="K181" s="8" t="s">
        <v>1339</v>
      </c>
      <c r="L181" s="8" t="s">
        <v>28</v>
      </c>
      <c r="M181" s="23">
        <v>4240675</v>
      </c>
      <c r="N181" s="10" t="s">
        <v>402</v>
      </c>
      <c r="O181" s="10" t="s">
        <v>14</v>
      </c>
    </row>
    <row r="182" spans="1:15">
      <c r="A182" s="8" t="s">
        <v>217</v>
      </c>
      <c r="B182" s="7" t="s">
        <v>1341</v>
      </c>
      <c r="C182" s="10" t="s">
        <v>218</v>
      </c>
      <c r="D182" s="7" t="s">
        <v>14</v>
      </c>
      <c r="E182" s="8" t="s">
        <v>1342</v>
      </c>
      <c r="F182" s="8" t="s">
        <v>64</v>
      </c>
      <c r="G182" s="8" t="s">
        <v>16</v>
      </c>
      <c r="H182" s="10" t="s">
        <v>17</v>
      </c>
      <c r="I182" s="10" t="s">
        <v>26</v>
      </c>
      <c r="J182" s="10" t="s">
        <v>25</v>
      </c>
      <c r="K182" s="8" t="s">
        <v>1341</v>
      </c>
      <c r="L182" s="8" t="s">
        <v>28</v>
      </c>
      <c r="M182" s="23">
        <v>4871688</v>
      </c>
      <c r="N182" s="10" t="s">
        <v>402</v>
      </c>
      <c r="O182" s="10" t="s">
        <v>14</v>
      </c>
    </row>
    <row r="183" spans="1:15">
      <c r="A183" s="8" t="s">
        <v>217</v>
      </c>
      <c r="B183" s="7" t="s">
        <v>1343</v>
      </c>
      <c r="C183" s="10" t="s">
        <v>218</v>
      </c>
      <c r="D183" s="7" t="s">
        <v>14</v>
      </c>
      <c r="E183" s="8" t="s">
        <v>1344</v>
      </c>
      <c r="F183" s="8" t="s">
        <v>64</v>
      </c>
      <c r="G183" s="8" t="s">
        <v>16</v>
      </c>
      <c r="H183" s="10" t="s">
        <v>17</v>
      </c>
      <c r="I183" s="10" t="s">
        <v>26</v>
      </c>
      <c r="J183" s="10" t="s">
        <v>25</v>
      </c>
      <c r="K183" s="8" t="s">
        <v>1343</v>
      </c>
      <c r="L183" s="8" t="s">
        <v>28</v>
      </c>
      <c r="M183" s="23">
        <v>5497753</v>
      </c>
      <c r="N183" s="10" t="s">
        <v>402</v>
      </c>
      <c r="O183" s="10" t="s">
        <v>14</v>
      </c>
    </row>
    <row r="184" spans="1:15">
      <c r="A184" s="8" t="s">
        <v>217</v>
      </c>
      <c r="B184" s="7" t="s">
        <v>1345</v>
      </c>
      <c r="C184" s="10" t="s">
        <v>218</v>
      </c>
      <c r="D184" s="7" t="s">
        <v>14</v>
      </c>
      <c r="E184" s="8" t="s">
        <v>1346</v>
      </c>
      <c r="F184" s="8" t="s">
        <v>64</v>
      </c>
      <c r="G184" s="8" t="s">
        <v>16</v>
      </c>
      <c r="H184" s="10" t="s">
        <v>17</v>
      </c>
      <c r="I184" s="10" t="s">
        <v>26</v>
      </c>
      <c r="J184" s="10" t="s">
        <v>25</v>
      </c>
      <c r="K184" s="8" t="s">
        <v>1345</v>
      </c>
      <c r="L184" s="8" t="s">
        <v>28</v>
      </c>
      <c r="M184" s="23">
        <v>6462303</v>
      </c>
      <c r="N184" s="10" t="s">
        <v>402</v>
      </c>
      <c r="O184" s="10" t="s">
        <v>14</v>
      </c>
    </row>
    <row r="185" spans="1:15">
      <c r="A185" s="8" t="s">
        <v>217</v>
      </c>
      <c r="B185" s="7" t="s">
        <v>1347</v>
      </c>
      <c r="C185" s="10" t="s">
        <v>218</v>
      </c>
      <c r="D185" s="7" t="s">
        <v>14</v>
      </c>
      <c r="E185" s="8" t="s">
        <v>1348</v>
      </c>
      <c r="F185" s="8" t="s">
        <v>64</v>
      </c>
      <c r="G185" s="8" t="s">
        <v>16</v>
      </c>
      <c r="H185" s="10" t="s">
        <v>17</v>
      </c>
      <c r="I185" s="10" t="s">
        <v>26</v>
      </c>
      <c r="J185" s="10" t="s">
        <v>25</v>
      </c>
      <c r="K185" s="8" t="s">
        <v>1347</v>
      </c>
      <c r="L185" s="8" t="s">
        <v>28</v>
      </c>
      <c r="M185" s="23">
        <v>1653928</v>
      </c>
      <c r="N185" s="10" t="s">
        <v>402</v>
      </c>
      <c r="O185" s="10" t="s">
        <v>14</v>
      </c>
    </row>
    <row r="186" spans="1:15">
      <c r="A186" s="8" t="s">
        <v>217</v>
      </c>
      <c r="B186" s="7" t="s">
        <v>1349</v>
      </c>
      <c r="C186" s="10" t="s">
        <v>218</v>
      </c>
      <c r="D186" s="7" t="s">
        <v>14</v>
      </c>
      <c r="E186" s="8" t="s">
        <v>1350</v>
      </c>
      <c r="F186" s="8" t="s">
        <v>64</v>
      </c>
      <c r="G186" s="8" t="s">
        <v>16</v>
      </c>
      <c r="H186" s="10" t="s">
        <v>17</v>
      </c>
      <c r="I186" s="10" t="s">
        <v>26</v>
      </c>
      <c r="J186" s="10" t="s">
        <v>25</v>
      </c>
      <c r="K186" s="8" t="s">
        <v>1349</v>
      </c>
      <c r="L186" s="8" t="s">
        <v>28</v>
      </c>
      <c r="M186" s="23">
        <v>2452035</v>
      </c>
      <c r="N186" s="10" t="s">
        <v>402</v>
      </c>
      <c r="O186" s="10" t="s">
        <v>14</v>
      </c>
    </row>
    <row r="187" spans="1:15">
      <c r="A187" s="8" t="s">
        <v>217</v>
      </c>
      <c r="B187" s="7" t="s">
        <v>1351</v>
      </c>
      <c r="C187" s="10" t="s">
        <v>218</v>
      </c>
      <c r="D187" s="7" t="s">
        <v>14</v>
      </c>
      <c r="E187" s="8" t="s">
        <v>1352</v>
      </c>
      <c r="F187" s="8" t="s">
        <v>64</v>
      </c>
      <c r="G187" s="8" t="s">
        <v>16</v>
      </c>
      <c r="H187" s="10" t="s">
        <v>17</v>
      </c>
      <c r="I187" s="10" t="s">
        <v>26</v>
      </c>
      <c r="J187" s="10" t="s">
        <v>25</v>
      </c>
      <c r="K187" s="8" t="s">
        <v>1351</v>
      </c>
      <c r="L187" s="8" t="s">
        <v>28</v>
      </c>
      <c r="M187" s="23">
        <v>3600089</v>
      </c>
      <c r="N187" s="10" t="s">
        <v>402</v>
      </c>
      <c r="O187" s="10" t="s">
        <v>14</v>
      </c>
    </row>
    <row r="188" spans="1:15">
      <c r="A188" s="8" t="s">
        <v>217</v>
      </c>
      <c r="B188" s="7" t="s">
        <v>1353</v>
      </c>
      <c r="C188" s="10" t="s">
        <v>218</v>
      </c>
      <c r="D188" s="7" t="s">
        <v>14</v>
      </c>
      <c r="E188" s="8" t="s">
        <v>1354</v>
      </c>
      <c r="F188" s="8" t="s">
        <v>64</v>
      </c>
      <c r="G188" s="8" t="s">
        <v>16</v>
      </c>
      <c r="H188" s="10" t="s">
        <v>17</v>
      </c>
      <c r="I188" s="10" t="s">
        <v>26</v>
      </c>
      <c r="J188" s="10" t="s">
        <v>25</v>
      </c>
      <c r="K188" s="8" t="s">
        <v>1353</v>
      </c>
      <c r="L188" s="8" t="s">
        <v>28</v>
      </c>
      <c r="M188" s="23">
        <v>4240675</v>
      </c>
      <c r="N188" s="10" t="s">
        <v>402</v>
      </c>
      <c r="O188" s="10" t="s">
        <v>14</v>
      </c>
    </row>
    <row r="189" spans="1:15">
      <c r="A189" s="8" t="s">
        <v>217</v>
      </c>
      <c r="B189" s="7" t="s">
        <v>1355</v>
      </c>
      <c r="C189" s="10" t="s">
        <v>218</v>
      </c>
      <c r="D189" s="7" t="s">
        <v>14</v>
      </c>
      <c r="E189" s="8" t="s">
        <v>1356</v>
      </c>
      <c r="F189" s="8" t="s">
        <v>64</v>
      </c>
      <c r="G189" s="8" t="s">
        <v>16</v>
      </c>
      <c r="H189" s="10" t="s">
        <v>17</v>
      </c>
      <c r="I189" s="10" t="s">
        <v>26</v>
      </c>
      <c r="J189" s="10" t="s">
        <v>25</v>
      </c>
      <c r="K189" s="8" t="s">
        <v>1355</v>
      </c>
      <c r="L189" s="8" t="s">
        <v>28</v>
      </c>
      <c r="M189" s="23">
        <v>4871688</v>
      </c>
      <c r="N189" s="10" t="s">
        <v>402</v>
      </c>
      <c r="O189" s="10" t="s">
        <v>14</v>
      </c>
    </row>
    <row r="190" spans="1:15">
      <c r="A190" s="8" t="s">
        <v>217</v>
      </c>
      <c r="B190" s="7" t="s">
        <v>1357</v>
      </c>
      <c r="C190" s="10" t="s">
        <v>218</v>
      </c>
      <c r="D190" s="7" t="s">
        <v>14</v>
      </c>
      <c r="E190" s="8" t="s">
        <v>1358</v>
      </c>
      <c r="F190" s="8" t="s">
        <v>64</v>
      </c>
      <c r="G190" s="8" t="s">
        <v>16</v>
      </c>
      <c r="H190" s="10" t="s">
        <v>17</v>
      </c>
      <c r="I190" s="10" t="s">
        <v>26</v>
      </c>
      <c r="J190" s="10" t="s">
        <v>25</v>
      </c>
      <c r="K190" s="8" t="s">
        <v>1357</v>
      </c>
      <c r="L190" s="8" t="s">
        <v>28</v>
      </c>
      <c r="M190" s="23">
        <v>5497753</v>
      </c>
      <c r="N190" s="10" t="s">
        <v>402</v>
      </c>
      <c r="O190" s="10" t="s">
        <v>14</v>
      </c>
    </row>
    <row r="191" spans="1:15">
      <c r="A191" s="8" t="s">
        <v>217</v>
      </c>
      <c r="B191" s="7" t="s">
        <v>1359</v>
      </c>
      <c r="C191" s="10" t="s">
        <v>218</v>
      </c>
      <c r="D191" s="7" t="s">
        <v>14</v>
      </c>
      <c r="E191" s="8" t="s">
        <v>1360</v>
      </c>
      <c r="F191" s="8" t="s">
        <v>64</v>
      </c>
      <c r="G191" s="8" t="s">
        <v>16</v>
      </c>
      <c r="H191" s="10" t="s">
        <v>17</v>
      </c>
      <c r="I191" s="10" t="s">
        <v>26</v>
      </c>
      <c r="J191" s="10" t="s">
        <v>25</v>
      </c>
      <c r="K191" s="8" t="s">
        <v>1359</v>
      </c>
      <c r="L191" s="8" t="s">
        <v>28</v>
      </c>
      <c r="M191" s="23">
        <v>6462303</v>
      </c>
      <c r="N191" s="10" t="s">
        <v>402</v>
      </c>
      <c r="O191" s="10" t="s">
        <v>14</v>
      </c>
    </row>
    <row r="192" spans="1:15">
      <c r="A192" s="8" t="s">
        <v>217</v>
      </c>
      <c r="B192" s="7" t="s">
        <v>1361</v>
      </c>
      <c r="C192" s="10" t="s">
        <v>218</v>
      </c>
      <c r="D192" s="7" t="s">
        <v>14</v>
      </c>
      <c r="E192" s="8" t="s">
        <v>1362</v>
      </c>
      <c r="F192" s="8" t="s">
        <v>25</v>
      </c>
      <c r="G192" s="8" t="s">
        <v>16</v>
      </c>
      <c r="H192" s="10" t="s">
        <v>17</v>
      </c>
      <c r="I192" s="10" t="s">
        <v>26</v>
      </c>
      <c r="J192" s="10" t="s">
        <v>25</v>
      </c>
      <c r="K192" s="8" t="s">
        <v>1361</v>
      </c>
      <c r="L192" s="8" t="s">
        <v>918</v>
      </c>
      <c r="M192" s="23">
        <v>38550000</v>
      </c>
      <c r="N192" s="10" t="s">
        <v>402</v>
      </c>
      <c r="O192" s="10" t="s">
        <v>14</v>
      </c>
    </row>
    <row r="193" spans="1:15">
      <c r="A193" s="8" t="s">
        <v>217</v>
      </c>
      <c r="B193" s="7" t="s">
        <v>1363</v>
      </c>
      <c r="C193" s="10" t="s">
        <v>218</v>
      </c>
      <c r="D193" s="7" t="s">
        <v>14</v>
      </c>
      <c r="E193" s="8" t="s">
        <v>1364</v>
      </c>
      <c r="F193" s="8" t="s">
        <v>25</v>
      </c>
      <c r="G193" s="8" t="s">
        <v>16</v>
      </c>
      <c r="H193" s="10" t="s">
        <v>17</v>
      </c>
      <c r="I193" s="10" t="s">
        <v>26</v>
      </c>
      <c r="J193" s="10" t="s">
        <v>25</v>
      </c>
      <c r="K193" s="8" t="s">
        <v>1363</v>
      </c>
      <c r="L193" s="8" t="s">
        <v>918</v>
      </c>
      <c r="M193" s="23">
        <v>77100000</v>
      </c>
      <c r="N193" s="10" t="s">
        <v>402</v>
      </c>
      <c r="O193" s="10" t="s">
        <v>14</v>
      </c>
    </row>
    <row r="194" spans="1:15">
      <c r="A194" s="8" t="s">
        <v>217</v>
      </c>
      <c r="B194" s="7" t="s">
        <v>1365</v>
      </c>
      <c r="C194" s="10" t="s">
        <v>218</v>
      </c>
      <c r="D194" s="7" t="s">
        <v>14</v>
      </c>
      <c r="E194" s="8" t="s">
        <v>1366</v>
      </c>
      <c r="F194" s="8" t="s">
        <v>25</v>
      </c>
      <c r="G194" s="8" t="s">
        <v>16</v>
      </c>
      <c r="H194" s="10" t="s">
        <v>17</v>
      </c>
      <c r="I194" s="10" t="s">
        <v>26</v>
      </c>
      <c r="J194" s="10" t="s">
        <v>25</v>
      </c>
      <c r="K194" s="8" t="s">
        <v>1365</v>
      </c>
      <c r="L194" s="8" t="s">
        <v>918</v>
      </c>
      <c r="M194" s="23">
        <v>115650000</v>
      </c>
      <c r="N194" s="10" t="s">
        <v>402</v>
      </c>
      <c r="O194" s="10" t="s">
        <v>14</v>
      </c>
    </row>
    <row r="195" spans="1:15">
      <c r="A195" s="8" t="s">
        <v>217</v>
      </c>
      <c r="B195" s="7" t="s">
        <v>1367</v>
      </c>
      <c r="C195" s="10" t="s">
        <v>218</v>
      </c>
      <c r="D195" s="7" t="s">
        <v>14</v>
      </c>
      <c r="E195" s="8" t="s">
        <v>1368</v>
      </c>
      <c r="F195" s="8" t="s">
        <v>25</v>
      </c>
      <c r="G195" s="8" t="s">
        <v>16</v>
      </c>
      <c r="H195" s="10" t="s">
        <v>17</v>
      </c>
      <c r="I195" s="10" t="s">
        <v>26</v>
      </c>
      <c r="J195" s="10" t="s">
        <v>25</v>
      </c>
      <c r="K195" s="8" t="s">
        <v>1367</v>
      </c>
      <c r="L195" s="8" t="s">
        <v>918</v>
      </c>
      <c r="M195" s="23">
        <v>98550000</v>
      </c>
      <c r="N195" s="10" t="s">
        <v>402</v>
      </c>
      <c r="O195" s="10" t="s">
        <v>14</v>
      </c>
    </row>
    <row r="196" spans="1:15">
      <c r="A196" s="8" t="s">
        <v>217</v>
      </c>
      <c r="B196" s="7" t="s">
        <v>1369</v>
      </c>
      <c r="C196" s="10" t="s">
        <v>218</v>
      </c>
      <c r="D196" s="7" t="s">
        <v>14</v>
      </c>
      <c r="E196" s="8" t="s">
        <v>1370</v>
      </c>
      <c r="F196" s="8" t="s">
        <v>25</v>
      </c>
      <c r="G196" s="8" t="s">
        <v>16</v>
      </c>
      <c r="H196" s="10" t="s">
        <v>17</v>
      </c>
      <c r="I196" s="10" t="s">
        <v>26</v>
      </c>
      <c r="J196" s="10" t="s">
        <v>25</v>
      </c>
      <c r="K196" s="8" t="s">
        <v>1369</v>
      </c>
      <c r="L196" s="8" t="s">
        <v>918</v>
      </c>
      <c r="M196" s="23">
        <v>177100000</v>
      </c>
      <c r="N196" s="10" t="s">
        <v>402</v>
      </c>
      <c r="O196" s="10" t="s">
        <v>14</v>
      </c>
    </row>
    <row r="197" spans="1:15">
      <c r="A197" s="8" t="s">
        <v>217</v>
      </c>
      <c r="B197" s="7" t="s">
        <v>1371</v>
      </c>
      <c r="C197" s="10" t="s">
        <v>218</v>
      </c>
      <c r="D197" s="7" t="s">
        <v>14</v>
      </c>
      <c r="E197" s="8" t="s">
        <v>1372</v>
      </c>
      <c r="F197" s="8" t="s">
        <v>25</v>
      </c>
      <c r="G197" s="8" t="s">
        <v>16</v>
      </c>
      <c r="H197" s="10" t="s">
        <v>17</v>
      </c>
      <c r="I197" s="10" t="s">
        <v>26</v>
      </c>
      <c r="J197" s="10" t="s">
        <v>25</v>
      </c>
      <c r="K197" s="8" t="s">
        <v>1371</v>
      </c>
      <c r="L197" s="8" t="s">
        <v>918</v>
      </c>
      <c r="M197" s="23">
        <v>245650000</v>
      </c>
      <c r="N197" s="10" t="s">
        <v>402</v>
      </c>
      <c r="O197" s="10" t="s">
        <v>14</v>
      </c>
    </row>
    <row r="198" spans="1:15">
      <c r="A198" s="8" t="s">
        <v>217</v>
      </c>
      <c r="B198" s="7" t="s">
        <v>1373</v>
      </c>
      <c r="C198" s="10" t="s">
        <v>218</v>
      </c>
      <c r="D198" s="7" t="s">
        <v>14</v>
      </c>
      <c r="E198" s="8" t="s">
        <v>1331</v>
      </c>
      <c r="F198" s="8" t="s">
        <v>76</v>
      </c>
      <c r="G198" s="8" t="s">
        <v>16</v>
      </c>
      <c r="H198" s="10" t="s">
        <v>17</v>
      </c>
      <c r="I198" s="10" t="s">
        <v>26</v>
      </c>
      <c r="J198" s="10" t="s">
        <v>25</v>
      </c>
      <c r="K198" s="8" t="s">
        <v>1373</v>
      </c>
      <c r="L198" s="8" t="s">
        <v>23</v>
      </c>
      <c r="M198" s="23">
        <v>324000000</v>
      </c>
      <c r="N198" s="10" t="s">
        <v>402</v>
      </c>
      <c r="O198" s="10" t="s">
        <v>14</v>
      </c>
    </row>
    <row r="199" spans="1:15">
      <c r="A199" s="8" t="s">
        <v>217</v>
      </c>
      <c r="B199" s="7" t="s">
        <v>1374</v>
      </c>
      <c r="C199" s="10" t="s">
        <v>218</v>
      </c>
      <c r="D199" s="7" t="s">
        <v>175</v>
      </c>
      <c r="E199" s="8" t="s">
        <v>1375</v>
      </c>
      <c r="F199" s="8" t="s">
        <v>438</v>
      </c>
      <c r="G199" s="8" t="s">
        <v>16</v>
      </c>
      <c r="H199" s="10" t="s">
        <v>17</v>
      </c>
      <c r="I199" s="10" t="s">
        <v>26</v>
      </c>
      <c r="J199" s="10" t="s">
        <v>25</v>
      </c>
      <c r="K199" s="8" t="s">
        <v>1374</v>
      </c>
      <c r="L199" s="8" t="s">
        <v>23</v>
      </c>
      <c r="M199" s="23">
        <v>5000</v>
      </c>
      <c r="N199" s="10" t="s">
        <v>402</v>
      </c>
      <c r="O199" s="10" t="s">
        <v>175</v>
      </c>
    </row>
    <row r="200" spans="1:15">
      <c r="A200" s="8" t="s">
        <v>217</v>
      </c>
      <c r="B200" s="7" t="s">
        <v>1376</v>
      </c>
      <c r="C200" s="10" t="s">
        <v>218</v>
      </c>
      <c r="D200" s="7" t="s">
        <v>14</v>
      </c>
      <c r="E200" s="8" t="s">
        <v>1377</v>
      </c>
      <c r="F200" s="8" t="s">
        <v>1378</v>
      </c>
      <c r="G200" s="8" t="s">
        <v>16</v>
      </c>
      <c r="H200" s="10" t="s">
        <v>17</v>
      </c>
      <c r="I200" s="10" t="s">
        <v>26</v>
      </c>
      <c r="J200" s="10" t="s">
        <v>25</v>
      </c>
      <c r="K200" s="8" t="s">
        <v>1376</v>
      </c>
      <c r="L200" s="8" t="s">
        <v>28</v>
      </c>
      <c r="M200" s="23">
        <v>30000</v>
      </c>
      <c r="N200" s="10" t="s">
        <v>402</v>
      </c>
      <c r="O200" s="10" t="s">
        <v>14</v>
      </c>
    </row>
    <row r="201" spans="1:15">
      <c r="A201" s="8" t="s">
        <v>217</v>
      </c>
      <c r="B201" s="7" t="s">
        <v>1379</v>
      </c>
      <c r="C201" s="10" t="s">
        <v>218</v>
      </c>
      <c r="D201" s="7" t="s">
        <v>14</v>
      </c>
      <c r="E201" s="8" t="s">
        <v>1380</v>
      </c>
      <c r="F201" s="8" t="s">
        <v>1378</v>
      </c>
      <c r="G201" s="8" t="s">
        <v>16</v>
      </c>
      <c r="H201" s="10" t="s">
        <v>17</v>
      </c>
      <c r="I201" s="10" t="s">
        <v>26</v>
      </c>
      <c r="J201" s="10" t="s">
        <v>25</v>
      </c>
      <c r="K201" s="8" t="s">
        <v>1379</v>
      </c>
      <c r="L201" s="8" t="s">
        <v>28</v>
      </c>
      <c r="M201" s="23">
        <v>30000</v>
      </c>
      <c r="N201" s="10" t="s">
        <v>402</v>
      </c>
      <c r="O201" s="10" t="s">
        <v>14</v>
      </c>
    </row>
    <row r="202" spans="1:15">
      <c r="A202" s="8" t="s">
        <v>217</v>
      </c>
      <c r="B202" s="7" t="s">
        <v>1332</v>
      </c>
      <c r="C202" s="10" t="s">
        <v>218</v>
      </c>
      <c r="D202" s="7" t="s">
        <v>14</v>
      </c>
      <c r="E202" s="8" t="s">
        <v>1381</v>
      </c>
      <c r="F202" s="8" t="s">
        <v>1378</v>
      </c>
      <c r="G202" s="8" t="s">
        <v>16</v>
      </c>
      <c r="H202" s="10" t="s">
        <v>17</v>
      </c>
      <c r="I202" s="10" t="s">
        <v>26</v>
      </c>
      <c r="J202" s="10" t="s">
        <v>25</v>
      </c>
      <c r="K202" s="8" t="s">
        <v>1332</v>
      </c>
      <c r="L202" s="8" t="s">
        <v>28</v>
      </c>
      <c r="M202" s="23">
        <v>30000</v>
      </c>
      <c r="N202" s="10" t="s">
        <v>402</v>
      </c>
      <c r="O202" s="10" t="s">
        <v>14</v>
      </c>
    </row>
    <row r="203" spans="1:15">
      <c r="A203" s="8" t="s">
        <v>217</v>
      </c>
      <c r="B203" s="7" t="s">
        <v>1382</v>
      </c>
      <c r="C203" s="10" t="s">
        <v>218</v>
      </c>
      <c r="D203" s="7" t="s">
        <v>14</v>
      </c>
      <c r="E203" s="8" t="s">
        <v>1383</v>
      </c>
      <c r="F203" s="8" t="s">
        <v>1378</v>
      </c>
      <c r="G203" s="8" t="s">
        <v>16</v>
      </c>
      <c r="H203" s="10" t="s">
        <v>17</v>
      </c>
      <c r="I203" s="10" t="s">
        <v>26</v>
      </c>
      <c r="J203" s="10" t="s">
        <v>25</v>
      </c>
      <c r="K203" s="8" t="s">
        <v>1382</v>
      </c>
      <c r="L203" s="8" t="s">
        <v>28</v>
      </c>
      <c r="M203" s="23">
        <v>30000</v>
      </c>
      <c r="N203" s="10" t="s">
        <v>402</v>
      </c>
      <c r="O203" s="10" t="s">
        <v>14</v>
      </c>
    </row>
    <row r="204" spans="1:15">
      <c r="A204" s="8" t="s">
        <v>217</v>
      </c>
      <c r="B204" s="7" t="s">
        <v>1384</v>
      </c>
      <c r="C204" s="10" t="s">
        <v>218</v>
      </c>
      <c r="D204" s="7" t="s">
        <v>14</v>
      </c>
      <c r="E204" s="8" t="s">
        <v>1377</v>
      </c>
      <c r="F204" s="8" t="s">
        <v>1385</v>
      </c>
      <c r="G204" s="8" t="s">
        <v>16</v>
      </c>
      <c r="H204" s="10" t="s">
        <v>17</v>
      </c>
      <c r="I204" s="10" t="s">
        <v>26</v>
      </c>
      <c r="J204" s="10" t="s">
        <v>25</v>
      </c>
      <c r="K204" s="8" t="s">
        <v>1384</v>
      </c>
      <c r="L204" s="8" t="s">
        <v>23</v>
      </c>
      <c r="M204" s="23">
        <v>360000</v>
      </c>
      <c r="N204" s="10" t="s">
        <v>402</v>
      </c>
      <c r="O204" s="10" t="s">
        <v>14</v>
      </c>
    </row>
    <row r="205" spans="1:15">
      <c r="A205" s="8" t="s">
        <v>217</v>
      </c>
      <c r="B205" s="7" t="s">
        <v>1386</v>
      </c>
      <c r="C205" s="10" t="s">
        <v>218</v>
      </c>
      <c r="D205" s="7" t="s">
        <v>14</v>
      </c>
      <c r="E205" s="8" t="s">
        <v>1380</v>
      </c>
      <c r="F205" s="8" t="s">
        <v>1385</v>
      </c>
      <c r="G205" s="8" t="s">
        <v>16</v>
      </c>
      <c r="H205" s="10" t="s">
        <v>17</v>
      </c>
      <c r="I205" s="10" t="s">
        <v>26</v>
      </c>
      <c r="J205" s="10" t="s">
        <v>25</v>
      </c>
      <c r="K205" s="8" t="s">
        <v>1386</v>
      </c>
      <c r="L205" s="8" t="s">
        <v>23</v>
      </c>
      <c r="M205" s="23">
        <v>360000</v>
      </c>
      <c r="N205" s="10" t="s">
        <v>402</v>
      </c>
      <c r="O205" s="10" t="s">
        <v>14</v>
      </c>
    </row>
    <row r="206" spans="1:15">
      <c r="A206" s="8" t="s">
        <v>217</v>
      </c>
      <c r="B206" s="7" t="s">
        <v>1387</v>
      </c>
      <c r="C206" s="10" t="s">
        <v>218</v>
      </c>
      <c r="D206" s="7" t="s">
        <v>14</v>
      </c>
      <c r="E206" s="8" t="s">
        <v>1381</v>
      </c>
      <c r="F206" s="8" t="s">
        <v>1385</v>
      </c>
      <c r="G206" s="8" t="s">
        <v>16</v>
      </c>
      <c r="H206" s="10" t="s">
        <v>17</v>
      </c>
      <c r="I206" s="10" t="s">
        <v>26</v>
      </c>
      <c r="J206" s="10" t="s">
        <v>25</v>
      </c>
      <c r="K206" s="8" t="s">
        <v>1387</v>
      </c>
      <c r="L206" s="8" t="s">
        <v>23</v>
      </c>
      <c r="M206" s="23">
        <v>360000</v>
      </c>
      <c r="N206" s="10" t="s">
        <v>402</v>
      </c>
      <c r="O206" s="10" t="s">
        <v>14</v>
      </c>
    </row>
    <row r="207" spans="1:15">
      <c r="A207" s="8" t="s">
        <v>217</v>
      </c>
      <c r="B207" s="7" t="s">
        <v>1388</v>
      </c>
      <c r="C207" s="10" t="s">
        <v>218</v>
      </c>
      <c r="D207" s="7" t="s">
        <v>14</v>
      </c>
      <c r="E207" s="8" t="s">
        <v>1383</v>
      </c>
      <c r="F207" s="8" t="s">
        <v>1385</v>
      </c>
      <c r="G207" s="8" t="s">
        <v>16</v>
      </c>
      <c r="H207" s="10" t="s">
        <v>17</v>
      </c>
      <c r="I207" s="10" t="s">
        <v>26</v>
      </c>
      <c r="J207" s="10" t="s">
        <v>25</v>
      </c>
      <c r="K207" s="8" t="s">
        <v>1388</v>
      </c>
      <c r="L207" s="8" t="s">
        <v>23</v>
      </c>
      <c r="M207" s="23">
        <v>360000</v>
      </c>
      <c r="N207" s="10" t="s">
        <v>402</v>
      </c>
      <c r="O207" s="10" t="s">
        <v>14</v>
      </c>
    </row>
    <row r="208" spans="1:15">
      <c r="A208" s="8" t="s">
        <v>217</v>
      </c>
      <c r="B208" s="7" t="s">
        <v>1389</v>
      </c>
      <c r="C208" s="10" t="s">
        <v>218</v>
      </c>
      <c r="D208" s="7" t="s">
        <v>14</v>
      </c>
      <c r="E208" s="8" t="s">
        <v>1390</v>
      </c>
      <c r="F208" s="8" t="s">
        <v>133</v>
      </c>
      <c r="G208" s="8" t="s">
        <v>16</v>
      </c>
      <c r="H208" s="10" t="s">
        <v>17</v>
      </c>
      <c r="I208" s="10" t="s">
        <v>26</v>
      </c>
      <c r="J208" s="10" t="s">
        <v>25</v>
      </c>
      <c r="K208" s="8" t="s">
        <v>1389</v>
      </c>
      <c r="L208" s="8" t="s">
        <v>28</v>
      </c>
      <c r="M208" s="23">
        <v>500</v>
      </c>
      <c r="N208" s="10" t="s">
        <v>216</v>
      </c>
      <c r="O208" s="10" t="s">
        <v>14</v>
      </c>
    </row>
    <row r="209" spans="1:15">
      <c r="A209" s="8" t="s">
        <v>217</v>
      </c>
      <c r="B209" s="7" t="s">
        <v>1391</v>
      </c>
      <c r="C209" s="10" t="s">
        <v>218</v>
      </c>
      <c r="D209" s="7" t="s">
        <v>14</v>
      </c>
      <c r="E209" s="8" t="s">
        <v>1392</v>
      </c>
      <c r="F209" s="8" t="s">
        <v>133</v>
      </c>
      <c r="G209" s="8" t="s">
        <v>16</v>
      </c>
      <c r="H209" s="10" t="s">
        <v>17</v>
      </c>
      <c r="I209" s="10" t="s">
        <v>26</v>
      </c>
      <c r="J209" s="10" t="s">
        <v>25</v>
      </c>
      <c r="K209" s="8" t="s">
        <v>1391</v>
      </c>
      <c r="L209" s="8" t="s">
        <v>28</v>
      </c>
      <c r="M209" s="23">
        <v>500</v>
      </c>
      <c r="N209" s="10" t="s">
        <v>216</v>
      </c>
      <c r="O209" s="10" t="s">
        <v>14</v>
      </c>
    </row>
    <row r="210" spans="1:15">
      <c r="A210" s="8" t="s">
        <v>217</v>
      </c>
      <c r="B210" s="7" t="s">
        <v>1393</v>
      </c>
      <c r="C210" s="10" t="s">
        <v>218</v>
      </c>
      <c r="D210" s="7" t="s">
        <v>14</v>
      </c>
      <c r="E210" s="8" t="s">
        <v>1394</v>
      </c>
      <c r="F210" s="8" t="s">
        <v>133</v>
      </c>
      <c r="G210" s="8" t="s">
        <v>16</v>
      </c>
      <c r="H210" s="10" t="s">
        <v>17</v>
      </c>
      <c r="I210" s="10" t="s">
        <v>26</v>
      </c>
      <c r="J210" s="10" t="s">
        <v>25</v>
      </c>
      <c r="K210" s="8" t="s">
        <v>1393</v>
      </c>
      <c r="L210" s="8" t="s">
        <v>28</v>
      </c>
      <c r="M210" s="23">
        <v>500</v>
      </c>
      <c r="N210" s="10" t="s">
        <v>216</v>
      </c>
      <c r="O210" s="10" t="s">
        <v>14</v>
      </c>
    </row>
    <row r="211" spans="1:15">
      <c r="A211" s="8" t="s">
        <v>217</v>
      </c>
      <c r="B211" s="7" t="s">
        <v>1395</v>
      </c>
      <c r="C211" s="10" t="s">
        <v>218</v>
      </c>
      <c r="D211" s="7" t="s">
        <v>14</v>
      </c>
      <c r="E211" s="8" t="s">
        <v>1396</v>
      </c>
      <c r="F211" s="8" t="s">
        <v>133</v>
      </c>
      <c r="G211" s="8" t="s">
        <v>16</v>
      </c>
      <c r="H211" s="10" t="s">
        <v>17</v>
      </c>
      <c r="I211" s="10" t="s">
        <v>26</v>
      </c>
      <c r="J211" s="10" t="s">
        <v>25</v>
      </c>
      <c r="K211" s="8" t="s">
        <v>1395</v>
      </c>
      <c r="L211" s="8" t="s">
        <v>28</v>
      </c>
      <c r="M211" s="23">
        <v>500</v>
      </c>
      <c r="N211" s="10" t="s">
        <v>216</v>
      </c>
      <c r="O211" s="10" t="s">
        <v>14</v>
      </c>
    </row>
    <row r="212" spans="1:15">
      <c r="A212" s="8" t="s">
        <v>217</v>
      </c>
      <c r="B212" s="7" t="s">
        <v>1397</v>
      </c>
      <c r="C212" s="10" t="s">
        <v>218</v>
      </c>
      <c r="D212" s="7" t="s">
        <v>14</v>
      </c>
      <c r="E212" s="8" t="s">
        <v>1398</v>
      </c>
      <c r="F212" s="8" t="s">
        <v>64</v>
      </c>
      <c r="G212" s="8" t="s">
        <v>16</v>
      </c>
      <c r="H212" s="10" t="s">
        <v>17</v>
      </c>
      <c r="I212" s="10" t="s">
        <v>26</v>
      </c>
      <c r="J212" s="10" t="s">
        <v>25</v>
      </c>
      <c r="K212" s="8" t="s">
        <v>1397</v>
      </c>
      <c r="L212" s="8" t="s">
        <v>28</v>
      </c>
      <c r="M212" s="23">
        <v>5000000</v>
      </c>
      <c r="N212" s="10" t="s">
        <v>216</v>
      </c>
      <c r="O212" s="10" t="s">
        <v>14</v>
      </c>
    </row>
    <row r="213" spans="1:15">
      <c r="A213" s="8" t="s">
        <v>217</v>
      </c>
      <c r="B213" s="7" t="s">
        <v>1399</v>
      </c>
      <c r="C213" s="10" t="s">
        <v>218</v>
      </c>
      <c r="D213" s="7" t="s">
        <v>14</v>
      </c>
      <c r="E213" s="8" t="s">
        <v>1400</v>
      </c>
      <c r="F213" s="8" t="s">
        <v>64</v>
      </c>
      <c r="G213" s="8" t="s">
        <v>16</v>
      </c>
      <c r="H213" s="10" t="s">
        <v>17</v>
      </c>
      <c r="I213" s="10" t="s">
        <v>26</v>
      </c>
      <c r="J213" s="10" t="s">
        <v>25</v>
      </c>
      <c r="K213" s="8" t="s">
        <v>1399</v>
      </c>
      <c r="L213" s="8" t="s">
        <v>28</v>
      </c>
      <c r="M213" s="23">
        <v>5000000</v>
      </c>
      <c r="N213" s="10" t="s">
        <v>216</v>
      </c>
      <c r="O213" s="10" t="s">
        <v>14</v>
      </c>
    </row>
    <row r="214" spans="1:15">
      <c r="A214" s="8" t="s">
        <v>217</v>
      </c>
      <c r="B214" s="7" t="s">
        <v>1401</v>
      </c>
      <c r="C214" s="10" t="s">
        <v>218</v>
      </c>
      <c r="D214" s="7" t="s">
        <v>14</v>
      </c>
      <c r="E214" s="8" t="s">
        <v>1402</v>
      </c>
      <c r="F214" s="8" t="s">
        <v>64</v>
      </c>
      <c r="G214" s="8" t="s">
        <v>16</v>
      </c>
      <c r="H214" s="10" t="s">
        <v>17</v>
      </c>
      <c r="I214" s="10" t="s">
        <v>26</v>
      </c>
      <c r="J214" s="10" t="s">
        <v>25</v>
      </c>
      <c r="K214" s="8" t="s">
        <v>1401</v>
      </c>
      <c r="L214" s="8" t="s">
        <v>28</v>
      </c>
      <c r="M214" s="23">
        <v>5000000</v>
      </c>
      <c r="N214" s="10" t="s">
        <v>216</v>
      </c>
      <c r="O214" s="10" t="s">
        <v>14</v>
      </c>
    </row>
    <row r="215" spans="1:15">
      <c r="A215" s="8" t="s">
        <v>217</v>
      </c>
      <c r="B215" s="7" t="s">
        <v>1403</v>
      </c>
      <c r="C215" s="10" t="s">
        <v>218</v>
      </c>
      <c r="D215" s="7" t="s">
        <v>14</v>
      </c>
      <c r="E215" s="8" t="s">
        <v>1404</v>
      </c>
      <c r="F215" s="8" t="s">
        <v>64</v>
      </c>
      <c r="G215" s="8" t="s">
        <v>16</v>
      </c>
      <c r="H215" s="10" t="s">
        <v>17</v>
      </c>
      <c r="I215" s="10" t="s">
        <v>26</v>
      </c>
      <c r="J215" s="10" t="s">
        <v>25</v>
      </c>
      <c r="K215" s="8" t="s">
        <v>1403</v>
      </c>
      <c r="L215" s="8" t="s">
        <v>28</v>
      </c>
      <c r="M215" s="23">
        <v>5000000</v>
      </c>
      <c r="N215" s="10" t="s">
        <v>216</v>
      </c>
      <c r="O215" s="10" t="s">
        <v>14</v>
      </c>
    </row>
    <row r="216" spans="1:15">
      <c r="A216" s="8" t="s">
        <v>217</v>
      </c>
      <c r="B216" s="7" t="s">
        <v>1405</v>
      </c>
      <c r="C216" s="10" t="s">
        <v>218</v>
      </c>
      <c r="D216" s="7" t="s">
        <v>14</v>
      </c>
      <c r="E216" s="8" t="s">
        <v>1406</v>
      </c>
      <c r="F216" s="8" t="s">
        <v>133</v>
      </c>
      <c r="G216" s="8" t="s">
        <v>16</v>
      </c>
      <c r="H216" s="10" t="s">
        <v>17</v>
      </c>
      <c r="I216" s="10" t="s">
        <v>26</v>
      </c>
      <c r="J216" s="10" t="s">
        <v>25</v>
      </c>
      <c r="K216" s="8" t="s">
        <v>1405</v>
      </c>
      <c r="L216" s="8" t="s">
        <v>28</v>
      </c>
      <c r="M216" s="23">
        <v>5000</v>
      </c>
      <c r="N216" s="10" t="s">
        <v>216</v>
      </c>
      <c r="O216" s="10" t="s">
        <v>14</v>
      </c>
    </row>
    <row r="217" spans="1:15">
      <c r="A217" s="8" t="s">
        <v>217</v>
      </c>
      <c r="B217" s="7" t="s">
        <v>1407</v>
      </c>
      <c r="C217" s="10" t="s">
        <v>218</v>
      </c>
      <c r="D217" s="7" t="s">
        <v>14</v>
      </c>
      <c r="E217" s="8" t="s">
        <v>1408</v>
      </c>
      <c r="F217" s="8" t="s">
        <v>133</v>
      </c>
      <c r="G217" s="8" t="s">
        <v>16</v>
      </c>
      <c r="H217" s="10" t="s">
        <v>17</v>
      </c>
      <c r="I217" s="10" t="s">
        <v>26</v>
      </c>
      <c r="J217" s="10" t="s">
        <v>25</v>
      </c>
      <c r="K217" s="8" t="s">
        <v>1407</v>
      </c>
      <c r="L217" s="8" t="s">
        <v>28</v>
      </c>
      <c r="M217" s="23">
        <v>5000</v>
      </c>
      <c r="N217" s="10" t="s">
        <v>216</v>
      </c>
      <c r="O217" s="10" t="s">
        <v>14</v>
      </c>
    </row>
    <row r="218" spans="1:15">
      <c r="A218" s="8" t="s">
        <v>217</v>
      </c>
      <c r="B218" s="7" t="s">
        <v>1409</v>
      </c>
      <c r="C218" s="10" t="s">
        <v>218</v>
      </c>
      <c r="D218" s="7" t="s">
        <v>14</v>
      </c>
      <c r="E218" s="8" t="s">
        <v>1410</v>
      </c>
      <c r="F218" s="8" t="s">
        <v>133</v>
      </c>
      <c r="G218" s="8" t="s">
        <v>16</v>
      </c>
      <c r="H218" s="10" t="s">
        <v>17</v>
      </c>
      <c r="I218" s="10" t="s">
        <v>26</v>
      </c>
      <c r="J218" s="10" t="s">
        <v>25</v>
      </c>
      <c r="K218" s="8" t="s">
        <v>1409</v>
      </c>
      <c r="L218" s="8" t="s">
        <v>28</v>
      </c>
      <c r="M218" s="23">
        <v>5000</v>
      </c>
      <c r="N218" s="10" t="s">
        <v>216</v>
      </c>
      <c r="O218" s="10" t="s">
        <v>14</v>
      </c>
    </row>
    <row r="219" spans="1:15">
      <c r="A219" s="8" t="s">
        <v>217</v>
      </c>
      <c r="B219" s="7" t="s">
        <v>1411</v>
      </c>
      <c r="C219" s="10" t="s">
        <v>218</v>
      </c>
      <c r="D219" s="7" t="s">
        <v>14</v>
      </c>
      <c r="E219" s="8" t="s">
        <v>1412</v>
      </c>
      <c r="F219" s="8" t="s">
        <v>133</v>
      </c>
      <c r="G219" s="8" t="s">
        <v>16</v>
      </c>
      <c r="H219" s="10" t="s">
        <v>17</v>
      </c>
      <c r="I219" s="10" t="s">
        <v>26</v>
      </c>
      <c r="J219" s="10" t="s">
        <v>25</v>
      </c>
      <c r="K219" s="8" t="s">
        <v>1411</v>
      </c>
      <c r="L219" s="8" t="s">
        <v>28</v>
      </c>
      <c r="M219" s="23">
        <v>5000</v>
      </c>
      <c r="N219" s="10" t="s">
        <v>216</v>
      </c>
      <c r="O219" s="10" t="s">
        <v>14</v>
      </c>
    </row>
    <row r="220" spans="1:15">
      <c r="A220" s="8" t="s">
        <v>217</v>
      </c>
      <c r="B220" s="7" t="s">
        <v>1413</v>
      </c>
      <c r="C220" s="10" t="s">
        <v>218</v>
      </c>
      <c r="D220" s="7" t="s">
        <v>14</v>
      </c>
      <c r="E220" s="8" t="s">
        <v>1414</v>
      </c>
      <c r="F220" s="8" t="s">
        <v>64</v>
      </c>
      <c r="G220" s="8" t="s">
        <v>16</v>
      </c>
      <c r="H220" s="10" t="s">
        <v>17</v>
      </c>
      <c r="I220" s="10" t="s">
        <v>26</v>
      </c>
      <c r="J220" s="10" t="s">
        <v>25</v>
      </c>
      <c r="K220" s="8" t="s">
        <v>1413</v>
      </c>
      <c r="L220" s="8" t="s">
        <v>28</v>
      </c>
      <c r="M220" s="23">
        <v>1500000</v>
      </c>
      <c r="N220" s="10" t="s">
        <v>216</v>
      </c>
      <c r="O220" s="10" t="s">
        <v>14</v>
      </c>
    </row>
    <row r="221" spans="1:15">
      <c r="A221" s="8" t="s">
        <v>217</v>
      </c>
      <c r="B221" s="7" t="s">
        <v>1415</v>
      </c>
      <c r="C221" s="10" t="s">
        <v>218</v>
      </c>
      <c r="D221" s="7" t="s">
        <v>14</v>
      </c>
      <c r="E221" s="8" t="s">
        <v>1416</v>
      </c>
      <c r="F221" s="8" t="s">
        <v>64</v>
      </c>
      <c r="G221" s="8" t="s">
        <v>16</v>
      </c>
      <c r="H221" s="10" t="s">
        <v>17</v>
      </c>
      <c r="I221" s="10" t="s">
        <v>26</v>
      </c>
      <c r="J221" s="10" t="s">
        <v>25</v>
      </c>
      <c r="K221" s="8" t="s">
        <v>1415</v>
      </c>
      <c r="L221" s="8" t="s">
        <v>28</v>
      </c>
      <c r="M221" s="23">
        <v>1500000</v>
      </c>
      <c r="N221" s="10" t="s">
        <v>216</v>
      </c>
      <c r="O221" s="10" t="s">
        <v>14</v>
      </c>
    </row>
    <row r="222" spans="1:15">
      <c r="A222" s="8" t="s">
        <v>217</v>
      </c>
      <c r="B222" s="7" t="s">
        <v>1417</v>
      </c>
      <c r="C222" s="10" t="s">
        <v>218</v>
      </c>
      <c r="D222" s="7" t="s">
        <v>14</v>
      </c>
      <c r="E222" s="8" t="s">
        <v>1418</v>
      </c>
      <c r="F222" s="8" t="s">
        <v>64</v>
      </c>
      <c r="G222" s="8" t="s">
        <v>16</v>
      </c>
      <c r="H222" s="10" t="s">
        <v>17</v>
      </c>
      <c r="I222" s="10" t="s">
        <v>26</v>
      </c>
      <c r="J222" s="10" t="s">
        <v>25</v>
      </c>
      <c r="K222" s="8" t="s">
        <v>1417</v>
      </c>
      <c r="L222" s="8" t="s">
        <v>28</v>
      </c>
      <c r="M222" s="23">
        <v>1500000</v>
      </c>
      <c r="N222" s="10" t="s">
        <v>216</v>
      </c>
      <c r="O222" s="10" t="s">
        <v>14</v>
      </c>
    </row>
    <row r="223" spans="1:15">
      <c r="A223" s="8" t="s">
        <v>217</v>
      </c>
      <c r="B223" s="7" t="s">
        <v>1419</v>
      </c>
      <c r="C223" s="10" t="s">
        <v>218</v>
      </c>
      <c r="D223" s="7" t="s">
        <v>14</v>
      </c>
      <c r="E223" s="8" t="s">
        <v>1420</v>
      </c>
      <c r="F223" s="8" t="s">
        <v>64</v>
      </c>
      <c r="G223" s="8" t="s">
        <v>16</v>
      </c>
      <c r="H223" s="10" t="s">
        <v>17</v>
      </c>
      <c r="I223" s="10" t="s">
        <v>26</v>
      </c>
      <c r="J223" s="10" t="s">
        <v>25</v>
      </c>
      <c r="K223" s="8" t="s">
        <v>1419</v>
      </c>
      <c r="L223" s="8" t="s">
        <v>28</v>
      </c>
      <c r="M223" s="23">
        <v>1500000</v>
      </c>
      <c r="N223" s="10" t="s">
        <v>216</v>
      </c>
      <c r="O223" s="10" t="s">
        <v>14</v>
      </c>
    </row>
    <row r="224" spans="1:15">
      <c r="A224" s="8" t="s">
        <v>217</v>
      </c>
      <c r="B224" s="7" t="s">
        <v>1421</v>
      </c>
      <c r="C224" s="10" t="s">
        <v>218</v>
      </c>
      <c r="D224" s="7" t="s">
        <v>14</v>
      </c>
      <c r="E224" s="8" t="s">
        <v>418</v>
      </c>
      <c r="F224" s="8" t="s">
        <v>76</v>
      </c>
      <c r="G224" s="8" t="s">
        <v>16</v>
      </c>
      <c r="H224" s="10" t="s">
        <v>17</v>
      </c>
      <c r="I224" s="10" t="s">
        <v>26</v>
      </c>
      <c r="J224" s="10" t="s">
        <v>25</v>
      </c>
      <c r="K224" s="8" t="s">
        <v>1421</v>
      </c>
      <c r="L224" s="8" t="s">
        <v>23</v>
      </c>
      <c r="M224" s="23">
        <v>144000000</v>
      </c>
      <c r="N224" s="10" t="s">
        <v>402</v>
      </c>
      <c r="O224" s="10" t="s">
        <v>14</v>
      </c>
    </row>
    <row r="225" spans="1:15">
      <c r="A225" s="8" t="s">
        <v>217</v>
      </c>
      <c r="B225" s="7" t="s">
        <v>1422</v>
      </c>
      <c r="C225" s="10" t="s">
        <v>218</v>
      </c>
      <c r="D225" s="7" t="s">
        <v>14</v>
      </c>
      <c r="E225" s="8" t="s">
        <v>419</v>
      </c>
      <c r="F225" s="8" t="s">
        <v>76</v>
      </c>
      <c r="G225" s="8" t="s">
        <v>16</v>
      </c>
      <c r="H225" s="10" t="s">
        <v>17</v>
      </c>
      <c r="I225" s="10" t="s">
        <v>26</v>
      </c>
      <c r="J225" s="10" t="s">
        <v>25</v>
      </c>
      <c r="K225" s="8" t="s">
        <v>1422</v>
      </c>
      <c r="L225" s="8" t="s">
        <v>23</v>
      </c>
      <c r="M225" s="23">
        <v>144000000</v>
      </c>
      <c r="N225" s="10" t="s">
        <v>402</v>
      </c>
      <c r="O225" s="10" t="s">
        <v>14</v>
      </c>
    </row>
    <row r="226" spans="1:15">
      <c r="A226" s="8" t="s">
        <v>217</v>
      </c>
      <c r="B226" s="7" t="s">
        <v>1423</v>
      </c>
      <c r="C226" s="10" t="s">
        <v>218</v>
      </c>
      <c r="D226" s="7" t="s">
        <v>14</v>
      </c>
      <c r="E226" s="8" t="s">
        <v>420</v>
      </c>
      <c r="F226" s="8" t="s">
        <v>76</v>
      </c>
      <c r="G226" s="8" t="s">
        <v>16</v>
      </c>
      <c r="H226" s="10" t="s">
        <v>17</v>
      </c>
      <c r="I226" s="10" t="s">
        <v>26</v>
      </c>
      <c r="J226" s="10" t="s">
        <v>25</v>
      </c>
      <c r="K226" s="8" t="s">
        <v>1423</v>
      </c>
      <c r="L226" s="8" t="s">
        <v>23</v>
      </c>
      <c r="M226" s="23">
        <v>144000000</v>
      </c>
      <c r="N226" s="10" t="s">
        <v>402</v>
      </c>
      <c r="O226" s="10" t="s">
        <v>14</v>
      </c>
    </row>
    <row r="227" spans="1:15">
      <c r="A227" s="8" t="s">
        <v>217</v>
      </c>
      <c r="B227" s="7" t="s">
        <v>1424</v>
      </c>
      <c r="C227" s="10" t="s">
        <v>218</v>
      </c>
      <c r="D227" s="7" t="s">
        <v>14</v>
      </c>
      <c r="E227" s="8" t="s">
        <v>421</v>
      </c>
      <c r="F227" s="8" t="s">
        <v>76</v>
      </c>
      <c r="G227" s="8" t="s">
        <v>16</v>
      </c>
      <c r="H227" s="10" t="s">
        <v>17</v>
      </c>
      <c r="I227" s="10" t="s">
        <v>26</v>
      </c>
      <c r="J227" s="10" t="s">
        <v>25</v>
      </c>
      <c r="K227" s="8" t="s">
        <v>1424</v>
      </c>
      <c r="L227" s="8" t="s">
        <v>23</v>
      </c>
      <c r="M227" s="23">
        <v>144000000</v>
      </c>
      <c r="N227" s="10" t="s">
        <v>402</v>
      </c>
      <c r="O227" s="10" t="s">
        <v>14</v>
      </c>
    </row>
    <row r="228" spans="1:15">
      <c r="A228" s="8" t="s">
        <v>217</v>
      </c>
      <c r="B228" s="7" t="s">
        <v>1425</v>
      </c>
      <c r="C228" s="10" t="s">
        <v>218</v>
      </c>
      <c r="D228" s="7" t="s">
        <v>14</v>
      </c>
      <c r="E228" s="8" t="s">
        <v>422</v>
      </c>
      <c r="F228" s="8" t="s">
        <v>76</v>
      </c>
      <c r="G228" s="8" t="s">
        <v>16</v>
      </c>
      <c r="H228" s="10" t="s">
        <v>17</v>
      </c>
      <c r="I228" s="10" t="s">
        <v>26</v>
      </c>
      <c r="J228" s="10" t="s">
        <v>25</v>
      </c>
      <c r="K228" s="8" t="s">
        <v>1425</v>
      </c>
      <c r="L228" s="8" t="s">
        <v>23</v>
      </c>
      <c r="M228" s="23">
        <v>180000000</v>
      </c>
      <c r="N228" s="10" t="s">
        <v>402</v>
      </c>
      <c r="O228" s="10" t="s">
        <v>14</v>
      </c>
    </row>
    <row r="229" spans="1:15">
      <c r="A229" s="8" t="s">
        <v>217</v>
      </c>
      <c r="B229" s="7" t="s">
        <v>1426</v>
      </c>
      <c r="C229" s="10" t="s">
        <v>218</v>
      </c>
      <c r="D229" s="7" t="s">
        <v>14</v>
      </c>
      <c r="E229" s="8" t="s">
        <v>423</v>
      </c>
      <c r="F229" s="8" t="s">
        <v>76</v>
      </c>
      <c r="G229" s="8" t="s">
        <v>16</v>
      </c>
      <c r="H229" s="10" t="s">
        <v>17</v>
      </c>
      <c r="I229" s="10" t="s">
        <v>26</v>
      </c>
      <c r="J229" s="10" t="s">
        <v>25</v>
      </c>
      <c r="K229" s="8" t="s">
        <v>1426</v>
      </c>
      <c r="L229" s="8" t="s">
        <v>23</v>
      </c>
      <c r="M229" s="23">
        <v>180000000</v>
      </c>
      <c r="N229" s="10" t="s">
        <v>402</v>
      </c>
      <c r="O229" s="10" t="s">
        <v>14</v>
      </c>
    </row>
    <row r="230" spans="1:15">
      <c r="A230" s="8" t="s">
        <v>217</v>
      </c>
      <c r="B230" s="7" t="s">
        <v>1427</v>
      </c>
      <c r="C230" s="10" t="s">
        <v>218</v>
      </c>
      <c r="D230" s="7" t="s">
        <v>14</v>
      </c>
      <c r="E230" s="8" t="s">
        <v>1428</v>
      </c>
      <c r="F230" s="8" t="s">
        <v>76</v>
      </c>
      <c r="G230" s="8" t="s">
        <v>16</v>
      </c>
      <c r="H230" s="10" t="s">
        <v>17</v>
      </c>
      <c r="I230" s="10" t="s">
        <v>26</v>
      </c>
      <c r="J230" s="10" t="s">
        <v>25</v>
      </c>
      <c r="K230" s="8" t="s">
        <v>1427</v>
      </c>
      <c r="L230" s="8" t="s">
        <v>23</v>
      </c>
      <c r="M230" s="23">
        <v>144000000</v>
      </c>
      <c r="N230" s="10" t="s">
        <v>402</v>
      </c>
      <c r="O230" s="10" t="s">
        <v>14</v>
      </c>
    </row>
    <row r="231" spans="1:15">
      <c r="A231" s="8" t="s">
        <v>217</v>
      </c>
      <c r="B231" s="7" t="s">
        <v>1429</v>
      </c>
      <c r="C231" s="10" t="s">
        <v>218</v>
      </c>
      <c r="D231" s="7" t="s">
        <v>14</v>
      </c>
      <c r="E231" s="8" t="s">
        <v>425</v>
      </c>
      <c r="F231" s="8" t="s">
        <v>76</v>
      </c>
      <c r="G231" s="8" t="s">
        <v>16</v>
      </c>
      <c r="H231" s="10" t="s">
        <v>17</v>
      </c>
      <c r="I231" s="10" t="s">
        <v>26</v>
      </c>
      <c r="J231" s="10" t="s">
        <v>25</v>
      </c>
      <c r="K231" s="8" t="s">
        <v>1429</v>
      </c>
      <c r="L231" s="8" t="s">
        <v>23</v>
      </c>
      <c r="M231" s="23">
        <v>144000000</v>
      </c>
      <c r="N231" s="10" t="s">
        <v>402</v>
      </c>
      <c r="O231" s="10" t="s">
        <v>14</v>
      </c>
    </row>
  </sheetData>
  <conditionalFormatting sqref="B1 B166:B1048576 E2:E10">
    <cfRule type="duplicateValues" dxfId="70" priority="73"/>
    <cfRule type="duplicateValues" dxfId="69" priority="78"/>
    <cfRule type="duplicateValues" dxfId="68" priority="79"/>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topLeftCell="C1" zoomScaleNormal="85" workbookViewId="0">
      <pane ySplit="2" topLeftCell="A3" activePane="bottomLeft" state="frozen"/>
      <selection activeCell="B16" sqref="B16:P16"/>
      <selection pane="bottomLeft" activeCell="G20" sqref="G20"/>
    </sheetView>
  </sheetViews>
  <sheetFormatPr baseColWidth="10" defaultColWidth="12.36328125" defaultRowHeight="14.5"/>
  <cols>
    <col min="1" max="1" width="16.36328125" style="8" bestFit="1" customWidth="1"/>
    <col min="2" max="2" width="38.90625" style="7" bestFit="1" customWidth="1"/>
    <col min="3" max="3" width="25.453125" style="10" customWidth="1"/>
    <col min="4" max="4" width="9" style="7" bestFit="1" customWidth="1"/>
    <col min="5" max="5" width="57.453125" style="8" customWidth="1"/>
    <col min="6" max="6" width="9.6328125" style="8" customWidth="1"/>
    <col min="7" max="7" width="11.54296875" style="8" customWidth="1"/>
    <col min="8" max="8" width="15.54296875" style="10" hidden="1" customWidth="1"/>
    <col min="9" max="9" width="12.36328125" style="10" hidden="1" customWidth="1"/>
    <col min="10" max="10" width="18.453125" style="10" hidden="1" customWidth="1"/>
    <col min="11" max="11" width="22.08984375" style="8" hidden="1" customWidth="1"/>
    <col min="12" max="12" width="13.6328125" style="8" customWidth="1"/>
    <col min="13" max="13" width="18.54296875" style="23" bestFit="1" customWidth="1"/>
    <col min="14" max="14" width="8.90625" style="10" customWidth="1"/>
    <col min="15" max="15" width="12.36328125" style="10"/>
    <col min="16" max="16384" width="12.36328125" style="8"/>
  </cols>
  <sheetData>
    <row r="1" spans="1:15" ht="33" customHeight="1">
      <c r="A1" s="313" t="s">
        <v>2508</v>
      </c>
      <c r="B1" s="314"/>
      <c r="C1" s="314"/>
      <c r="D1" s="314"/>
      <c r="E1" s="314"/>
      <c r="F1" s="314"/>
      <c r="G1" s="314"/>
      <c r="H1" s="314"/>
      <c r="I1" s="314"/>
      <c r="J1" s="314"/>
      <c r="K1" s="314"/>
      <c r="L1" s="314"/>
      <c r="M1" s="314"/>
      <c r="N1" s="314"/>
      <c r="O1" s="314"/>
    </row>
    <row r="2" spans="1:15" s="10" customFormat="1" ht="15">
      <c r="A2" s="83" t="s">
        <v>0</v>
      </c>
      <c r="B2" s="83" t="s">
        <v>1</v>
      </c>
      <c r="C2" s="83" t="s">
        <v>2</v>
      </c>
      <c r="D2" s="84" t="s">
        <v>3</v>
      </c>
      <c r="E2" s="84" t="s">
        <v>4</v>
      </c>
      <c r="F2" s="83" t="s">
        <v>5</v>
      </c>
      <c r="G2" s="83" t="s">
        <v>6</v>
      </c>
      <c r="H2" s="83" t="s">
        <v>7</v>
      </c>
      <c r="I2" s="83" t="s">
        <v>8</v>
      </c>
      <c r="J2" s="83" t="s">
        <v>9</v>
      </c>
      <c r="K2" s="83" t="s">
        <v>10</v>
      </c>
      <c r="L2" s="83" t="s">
        <v>11</v>
      </c>
      <c r="M2" s="85" t="s">
        <v>12</v>
      </c>
      <c r="N2" s="86" t="s">
        <v>13</v>
      </c>
      <c r="O2" s="84" t="s">
        <v>3</v>
      </c>
    </row>
    <row r="3" spans="1:15">
      <c r="A3" s="27" t="s">
        <v>2508</v>
      </c>
      <c r="B3" s="41" t="s">
        <v>2509</v>
      </c>
      <c r="C3" s="28" t="s">
        <v>2510</v>
      </c>
      <c r="D3" s="41" t="s">
        <v>14</v>
      </c>
      <c r="E3" s="27" t="s">
        <v>2511</v>
      </c>
      <c r="F3" s="27" t="s">
        <v>168</v>
      </c>
      <c r="G3" s="27" t="s">
        <v>16</v>
      </c>
      <c r="H3" s="28" t="s">
        <v>17</v>
      </c>
      <c r="I3" s="28" t="s">
        <v>2512</v>
      </c>
      <c r="J3" s="28" t="s">
        <v>2512</v>
      </c>
      <c r="K3" s="27" t="s">
        <v>2509</v>
      </c>
      <c r="L3" s="27" t="s">
        <v>2513</v>
      </c>
      <c r="M3" s="87">
        <v>560000000</v>
      </c>
      <c r="N3" s="28" t="s">
        <v>172</v>
      </c>
      <c r="O3" s="28" t="s">
        <v>14</v>
      </c>
    </row>
    <row r="4" spans="1:15">
      <c r="A4" s="27" t="s">
        <v>2508</v>
      </c>
      <c r="B4" s="41" t="s">
        <v>2514</v>
      </c>
      <c r="C4" s="28" t="s">
        <v>2510</v>
      </c>
      <c r="D4" s="41" t="s">
        <v>14</v>
      </c>
      <c r="E4" s="27" t="s">
        <v>2515</v>
      </c>
      <c r="F4" s="27" t="s">
        <v>2516</v>
      </c>
      <c r="G4" s="27" t="s">
        <v>21</v>
      </c>
      <c r="H4" s="28" t="s">
        <v>17</v>
      </c>
      <c r="I4" s="28" t="s">
        <v>26</v>
      </c>
      <c r="J4" s="28" t="s">
        <v>167</v>
      </c>
      <c r="K4" s="27" t="s">
        <v>2514</v>
      </c>
      <c r="L4" s="27" t="s">
        <v>252</v>
      </c>
      <c r="M4" s="87">
        <v>272000000</v>
      </c>
      <c r="N4" s="28" t="s">
        <v>172</v>
      </c>
      <c r="O4" s="28" t="s">
        <v>14</v>
      </c>
    </row>
    <row r="5" spans="1:15">
      <c r="A5" s="27" t="s">
        <v>2508</v>
      </c>
      <c r="B5" s="41" t="s">
        <v>2517</v>
      </c>
      <c r="C5" s="28" t="s">
        <v>2510</v>
      </c>
      <c r="D5" s="41" t="s">
        <v>14</v>
      </c>
      <c r="E5" s="27" t="s">
        <v>2518</v>
      </c>
      <c r="F5" s="27" t="s">
        <v>2516</v>
      </c>
      <c r="G5" s="27" t="s">
        <v>21</v>
      </c>
      <c r="H5" s="28" t="s">
        <v>17</v>
      </c>
      <c r="I5" s="28" t="s">
        <v>26</v>
      </c>
      <c r="J5" s="28" t="s">
        <v>167</v>
      </c>
      <c r="K5" s="27" t="s">
        <v>2517</v>
      </c>
      <c r="L5" s="27" t="s">
        <v>252</v>
      </c>
      <c r="M5" s="87">
        <v>151000000</v>
      </c>
      <c r="N5" s="28" t="s">
        <v>172</v>
      </c>
      <c r="O5" s="28" t="s">
        <v>14</v>
      </c>
    </row>
    <row r="6" spans="1:15">
      <c r="A6" s="27" t="s">
        <v>2508</v>
      </c>
      <c r="B6" s="41" t="s">
        <v>2519</v>
      </c>
      <c r="C6" s="28" t="s">
        <v>2510</v>
      </c>
      <c r="D6" s="41" t="s">
        <v>14</v>
      </c>
      <c r="E6" s="27" t="s">
        <v>2520</v>
      </c>
      <c r="F6" s="27" t="s">
        <v>29</v>
      </c>
      <c r="G6" s="27" t="s">
        <v>21</v>
      </c>
      <c r="H6" s="28" t="s">
        <v>17</v>
      </c>
      <c r="I6" s="28" t="s">
        <v>26</v>
      </c>
      <c r="J6" s="28" t="s">
        <v>167</v>
      </c>
      <c r="K6" s="27" t="s">
        <v>2519</v>
      </c>
      <c r="L6" s="27" t="s">
        <v>252</v>
      </c>
      <c r="M6" s="87">
        <v>101000000</v>
      </c>
      <c r="N6" s="28" t="s">
        <v>172</v>
      </c>
      <c r="O6" s="28" t="s">
        <v>14</v>
      </c>
    </row>
    <row r="7" spans="1:15">
      <c r="A7" s="27" t="s">
        <v>2508</v>
      </c>
      <c r="B7" s="41" t="s">
        <v>2521</v>
      </c>
      <c r="C7" s="28" t="s">
        <v>2510</v>
      </c>
      <c r="D7" s="41" t="s">
        <v>14</v>
      </c>
      <c r="E7" s="27" t="s">
        <v>2522</v>
      </c>
      <c r="F7" s="27" t="s">
        <v>128</v>
      </c>
      <c r="G7" s="27" t="s">
        <v>16</v>
      </c>
      <c r="H7" s="28" t="s">
        <v>17</v>
      </c>
      <c r="I7" s="28" t="s">
        <v>2512</v>
      </c>
      <c r="J7" s="28" t="s">
        <v>2512</v>
      </c>
      <c r="K7" s="27" t="s">
        <v>2521</v>
      </c>
      <c r="L7" s="27" t="s">
        <v>2523</v>
      </c>
      <c r="M7" s="87">
        <v>33600000</v>
      </c>
      <c r="N7" s="28" t="s">
        <v>173</v>
      </c>
      <c r="O7" s="28" t="s">
        <v>14</v>
      </c>
    </row>
    <row r="8" spans="1:15">
      <c r="A8" s="27" t="s">
        <v>2508</v>
      </c>
      <c r="B8" s="41" t="s">
        <v>2524</v>
      </c>
      <c r="C8" s="28" t="s">
        <v>2510</v>
      </c>
      <c r="D8" s="41" t="s">
        <v>14</v>
      </c>
      <c r="E8" s="27" t="s">
        <v>2525</v>
      </c>
      <c r="F8" s="27" t="s">
        <v>168</v>
      </c>
      <c r="G8" s="27" t="s">
        <v>16</v>
      </c>
      <c r="H8" s="28" t="s">
        <v>17</v>
      </c>
      <c r="I8" s="28" t="s">
        <v>2512</v>
      </c>
      <c r="J8" s="28" t="s">
        <v>2512</v>
      </c>
      <c r="K8" s="27" t="s">
        <v>2524</v>
      </c>
      <c r="L8" s="27" t="s">
        <v>2513</v>
      </c>
      <c r="M8" s="87">
        <v>280000000</v>
      </c>
      <c r="N8" s="28" t="s">
        <v>172</v>
      </c>
      <c r="O8" s="28" t="s">
        <v>14</v>
      </c>
    </row>
    <row r="9" spans="1:15">
      <c r="A9" s="27" t="s">
        <v>2508</v>
      </c>
      <c r="B9" s="41" t="s">
        <v>2526</v>
      </c>
      <c r="C9" s="28" t="s">
        <v>2510</v>
      </c>
      <c r="D9" s="41" t="s">
        <v>14</v>
      </c>
      <c r="E9" s="27" t="s">
        <v>2527</v>
      </c>
      <c r="F9" s="27" t="s">
        <v>128</v>
      </c>
      <c r="G9" s="27" t="s">
        <v>16</v>
      </c>
      <c r="H9" s="28" t="s">
        <v>17</v>
      </c>
      <c r="I9" s="28" t="s">
        <v>2512</v>
      </c>
      <c r="J9" s="28" t="s">
        <v>2512</v>
      </c>
      <c r="K9" s="27" t="s">
        <v>2526</v>
      </c>
      <c r="L9" s="27" t="s">
        <v>2523</v>
      </c>
      <c r="M9" s="87">
        <v>19000000</v>
      </c>
      <c r="N9" s="28" t="s">
        <v>173</v>
      </c>
      <c r="O9" s="28" t="s">
        <v>14</v>
      </c>
    </row>
    <row r="10" spans="1:15">
      <c r="A10" s="27" t="s">
        <v>2508</v>
      </c>
      <c r="B10" s="41" t="s">
        <v>2528</v>
      </c>
      <c r="C10" s="28" t="s">
        <v>2510</v>
      </c>
      <c r="D10" s="41" t="s">
        <v>14</v>
      </c>
      <c r="E10" s="27" t="s">
        <v>2529</v>
      </c>
      <c r="F10" s="27" t="s">
        <v>29</v>
      </c>
      <c r="G10" s="27" t="s">
        <v>21</v>
      </c>
      <c r="H10" s="28" t="s">
        <v>17</v>
      </c>
      <c r="I10" s="28" t="s">
        <v>26</v>
      </c>
      <c r="J10" s="28" t="s">
        <v>167</v>
      </c>
      <c r="K10" s="27" t="s">
        <v>2528</v>
      </c>
      <c r="L10" s="27" t="s">
        <v>252</v>
      </c>
      <c r="M10" s="87">
        <v>108000000</v>
      </c>
      <c r="N10" s="28" t="s">
        <v>172</v>
      </c>
      <c r="O10" s="28" t="s">
        <v>14</v>
      </c>
    </row>
    <row r="11" spans="1:15">
      <c r="A11" s="27" t="s">
        <v>2508</v>
      </c>
      <c r="B11" s="41" t="s">
        <v>2530</v>
      </c>
      <c r="C11" s="28" t="s">
        <v>2510</v>
      </c>
      <c r="D11" s="41" t="s">
        <v>14</v>
      </c>
      <c r="E11" s="27" t="s">
        <v>2531</v>
      </c>
      <c r="F11" s="27" t="s">
        <v>29</v>
      </c>
      <c r="G11" s="27" t="s">
        <v>21</v>
      </c>
      <c r="H11" s="28" t="s">
        <v>17</v>
      </c>
      <c r="I11" s="28" t="s">
        <v>26</v>
      </c>
      <c r="J11" s="28" t="s">
        <v>167</v>
      </c>
      <c r="K11" s="27" t="s">
        <v>2530</v>
      </c>
      <c r="L11" s="27" t="s">
        <v>252</v>
      </c>
      <c r="M11" s="87">
        <v>51000000</v>
      </c>
      <c r="N11" s="28" t="s">
        <v>172</v>
      </c>
      <c r="O11" s="28" t="s">
        <v>14</v>
      </c>
    </row>
    <row r="12" spans="1:15">
      <c r="A12" s="27" t="s">
        <v>2508</v>
      </c>
      <c r="B12" s="41" t="s">
        <v>2532</v>
      </c>
      <c r="C12" s="28" t="s">
        <v>2510</v>
      </c>
      <c r="D12" s="41" t="s">
        <v>14</v>
      </c>
      <c r="E12" s="27" t="s">
        <v>2533</v>
      </c>
      <c r="F12" s="27" t="s">
        <v>168</v>
      </c>
      <c r="G12" s="27" t="s">
        <v>16</v>
      </c>
      <c r="H12" s="28" t="s">
        <v>17</v>
      </c>
      <c r="I12" s="28" t="s">
        <v>2512</v>
      </c>
      <c r="J12" s="28" t="s">
        <v>2512</v>
      </c>
      <c r="K12" s="27" t="s">
        <v>2532</v>
      </c>
      <c r="L12" s="27" t="s">
        <v>252</v>
      </c>
      <c r="M12" s="87">
        <v>56000000</v>
      </c>
      <c r="N12" s="28" t="s">
        <v>172</v>
      </c>
      <c r="O12" s="28" t="s">
        <v>14</v>
      </c>
    </row>
    <row r="13" spans="1:15">
      <c r="A13" s="27" t="s">
        <v>2508</v>
      </c>
      <c r="B13" s="41" t="s">
        <v>2534</v>
      </c>
      <c r="C13" s="28" t="s">
        <v>2510</v>
      </c>
      <c r="D13" s="41" t="s">
        <v>14</v>
      </c>
      <c r="E13" s="27" t="s">
        <v>2535</v>
      </c>
      <c r="F13" s="27" t="s">
        <v>128</v>
      </c>
      <c r="G13" s="27" t="s">
        <v>16</v>
      </c>
      <c r="H13" s="28" t="s">
        <v>17</v>
      </c>
      <c r="I13" s="28" t="s">
        <v>2512</v>
      </c>
      <c r="J13" s="28" t="s">
        <v>2512</v>
      </c>
      <c r="K13" s="27" t="s">
        <v>2534</v>
      </c>
      <c r="L13" s="27" t="s">
        <v>2523</v>
      </c>
      <c r="M13" s="87">
        <v>8000000</v>
      </c>
      <c r="N13" s="28" t="s">
        <v>173</v>
      </c>
      <c r="O13" s="28" t="s">
        <v>14</v>
      </c>
    </row>
    <row r="14" spans="1:15">
      <c r="A14" s="27" t="s">
        <v>2508</v>
      </c>
      <c r="B14" s="41" t="s">
        <v>2536</v>
      </c>
      <c r="C14" s="28" t="s">
        <v>2510</v>
      </c>
      <c r="D14" s="41" t="s">
        <v>14</v>
      </c>
      <c r="E14" s="27" t="s">
        <v>2537</v>
      </c>
      <c r="F14" s="27" t="s">
        <v>29</v>
      </c>
      <c r="G14" s="27" t="s">
        <v>21</v>
      </c>
      <c r="H14" s="28" t="s">
        <v>17</v>
      </c>
      <c r="I14" s="28" t="s">
        <v>26</v>
      </c>
      <c r="J14" s="28" t="s">
        <v>167</v>
      </c>
      <c r="K14" s="27" t="s">
        <v>2536</v>
      </c>
      <c r="L14" s="27" t="s">
        <v>252</v>
      </c>
      <c r="M14" s="87">
        <v>10000000</v>
      </c>
      <c r="N14" s="28" t="s">
        <v>172</v>
      </c>
      <c r="O14" s="28" t="s">
        <v>14</v>
      </c>
    </row>
    <row r="15" spans="1:15">
      <c r="A15" s="27" t="s">
        <v>2508</v>
      </c>
      <c r="B15" s="41" t="s">
        <v>2538</v>
      </c>
      <c r="C15" s="28" t="s">
        <v>2510</v>
      </c>
      <c r="D15" s="41" t="s">
        <v>14</v>
      </c>
      <c r="E15" s="27" t="s">
        <v>2539</v>
      </c>
      <c r="F15" s="27" t="s">
        <v>29</v>
      </c>
      <c r="G15" s="27" t="s">
        <v>21</v>
      </c>
      <c r="H15" s="28" t="s">
        <v>17</v>
      </c>
      <c r="I15" s="28" t="s">
        <v>26</v>
      </c>
      <c r="J15" s="28" t="s">
        <v>167</v>
      </c>
      <c r="K15" s="27" t="s">
        <v>2538</v>
      </c>
      <c r="L15" s="27" t="s">
        <v>252</v>
      </c>
      <c r="M15" s="87">
        <v>27000000</v>
      </c>
      <c r="N15" s="28" t="s">
        <v>172</v>
      </c>
      <c r="O15" s="28" t="s">
        <v>14</v>
      </c>
    </row>
    <row r="16" spans="1:15">
      <c r="A16" s="27" t="s">
        <v>2508</v>
      </c>
      <c r="B16" s="41" t="s">
        <v>2540</v>
      </c>
      <c r="C16" s="28" t="s">
        <v>2510</v>
      </c>
      <c r="D16" s="41" t="s">
        <v>14</v>
      </c>
      <c r="E16" s="27" t="s">
        <v>2541</v>
      </c>
      <c r="F16" s="27" t="s">
        <v>128</v>
      </c>
      <c r="G16" s="27" t="s">
        <v>16</v>
      </c>
      <c r="H16" s="28" t="s">
        <v>17</v>
      </c>
      <c r="I16" s="28" t="s">
        <v>2512</v>
      </c>
      <c r="J16" s="28" t="s">
        <v>2512</v>
      </c>
      <c r="K16" s="27" t="s">
        <v>2540</v>
      </c>
      <c r="L16" s="27" t="s">
        <v>2523</v>
      </c>
      <c r="M16" s="87">
        <v>34000000</v>
      </c>
      <c r="N16" s="28" t="s">
        <v>173</v>
      </c>
      <c r="O16" s="28" t="s">
        <v>14</v>
      </c>
    </row>
    <row r="17" spans="1:15">
      <c r="A17" s="27" t="s">
        <v>2508</v>
      </c>
      <c r="B17" s="41" t="s">
        <v>2542</v>
      </c>
      <c r="C17" s="28" t="s">
        <v>2510</v>
      </c>
      <c r="D17" s="41" t="s">
        <v>14</v>
      </c>
      <c r="E17" s="27" t="s">
        <v>2543</v>
      </c>
      <c r="F17" s="27" t="s">
        <v>29</v>
      </c>
      <c r="G17" s="27" t="s">
        <v>21</v>
      </c>
      <c r="H17" s="28" t="s">
        <v>17</v>
      </c>
      <c r="I17" s="28" t="s">
        <v>26</v>
      </c>
      <c r="J17" s="28" t="s">
        <v>167</v>
      </c>
      <c r="K17" s="27" t="s">
        <v>2542</v>
      </c>
      <c r="L17" s="27" t="s">
        <v>252</v>
      </c>
      <c r="M17" s="87">
        <v>90000000</v>
      </c>
      <c r="N17" s="28" t="s">
        <v>172</v>
      </c>
      <c r="O17" s="28" t="s">
        <v>14</v>
      </c>
    </row>
    <row r="18" spans="1:15">
      <c r="A18" s="27" t="s">
        <v>2508</v>
      </c>
      <c r="B18" s="41" t="s">
        <v>2544</v>
      </c>
      <c r="C18" s="28" t="s">
        <v>2510</v>
      </c>
      <c r="D18" s="41" t="s">
        <v>14</v>
      </c>
      <c r="E18" s="27" t="s">
        <v>2545</v>
      </c>
      <c r="F18" s="27" t="s">
        <v>128</v>
      </c>
      <c r="G18" s="27" t="s">
        <v>16</v>
      </c>
      <c r="H18" s="28" t="s">
        <v>17</v>
      </c>
      <c r="I18" s="28" t="s">
        <v>2512</v>
      </c>
      <c r="J18" s="28" t="s">
        <v>2512</v>
      </c>
      <c r="K18" s="27" t="s">
        <v>2544</v>
      </c>
      <c r="L18" s="27" t="s">
        <v>2523</v>
      </c>
      <c r="M18" s="87">
        <v>37000000</v>
      </c>
      <c r="N18" s="28" t="s">
        <v>173</v>
      </c>
      <c r="O18" s="28" t="s">
        <v>14</v>
      </c>
    </row>
    <row r="19" spans="1:15">
      <c r="A19" s="27" t="s">
        <v>2508</v>
      </c>
      <c r="B19" s="41" t="s">
        <v>2546</v>
      </c>
      <c r="C19" s="28" t="s">
        <v>2510</v>
      </c>
      <c r="D19" s="41" t="s">
        <v>14</v>
      </c>
      <c r="E19" s="27" t="s">
        <v>2545</v>
      </c>
      <c r="F19" s="27" t="s">
        <v>438</v>
      </c>
      <c r="G19" s="27" t="s">
        <v>16</v>
      </c>
      <c r="H19" s="28" t="s">
        <v>17</v>
      </c>
      <c r="I19" s="28" t="s">
        <v>2512</v>
      </c>
      <c r="J19" s="28" t="s">
        <v>2512</v>
      </c>
      <c r="K19" s="27" t="s">
        <v>2546</v>
      </c>
      <c r="L19" s="27" t="s">
        <v>2547</v>
      </c>
      <c r="M19" s="87">
        <v>444000000</v>
      </c>
      <c r="N19" s="28" t="s">
        <v>173</v>
      </c>
      <c r="O19" s="28" t="s">
        <v>14</v>
      </c>
    </row>
    <row r="20" spans="1:15">
      <c r="A20" s="27" t="s">
        <v>2508</v>
      </c>
      <c r="B20" s="41" t="s">
        <v>2548</v>
      </c>
      <c r="C20" s="28" t="s">
        <v>2510</v>
      </c>
      <c r="D20" s="41" t="s">
        <v>14</v>
      </c>
      <c r="E20" s="27" t="s">
        <v>2549</v>
      </c>
      <c r="F20" s="27" t="s">
        <v>128</v>
      </c>
      <c r="G20" s="27" t="s">
        <v>16</v>
      </c>
      <c r="H20" s="28" t="s">
        <v>17</v>
      </c>
      <c r="I20" s="28" t="s">
        <v>2512</v>
      </c>
      <c r="J20" s="28" t="s">
        <v>2512</v>
      </c>
      <c r="K20" s="27" t="s">
        <v>2548</v>
      </c>
      <c r="L20" s="27" t="s">
        <v>2523</v>
      </c>
      <c r="M20" s="87">
        <v>62000000</v>
      </c>
      <c r="N20" s="28" t="s">
        <v>173</v>
      </c>
      <c r="O20" s="28" t="s">
        <v>14</v>
      </c>
    </row>
    <row r="21" spans="1:15">
      <c r="A21" s="27" t="s">
        <v>2508</v>
      </c>
      <c r="B21" s="41" t="s">
        <v>2550</v>
      </c>
      <c r="C21" s="28" t="s">
        <v>2510</v>
      </c>
      <c r="D21" s="41" t="s">
        <v>14</v>
      </c>
      <c r="E21" s="27" t="s">
        <v>2551</v>
      </c>
      <c r="F21" s="27" t="s">
        <v>168</v>
      </c>
      <c r="G21" s="27" t="s">
        <v>16</v>
      </c>
      <c r="H21" s="28" t="s">
        <v>17</v>
      </c>
      <c r="I21" s="28" t="s">
        <v>2512</v>
      </c>
      <c r="J21" s="28" t="s">
        <v>2512</v>
      </c>
      <c r="K21" s="27" t="s">
        <v>2550</v>
      </c>
      <c r="L21" s="27" t="s">
        <v>2513</v>
      </c>
      <c r="M21" s="87">
        <v>616000000</v>
      </c>
      <c r="N21" s="28" t="s">
        <v>172</v>
      </c>
      <c r="O21" s="28" t="s">
        <v>14</v>
      </c>
    </row>
    <row r="22" spans="1:15">
      <c r="A22" s="27" t="s">
        <v>2508</v>
      </c>
      <c r="B22" s="41" t="s">
        <v>2552</v>
      </c>
      <c r="C22" s="28" t="s">
        <v>2510</v>
      </c>
      <c r="D22" s="41" t="s">
        <v>14</v>
      </c>
      <c r="E22" s="27" t="s">
        <v>2553</v>
      </c>
      <c r="F22" s="27" t="s">
        <v>168</v>
      </c>
      <c r="G22" s="27" t="s">
        <v>16</v>
      </c>
      <c r="H22" s="28" t="s">
        <v>17</v>
      </c>
      <c r="I22" s="28" t="s">
        <v>2512</v>
      </c>
      <c r="J22" s="28" t="s">
        <v>2512</v>
      </c>
      <c r="K22" s="27" t="s">
        <v>2552</v>
      </c>
      <c r="L22" s="27" t="s">
        <v>2513</v>
      </c>
      <c r="M22" s="87">
        <v>1100000000</v>
      </c>
      <c r="N22" s="28" t="s">
        <v>172</v>
      </c>
      <c r="O22" s="28" t="s">
        <v>14</v>
      </c>
    </row>
    <row r="23" spans="1:15">
      <c r="A23" s="27" t="s">
        <v>2508</v>
      </c>
      <c r="B23" s="41" t="s">
        <v>2554</v>
      </c>
      <c r="C23" s="28" t="s">
        <v>2510</v>
      </c>
      <c r="D23" s="41" t="s">
        <v>14</v>
      </c>
      <c r="E23" s="27" t="s">
        <v>2555</v>
      </c>
      <c r="F23" s="27" t="s">
        <v>29</v>
      </c>
      <c r="G23" s="27" t="s">
        <v>21</v>
      </c>
      <c r="H23" s="28" t="s">
        <v>17</v>
      </c>
      <c r="I23" s="28" t="s">
        <v>26</v>
      </c>
      <c r="J23" s="28" t="s">
        <v>167</v>
      </c>
      <c r="K23" s="27" t="s">
        <v>2554</v>
      </c>
      <c r="L23" s="27" t="s">
        <v>252</v>
      </c>
      <c r="M23" s="87">
        <v>112000000</v>
      </c>
      <c r="N23" s="28" t="s">
        <v>172</v>
      </c>
      <c r="O23" s="28" t="s">
        <v>14</v>
      </c>
    </row>
    <row r="24" spans="1:15">
      <c r="A24" s="27" t="s">
        <v>2508</v>
      </c>
      <c r="B24" s="41" t="s">
        <v>2556</v>
      </c>
      <c r="C24" s="28" t="s">
        <v>2510</v>
      </c>
      <c r="D24" s="41" t="s">
        <v>14</v>
      </c>
      <c r="E24" s="27" t="s">
        <v>2557</v>
      </c>
      <c r="F24" s="27" t="s">
        <v>29</v>
      </c>
      <c r="G24" s="27" t="s">
        <v>21</v>
      </c>
      <c r="H24" s="28" t="s">
        <v>17</v>
      </c>
      <c r="I24" s="28" t="s">
        <v>26</v>
      </c>
      <c r="J24" s="28" t="s">
        <v>167</v>
      </c>
      <c r="K24" s="27" t="s">
        <v>2556</v>
      </c>
      <c r="L24" s="27" t="s">
        <v>252</v>
      </c>
      <c r="M24" s="87">
        <v>201000000</v>
      </c>
      <c r="N24" s="28" t="s">
        <v>172</v>
      </c>
      <c r="O24" s="28" t="s">
        <v>14</v>
      </c>
    </row>
    <row r="25" spans="1:15">
      <c r="A25" s="27" t="s">
        <v>2508</v>
      </c>
      <c r="B25" s="41" t="s">
        <v>2558</v>
      </c>
      <c r="C25" s="28" t="s">
        <v>2510</v>
      </c>
      <c r="D25" s="41" t="s">
        <v>14</v>
      </c>
      <c r="E25" s="27" t="s">
        <v>2559</v>
      </c>
      <c r="F25" s="27" t="s">
        <v>29</v>
      </c>
      <c r="G25" s="27" t="s">
        <v>21</v>
      </c>
      <c r="H25" s="28" t="s">
        <v>17</v>
      </c>
      <c r="I25" s="28" t="s">
        <v>26</v>
      </c>
      <c r="J25" s="28" t="s">
        <v>167</v>
      </c>
      <c r="K25" s="27" t="s">
        <v>2558</v>
      </c>
      <c r="L25" s="27" t="s">
        <v>252</v>
      </c>
      <c r="M25" s="87">
        <v>50000000</v>
      </c>
      <c r="N25" s="28" t="s">
        <v>172</v>
      </c>
      <c r="O25" s="28" t="s">
        <v>14</v>
      </c>
    </row>
    <row r="26" spans="1:15">
      <c r="A26" s="27" t="s">
        <v>2508</v>
      </c>
      <c r="B26" s="41" t="s">
        <v>2560</v>
      </c>
      <c r="C26" s="28" t="s">
        <v>2510</v>
      </c>
      <c r="D26" s="41" t="s">
        <v>14</v>
      </c>
      <c r="E26" s="27" t="s">
        <v>2561</v>
      </c>
      <c r="F26" s="27" t="s">
        <v>168</v>
      </c>
      <c r="G26" s="27" t="s">
        <v>16</v>
      </c>
      <c r="H26" s="28" t="s">
        <v>17</v>
      </c>
      <c r="I26" s="28" t="s">
        <v>2512</v>
      </c>
      <c r="J26" s="28" t="s">
        <v>2512</v>
      </c>
      <c r="K26" s="27" t="s">
        <v>2560</v>
      </c>
      <c r="L26" s="27" t="s">
        <v>2513</v>
      </c>
      <c r="M26" s="87">
        <v>840000000</v>
      </c>
      <c r="N26" s="28" t="s">
        <v>216</v>
      </c>
      <c r="O26" s="28" t="s">
        <v>14</v>
      </c>
    </row>
    <row r="27" spans="1:15">
      <c r="A27" s="27" t="s">
        <v>2508</v>
      </c>
      <c r="B27" s="41" t="s">
        <v>2562</v>
      </c>
      <c r="C27" s="28" t="s">
        <v>2510</v>
      </c>
      <c r="D27" s="41" t="s">
        <v>14</v>
      </c>
      <c r="E27" s="27" t="s">
        <v>2563</v>
      </c>
      <c r="F27" s="27" t="s">
        <v>128</v>
      </c>
      <c r="G27" s="27" t="s">
        <v>16</v>
      </c>
      <c r="H27" s="28" t="s">
        <v>17</v>
      </c>
      <c r="I27" s="28" t="s">
        <v>2512</v>
      </c>
      <c r="J27" s="28" t="s">
        <v>2512</v>
      </c>
      <c r="K27" s="27" t="s">
        <v>2562</v>
      </c>
      <c r="L27" s="27" t="s">
        <v>2523</v>
      </c>
      <c r="M27" s="87">
        <v>51000000</v>
      </c>
      <c r="N27" s="28" t="s">
        <v>173</v>
      </c>
      <c r="O27" s="28" t="s">
        <v>14</v>
      </c>
    </row>
    <row r="28" spans="1:15">
      <c r="A28" s="27" t="s">
        <v>2508</v>
      </c>
      <c r="B28" s="41" t="s">
        <v>2564</v>
      </c>
      <c r="C28" s="28" t="s">
        <v>2510</v>
      </c>
      <c r="D28" s="41" t="s">
        <v>14</v>
      </c>
      <c r="E28" s="27" t="s">
        <v>2565</v>
      </c>
      <c r="F28" s="27" t="s">
        <v>29</v>
      </c>
      <c r="G28" s="27" t="s">
        <v>21</v>
      </c>
      <c r="H28" s="28" t="s">
        <v>17</v>
      </c>
      <c r="I28" s="28" t="s">
        <v>26</v>
      </c>
      <c r="J28" s="28" t="s">
        <v>167</v>
      </c>
      <c r="K28" s="27" t="s">
        <v>2564</v>
      </c>
      <c r="L28" s="27" t="s">
        <v>252</v>
      </c>
      <c r="M28" s="87">
        <v>145000000</v>
      </c>
      <c r="N28" s="28" t="s">
        <v>172</v>
      </c>
      <c r="O28" s="28" t="s">
        <v>14</v>
      </c>
    </row>
    <row r="29" spans="1:15">
      <c r="A29" s="27" t="s">
        <v>2508</v>
      </c>
      <c r="B29" s="41" t="s">
        <v>2566</v>
      </c>
      <c r="C29" s="28" t="s">
        <v>2510</v>
      </c>
      <c r="D29" s="41" t="s">
        <v>14</v>
      </c>
      <c r="E29" s="27" t="s">
        <v>2567</v>
      </c>
      <c r="F29" s="27" t="s">
        <v>29</v>
      </c>
      <c r="G29" s="27" t="s">
        <v>21</v>
      </c>
      <c r="H29" s="28" t="s">
        <v>17</v>
      </c>
      <c r="I29" s="28" t="s">
        <v>26</v>
      </c>
      <c r="J29" s="28" t="s">
        <v>167</v>
      </c>
      <c r="K29" s="27" t="s">
        <v>2566</v>
      </c>
      <c r="L29" s="27" t="s">
        <v>252</v>
      </c>
      <c r="M29" s="87">
        <v>84000000</v>
      </c>
      <c r="N29" s="28" t="s">
        <v>172</v>
      </c>
      <c r="O29" s="28" t="s">
        <v>14</v>
      </c>
    </row>
    <row r="30" spans="1:15">
      <c r="A30" s="27" t="s">
        <v>2508</v>
      </c>
      <c r="B30" s="41" t="s">
        <v>2568</v>
      </c>
      <c r="C30" s="28" t="s">
        <v>2510</v>
      </c>
      <c r="D30" s="41" t="s">
        <v>14</v>
      </c>
      <c r="E30" s="27" t="s">
        <v>2569</v>
      </c>
      <c r="F30" s="27" t="s">
        <v>128</v>
      </c>
      <c r="G30" s="27" t="s">
        <v>16</v>
      </c>
      <c r="H30" s="28" t="s">
        <v>17</v>
      </c>
      <c r="I30" s="28" t="s">
        <v>2512</v>
      </c>
      <c r="J30" s="28" t="s">
        <v>2512</v>
      </c>
      <c r="K30" s="27" t="s">
        <v>2568</v>
      </c>
      <c r="L30" s="27" t="s">
        <v>2523</v>
      </c>
      <c r="M30" s="87">
        <v>28000000</v>
      </c>
      <c r="N30" s="28" t="s">
        <v>173</v>
      </c>
      <c r="O30" s="28" t="s">
        <v>14</v>
      </c>
    </row>
    <row r="31" spans="1:15">
      <c r="A31" s="27" t="s">
        <v>2508</v>
      </c>
      <c r="B31" s="41" t="s">
        <v>2570</v>
      </c>
      <c r="C31" s="28" t="s">
        <v>2510</v>
      </c>
      <c r="D31" s="41" t="s">
        <v>14</v>
      </c>
      <c r="E31" s="27" t="s">
        <v>2571</v>
      </c>
      <c r="F31" s="27" t="s">
        <v>168</v>
      </c>
      <c r="G31" s="27" t="s">
        <v>16</v>
      </c>
      <c r="H31" s="28" t="s">
        <v>17</v>
      </c>
      <c r="I31" s="28" t="s">
        <v>2512</v>
      </c>
      <c r="J31" s="28" t="s">
        <v>2512</v>
      </c>
      <c r="K31" s="27" t="s">
        <v>2570</v>
      </c>
      <c r="L31" s="27" t="s">
        <v>2513</v>
      </c>
      <c r="M31" s="87">
        <v>482000000</v>
      </c>
      <c r="N31" s="28" t="s">
        <v>172</v>
      </c>
      <c r="O31" s="28" t="s">
        <v>14</v>
      </c>
    </row>
    <row r="32" spans="1:15">
      <c r="A32" s="27" t="s">
        <v>2508</v>
      </c>
      <c r="B32" s="41" t="s">
        <v>2572</v>
      </c>
      <c r="C32" s="28" t="s">
        <v>2510</v>
      </c>
      <c r="D32" s="41" t="s">
        <v>14</v>
      </c>
      <c r="E32" s="27" t="s">
        <v>2573</v>
      </c>
      <c r="F32" s="27" t="s">
        <v>29</v>
      </c>
      <c r="G32" s="27" t="s">
        <v>21</v>
      </c>
      <c r="H32" s="28" t="s">
        <v>17</v>
      </c>
      <c r="I32" s="28" t="s">
        <v>26</v>
      </c>
      <c r="J32" s="28" t="s">
        <v>167</v>
      </c>
      <c r="K32" s="27" t="s">
        <v>2572</v>
      </c>
      <c r="L32" s="27" t="s">
        <v>643</v>
      </c>
      <c r="M32" s="87">
        <v>84000000</v>
      </c>
      <c r="N32" s="28" t="s">
        <v>172</v>
      </c>
      <c r="O32" s="28" t="s">
        <v>14</v>
      </c>
    </row>
    <row r="33" spans="1:15">
      <c r="A33" s="27" t="s">
        <v>2508</v>
      </c>
      <c r="B33" s="41" t="s">
        <v>2574</v>
      </c>
      <c r="C33" s="28" t="s">
        <v>2510</v>
      </c>
      <c r="D33" s="41" t="s">
        <v>14</v>
      </c>
      <c r="E33" s="27" t="s">
        <v>2575</v>
      </c>
      <c r="F33" s="27" t="s">
        <v>29</v>
      </c>
      <c r="G33" s="27" t="s">
        <v>21</v>
      </c>
      <c r="H33" s="28" t="s">
        <v>17</v>
      </c>
      <c r="I33" s="28" t="s">
        <v>26</v>
      </c>
      <c r="J33" s="28" t="s">
        <v>167</v>
      </c>
      <c r="K33" s="27" t="s">
        <v>2574</v>
      </c>
      <c r="L33" s="27" t="s">
        <v>643</v>
      </c>
      <c r="M33" s="87">
        <v>51000000</v>
      </c>
      <c r="N33" s="28" t="s">
        <v>172</v>
      </c>
      <c r="O33" s="28" t="s">
        <v>14</v>
      </c>
    </row>
    <row r="34" spans="1:15">
      <c r="A34" s="27" t="s">
        <v>2508</v>
      </c>
      <c r="B34" s="41" t="s">
        <v>2576</v>
      </c>
      <c r="C34" s="28" t="s">
        <v>2510</v>
      </c>
      <c r="D34" s="41" t="s">
        <v>14</v>
      </c>
      <c r="E34" s="27" t="s">
        <v>2577</v>
      </c>
      <c r="F34" s="27" t="s">
        <v>128</v>
      </c>
      <c r="G34" s="27" t="s">
        <v>16</v>
      </c>
      <c r="H34" s="28" t="s">
        <v>17</v>
      </c>
      <c r="I34" s="28" t="s">
        <v>2512</v>
      </c>
      <c r="J34" s="28" t="s">
        <v>2512</v>
      </c>
      <c r="K34" s="27" t="s">
        <v>2576</v>
      </c>
      <c r="L34" s="27" t="s">
        <v>2523</v>
      </c>
      <c r="M34" s="87">
        <v>6000000</v>
      </c>
      <c r="N34" s="28" t="s">
        <v>173</v>
      </c>
      <c r="O34" s="28" t="s">
        <v>14</v>
      </c>
    </row>
    <row r="35" spans="1:15">
      <c r="A35" s="27" t="s">
        <v>2508</v>
      </c>
      <c r="B35" s="41" t="s">
        <v>2578</v>
      </c>
      <c r="C35" s="28" t="s">
        <v>2510</v>
      </c>
      <c r="D35" s="41" t="s">
        <v>14</v>
      </c>
      <c r="E35" s="27" t="s">
        <v>2579</v>
      </c>
      <c r="F35" s="27" t="s">
        <v>168</v>
      </c>
      <c r="G35" s="27" t="s">
        <v>16</v>
      </c>
      <c r="H35" s="28" t="s">
        <v>17</v>
      </c>
      <c r="I35" s="28" t="s">
        <v>2512</v>
      </c>
      <c r="J35" s="28" t="s">
        <v>2512</v>
      </c>
      <c r="K35" s="27" t="s">
        <v>2578</v>
      </c>
      <c r="L35" s="27" t="s">
        <v>643</v>
      </c>
      <c r="M35" s="87">
        <v>109000000</v>
      </c>
      <c r="N35" s="28" t="s">
        <v>172</v>
      </c>
      <c r="O35" s="28" t="s">
        <v>14</v>
      </c>
    </row>
    <row r="36" spans="1:15">
      <c r="A36" s="27" t="s">
        <v>2508</v>
      </c>
      <c r="B36" s="41" t="s">
        <v>2580</v>
      </c>
      <c r="C36" s="28" t="s">
        <v>2510</v>
      </c>
      <c r="D36" s="41" t="s">
        <v>14</v>
      </c>
      <c r="E36" s="27" t="s">
        <v>2581</v>
      </c>
      <c r="F36" s="27" t="s">
        <v>128</v>
      </c>
      <c r="G36" s="27" t="s">
        <v>16</v>
      </c>
      <c r="H36" s="28" t="s">
        <v>17</v>
      </c>
      <c r="I36" s="28" t="s">
        <v>2512</v>
      </c>
      <c r="J36" s="28" t="s">
        <v>2512</v>
      </c>
      <c r="K36" s="27" t="s">
        <v>2580</v>
      </c>
      <c r="L36" s="27" t="s">
        <v>2523</v>
      </c>
      <c r="M36" s="87">
        <v>34000000</v>
      </c>
      <c r="N36" s="28" t="s">
        <v>173</v>
      </c>
      <c r="O36" s="28" t="s">
        <v>14</v>
      </c>
    </row>
    <row r="37" spans="1:15">
      <c r="A37" s="27" t="s">
        <v>2508</v>
      </c>
      <c r="B37" s="41" t="s">
        <v>2582</v>
      </c>
      <c r="C37" s="28" t="s">
        <v>2510</v>
      </c>
      <c r="D37" s="41" t="s">
        <v>14</v>
      </c>
      <c r="E37" s="27" t="s">
        <v>2583</v>
      </c>
      <c r="F37" s="27" t="s">
        <v>128</v>
      </c>
      <c r="G37" s="27" t="s">
        <v>16</v>
      </c>
      <c r="H37" s="28" t="s">
        <v>17</v>
      </c>
      <c r="I37" s="28" t="s">
        <v>2512</v>
      </c>
      <c r="J37" s="28" t="s">
        <v>2512</v>
      </c>
      <c r="K37" s="27" t="s">
        <v>2582</v>
      </c>
      <c r="L37" s="27" t="s">
        <v>2523</v>
      </c>
      <c r="M37" s="87">
        <v>37000000</v>
      </c>
      <c r="N37" s="28" t="s">
        <v>173</v>
      </c>
      <c r="O37" s="28" t="s">
        <v>14</v>
      </c>
    </row>
    <row r="38" spans="1:15">
      <c r="A38" s="27" t="s">
        <v>2508</v>
      </c>
      <c r="B38" s="41" t="s">
        <v>2584</v>
      </c>
      <c r="C38" s="28" t="s">
        <v>2510</v>
      </c>
      <c r="D38" s="41" t="s">
        <v>14</v>
      </c>
      <c r="E38" s="27" t="s">
        <v>2583</v>
      </c>
      <c r="F38" s="27" t="s">
        <v>168</v>
      </c>
      <c r="G38" s="27" t="s">
        <v>16</v>
      </c>
      <c r="H38" s="28" t="s">
        <v>17</v>
      </c>
      <c r="I38" s="28" t="s">
        <v>2512</v>
      </c>
      <c r="J38" s="28" t="s">
        <v>2512</v>
      </c>
      <c r="K38" s="27" t="s">
        <v>2584</v>
      </c>
      <c r="L38" s="27" t="s">
        <v>2513</v>
      </c>
      <c r="M38" s="87">
        <v>616000000</v>
      </c>
      <c r="N38" s="28" t="s">
        <v>172</v>
      </c>
      <c r="O38" s="28" t="s">
        <v>14</v>
      </c>
    </row>
    <row r="39" spans="1:15">
      <c r="A39" s="27" t="s">
        <v>2508</v>
      </c>
      <c r="B39" s="41" t="s">
        <v>2585</v>
      </c>
      <c r="C39" s="28" t="s">
        <v>2510</v>
      </c>
      <c r="D39" s="41" t="s">
        <v>14</v>
      </c>
      <c r="E39" s="27" t="s">
        <v>2586</v>
      </c>
      <c r="F39" s="27" t="s">
        <v>168</v>
      </c>
      <c r="G39" s="27" t="s">
        <v>16</v>
      </c>
      <c r="H39" s="28" t="s">
        <v>17</v>
      </c>
      <c r="I39" s="28" t="s">
        <v>2512</v>
      </c>
      <c r="J39" s="28" t="s">
        <v>2512</v>
      </c>
      <c r="K39" s="27" t="s">
        <v>2585</v>
      </c>
      <c r="L39" s="27" t="s">
        <v>2513</v>
      </c>
      <c r="M39" s="87">
        <v>168000000</v>
      </c>
      <c r="N39" s="28" t="s">
        <v>172</v>
      </c>
      <c r="O39" s="28" t="s">
        <v>14</v>
      </c>
    </row>
    <row r="40" spans="1:15">
      <c r="A40" s="27" t="s">
        <v>2508</v>
      </c>
      <c r="B40" s="41" t="s">
        <v>2587</v>
      </c>
      <c r="C40" s="28" t="s">
        <v>2510</v>
      </c>
      <c r="D40" s="41" t="s">
        <v>14</v>
      </c>
      <c r="E40" s="27" t="s">
        <v>2588</v>
      </c>
      <c r="F40" s="27" t="s">
        <v>168</v>
      </c>
      <c r="G40" s="27" t="s">
        <v>16</v>
      </c>
      <c r="H40" s="28" t="s">
        <v>17</v>
      </c>
      <c r="I40" s="28" t="s">
        <v>2512</v>
      </c>
      <c r="J40" s="28" t="s">
        <v>2512</v>
      </c>
      <c r="K40" s="27" t="s">
        <v>2587</v>
      </c>
      <c r="L40" s="27" t="s">
        <v>2513</v>
      </c>
      <c r="M40" s="87">
        <v>504000000</v>
      </c>
      <c r="N40" s="28" t="s">
        <v>172</v>
      </c>
      <c r="O40" s="28" t="s">
        <v>14</v>
      </c>
    </row>
    <row r="41" spans="1:15">
      <c r="A41" s="27" t="s">
        <v>2508</v>
      </c>
      <c r="B41" s="41" t="s">
        <v>2589</v>
      </c>
      <c r="C41" s="28" t="s">
        <v>2510</v>
      </c>
      <c r="D41" s="41" t="s">
        <v>14</v>
      </c>
      <c r="E41" s="27" t="s">
        <v>2590</v>
      </c>
      <c r="F41" s="27" t="s">
        <v>29</v>
      </c>
      <c r="G41" s="27" t="s">
        <v>21</v>
      </c>
      <c r="H41" s="28" t="s">
        <v>17</v>
      </c>
      <c r="I41" s="28" t="s">
        <v>26</v>
      </c>
      <c r="J41" s="28" t="s">
        <v>167</v>
      </c>
      <c r="K41" s="27" t="s">
        <v>2589</v>
      </c>
      <c r="L41" s="27" t="s">
        <v>252</v>
      </c>
      <c r="M41" s="87">
        <v>90000000</v>
      </c>
      <c r="N41" s="28" t="s">
        <v>172</v>
      </c>
      <c r="O41" s="28" t="s">
        <v>14</v>
      </c>
    </row>
    <row r="42" spans="1:15">
      <c r="A42" s="27" t="s">
        <v>2508</v>
      </c>
      <c r="B42" s="41" t="s">
        <v>2591</v>
      </c>
      <c r="C42" s="28" t="s">
        <v>2510</v>
      </c>
      <c r="D42" s="41" t="s">
        <v>14</v>
      </c>
      <c r="E42" s="27" t="s">
        <v>2592</v>
      </c>
      <c r="F42" s="27" t="s">
        <v>168</v>
      </c>
      <c r="G42" s="27" t="s">
        <v>16</v>
      </c>
      <c r="H42" s="28" t="s">
        <v>17</v>
      </c>
      <c r="I42" s="28" t="s">
        <v>2512</v>
      </c>
      <c r="J42" s="28" t="s">
        <v>2512</v>
      </c>
      <c r="K42" s="27" t="s">
        <v>2591</v>
      </c>
      <c r="L42" s="27" t="s">
        <v>2513</v>
      </c>
      <c r="M42" s="87">
        <v>544000000</v>
      </c>
      <c r="N42" s="28" t="s">
        <v>172</v>
      </c>
      <c r="O42" s="28" t="s">
        <v>14</v>
      </c>
    </row>
    <row r="43" spans="1:15">
      <c r="A43" s="27" t="s">
        <v>2508</v>
      </c>
      <c r="B43" s="41" t="s">
        <v>2593</v>
      </c>
      <c r="C43" s="28" t="s">
        <v>2510</v>
      </c>
      <c r="D43" s="41" t="s">
        <v>14</v>
      </c>
      <c r="E43" s="27" t="s">
        <v>2594</v>
      </c>
      <c r="F43" s="27" t="s">
        <v>2595</v>
      </c>
      <c r="G43" s="27" t="s">
        <v>16</v>
      </c>
      <c r="H43" s="28" t="s">
        <v>17</v>
      </c>
      <c r="I43" s="28" t="s">
        <v>2512</v>
      </c>
      <c r="J43" s="28" t="s">
        <v>2512</v>
      </c>
      <c r="K43" s="27" t="s">
        <v>2593</v>
      </c>
      <c r="L43" s="27" t="s">
        <v>2523</v>
      </c>
      <c r="M43" s="87">
        <v>280000</v>
      </c>
      <c r="N43" s="28" t="s">
        <v>173</v>
      </c>
      <c r="O43" s="28" t="s">
        <v>14</v>
      </c>
    </row>
    <row r="44" spans="1:15">
      <c r="A44" s="27" t="s">
        <v>2508</v>
      </c>
      <c r="B44" s="41" t="s">
        <v>2596</v>
      </c>
      <c r="C44" s="28" t="s">
        <v>2510</v>
      </c>
      <c r="D44" s="41" t="s">
        <v>14</v>
      </c>
      <c r="E44" s="27" t="s">
        <v>2597</v>
      </c>
      <c r="F44" s="27" t="s">
        <v>2598</v>
      </c>
      <c r="G44" s="27" t="s">
        <v>16</v>
      </c>
      <c r="H44" s="28" t="s">
        <v>17</v>
      </c>
      <c r="I44" s="28" t="s">
        <v>2512</v>
      </c>
      <c r="J44" s="28" t="s">
        <v>2512</v>
      </c>
      <c r="K44" s="27" t="s">
        <v>2596</v>
      </c>
      <c r="L44" s="27" t="s">
        <v>2523</v>
      </c>
      <c r="M44" s="87">
        <v>314000</v>
      </c>
      <c r="N44" s="28" t="s">
        <v>173</v>
      </c>
      <c r="O44" s="28" t="s">
        <v>14</v>
      </c>
    </row>
    <row r="45" spans="1:15">
      <c r="A45" s="27" t="s">
        <v>2508</v>
      </c>
      <c r="B45" s="41" t="s">
        <v>89</v>
      </c>
      <c r="C45" s="28" t="s">
        <v>2510</v>
      </c>
      <c r="D45" s="41" t="s">
        <v>14</v>
      </c>
      <c r="E45" s="27" t="s">
        <v>90</v>
      </c>
      <c r="F45" s="27" t="s">
        <v>91</v>
      </c>
      <c r="G45" s="27" t="s">
        <v>21</v>
      </c>
      <c r="H45" s="28" t="s">
        <v>70</v>
      </c>
      <c r="I45" s="28" t="s">
        <v>26</v>
      </c>
      <c r="J45" s="28" t="s">
        <v>166</v>
      </c>
      <c r="K45" s="27" t="s">
        <v>89</v>
      </c>
      <c r="L45" s="27" t="s">
        <v>2599</v>
      </c>
      <c r="M45" s="87">
        <v>6000000</v>
      </c>
      <c r="N45" s="28" t="s">
        <v>172</v>
      </c>
      <c r="O45" s="28" t="s">
        <v>14</v>
      </c>
    </row>
    <row r="46" spans="1:15">
      <c r="A46" s="27" t="s">
        <v>2508</v>
      </c>
      <c r="B46" s="41" t="s">
        <v>92</v>
      </c>
      <c r="C46" s="28" t="s">
        <v>2510</v>
      </c>
      <c r="D46" s="41" t="s">
        <v>14</v>
      </c>
      <c r="E46" s="27" t="s">
        <v>90</v>
      </c>
      <c r="F46" s="27" t="s">
        <v>91</v>
      </c>
      <c r="G46" s="27" t="s">
        <v>21</v>
      </c>
      <c r="H46" s="28" t="s">
        <v>70</v>
      </c>
      <c r="I46" s="28" t="s">
        <v>42</v>
      </c>
      <c r="J46" s="28" t="s">
        <v>166</v>
      </c>
      <c r="K46" s="27" t="s">
        <v>92</v>
      </c>
      <c r="L46" s="27" t="s">
        <v>2599</v>
      </c>
      <c r="M46" s="87">
        <v>6600000</v>
      </c>
      <c r="N46" s="28" t="s">
        <v>172</v>
      </c>
      <c r="O46" s="28" t="s">
        <v>14</v>
      </c>
    </row>
    <row r="47" spans="1:15">
      <c r="A47" s="27" t="s">
        <v>2508</v>
      </c>
      <c r="B47" s="41" t="s">
        <v>93</v>
      </c>
      <c r="C47" s="28" t="s">
        <v>2510</v>
      </c>
      <c r="D47" s="41" t="s">
        <v>14</v>
      </c>
      <c r="E47" s="27" t="s">
        <v>90</v>
      </c>
      <c r="F47" s="27" t="s">
        <v>91</v>
      </c>
      <c r="G47" s="27" t="s">
        <v>21</v>
      </c>
      <c r="H47" s="28" t="s">
        <v>74</v>
      </c>
      <c r="I47" s="28" t="s">
        <v>26</v>
      </c>
      <c r="J47" s="28" t="s">
        <v>166</v>
      </c>
      <c r="K47" s="27" t="s">
        <v>93</v>
      </c>
      <c r="L47" s="27" t="s">
        <v>2599</v>
      </c>
      <c r="M47" s="87">
        <v>5900000</v>
      </c>
      <c r="N47" s="28" t="s">
        <v>172</v>
      </c>
      <c r="O47" s="28" t="s">
        <v>14</v>
      </c>
    </row>
    <row r="48" spans="1:15">
      <c r="A48" s="27" t="s">
        <v>2508</v>
      </c>
      <c r="B48" s="41" t="s">
        <v>94</v>
      </c>
      <c r="C48" s="28" t="s">
        <v>2510</v>
      </c>
      <c r="D48" s="41" t="s">
        <v>14</v>
      </c>
      <c r="E48" s="27" t="s">
        <v>90</v>
      </c>
      <c r="F48" s="27" t="s">
        <v>91</v>
      </c>
      <c r="G48" s="27" t="s">
        <v>21</v>
      </c>
      <c r="H48" s="28" t="s">
        <v>74</v>
      </c>
      <c r="I48" s="28" t="s">
        <v>42</v>
      </c>
      <c r="J48" s="28" t="s">
        <v>166</v>
      </c>
      <c r="K48" s="27" t="s">
        <v>94</v>
      </c>
      <c r="L48" s="27" t="s">
        <v>2599</v>
      </c>
      <c r="M48" s="87">
        <v>6700000</v>
      </c>
      <c r="N48" s="28" t="s">
        <v>172</v>
      </c>
      <c r="O48" s="28" t="s">
        <v>14</v>
      </c>
    </row>
    <row r="49" spans="1:15">
      <c r="A49" s="27" t="s">
        <v>2508</v>
      </c>
      <c r="B49" s="41" t="s">
        <v>95</v>
      </c>
      <c r="C49" s="28" t="s">
        <v>2510</v>
      </c>
      <c r="D49" s="41" t="s">
        <v>14</v>
      </c>
      <c r="E49" s="27" t="s">
        <v>90</v>
      </c>
      <c r="F49" s="27" t="s">
        <v>91</v>
      </c>
      <c r="G49" s="27" t="s">
        <v>21</v>
      </c>
      <c r="H49" s="28" t="s">
        <v>72</v>
      </c>
      <c r="I49" s="28" t="s">
        <v>26</v>
      </c>
      <c r="J49" s="28" t="s">
        <v>166</v>
      </c>
      <c r="K49" s="27" t="s">
        <v>95</v>
      </c>
      <c r="L49" s="27" t="s">
        <v>2599</v>
      </c>
      <c r="M49" s="87">
        <v>5900000</v>
      </c>
      <c r="N49" s="28" t="s">
        <v>172</v>
      </c>
      <c r="O49" s="28" t="s">
        <v>14</v>
      </c>
    </row>
    <row r="50" spans="1:15">
      <c r="A50" s="27" t="s">
        <v>2508</v>
      </c>
      <c r="B50" s="41" t="s">
        <v>96</v>
      </c>
      <c r="C50" s="28" t="s">
        <v>2510</v>
      </c>
      <c r="D50" s="41" t="s">
        <v>14</v>
      </c>
      <c r="E50" s="27" t="s">
        <v>90</v>
      </c>
      <c r="F50" s="27" t="s">
        <v>91</v>
      </c>
      <c r="G50" s="27" t="s">
        <v>21</v>
      </c>
      <c r="H50" s="28" t="s">
        <v>72</v>
      </c>
      <c r="I50" s="28" t="s">
        <v>42</v>
      </c>
      <c r="J50" s="28" t="s">
        <v>166</v>
      </c>
      <c r="K50" s="27" t="s">
        <v>96</v>
      </c>
      <c r="L50" s="27" t="s">
        <v>2599</v>
      </c>
      <c r="M50" s="87">
        <v>6800000</v>
      </c>
      <c r="N50" s="28" t="s">
        <v>172</v>
      </c>
      <c r="O50" s="28" t="s">
        <v>14</v>
      </c>
    </row>
    <row r="51" spans="1:15">
      <c r="A51" s="27" t="s">
        <v>2508</v>
      </c>
      <c r="B51" s="41" t="s">
        <v>97</v>
      </c>
      <c r="C51" s="28" t="s">
        <v>2510</v>
      </c>
      <c r="D51" s="41" t="s">
        <v>14</v>
      </c>
      <c r="E51" s="27" t="s">
        <v>98</v>
      </c>
      <c r="F51" s="27" t="s">
        <v>91</v>
      </c>
      <c r="G51" s="27" t="s">
        <v>21</v>
      </c>
      <c r="H51" s="28" t="s">
        <v>70</v>
      </c>
      <c r="I51" s="28" t="s">
        <v>26</v>
      </c>
      <c r="J51" s="28" t="s">
        <v>166</v>
      </c>
      <c r="K51" s="27" t="s">
        <v>97</v>
      </c>
      <c r="L51" s="27" t="s">
        <v>2599</v>
      </c>
      <c r="M51" s="87">
        <v>11700000</v>
      </c>
      <c r="N51" s="28" t="s">
        <v>172</v>
      </c>
      <c r="O51" s="28" t="s">
        <v>14</v>
      </c>
    </row>
    <row r="52" spans="1:15">
      <c r="A52" s="27" t="s">
        <v>2508</v>
      </c>
      <c r="B52" s="41" t="s">
        <v>100</v>
      </c>
      <c r="C52" s="28" t="s">
        <v>2510</v>
      </c>
      <c r="D52" s="41" t="s">
        <v>14</v>
      </c>
      <c r="E52" s="27" t="s">
        <v>98</v>
      </c>
      <c r="F52" s="27" t="s">
        <v>91</v>
      </c>
      <c r="G52" s="27" t="s">
        <v>21</v>
      </c>
      <c r="H52" s="28" t="s">
        <v>70</v>
      </c>
      <c r="I52" s="28" t="s">
        <v>42</v>
      </c>
      <c r="J52" s="28" t="s">
        <v>166</v>
      </c>
      <c r="K52" s="27" t="s">
        <v>100</v>
      </c>
      <c r="L52" s="27" t="s">
        <v>2599</v>
      </c>
      <c r="M52" s="87">
        <v>12400000</v>
      </c>
      <c r="N52" s="28" t="s">
        <v>172</v>
      </c>
      <c r="O52" s="28" t="s">
        <v>14</v>
      </c>
    </row>
    <row r="53" spans="1:15">
      <c r="A53" s="27" t="s">
        <v>2508</v>
      </c>
      <c r="B53" s="41" t="s">
        <v>101</v>
      </c>
      <c r="C53" s="28" t="s">
        <v>2510</v>
      </c>
      <c r="D53" s="41" t="s">
        <v>14</v>
      </c>
      <c r="E53" s="27" t="s">
        <v>98</v>
      </c>
      <c r="F53" s="27" t="s">
        <v>91</v>
      </c>
      <c r="G53" s="27" t="s">
        <v>21</v>
      </c>
      <c r="H53" s="28" t="s">
        <v>74</v>
      </c>
      <c r="I53" s="28" t="s">
        <v>26</v>
      </c>
      <c r="J53" s="28" t="s">
        <v>166</v>
      </c>
      <c r="K53" s="27" t="s">
        <v>101</v>
      </c>
      <c r="L53" s="27" t="s">
        <v>2599</v>
      </c>
      <c r="M53" s="87">
        <v>11700000</v>
      </c>
      <c r="N53" s="28" t="s">
        <v>172</v>
      </c>
      <c r="O53" s="28" t="s">
        <v>14</v>
      </c>
    </row>
    <row r="54" spans="1:15">
      <c r="A54" s="27" t="s">
        <v>2508</v>
      </c>
      <c r="B54" s="41" t="s">
        <v>102</v>
      </c>
      <c r="C54" s="28" t="s">
        <v>2510</v>
      </c>
      <c r="D54" s="41" t="s">
        <v>14</v>
      </c>
      <c r="E54" s="27" t="s">
        <v>98</v>
      </c>
      <c r="F54" s="27" t="s">
        <v>91</v>
      </c>
      <c r="G54" s="27" t="s">
        <v>21</v>
      </c>
      <c r="H54" s="28" t="s">
        <v>74</v>
      </c>
      <c r="I54" s="28" t="s">
        <v>42</v>
      </c>
      <c r="J54" s="28" t="s">
        <v>166</v>
      </c>
      <c r="K54" s="27" t="s">
        <v>102</v>
      </c>
      <c r="L54" s="27" t="s">
        <v>2599</v>
      </c>
      <c r="M54" s="87">
        <v>12500000</v>
      </c>
      <c r="N54" s="28" t="s">
        <v>172</v>
      </c>
      <c r="O54" s="28" t="s">
        <v>14</v>
      </c>
    </row>
    <row r="55" spans="1:15">
      <c r="A55" s="27" t="s">
        <v>2508</v>
      </c>
      <c r="B55" s="41" t="s">
        <v>103</v>
      </c>
      <c r="C55" s="28" t="s">
        <v>2510</v>
      </c>
      <c r="D55" s="41" t="s">
        <v>14</v>
      </c>
      <c r="E55" s="27" t="s">
        <v>98</v>
      </c>
      <c r="F55" s="27" t="s">
        <v>91</v>
      </c>
      <c r="G55" s="27" t="s">
        <v>21</v>
      </c>
      <c r="H55" s="28" t="s">
        <v>72</v>
      </c>
      <c r="I55" s="28" t="s">
        <v>26</v>
      </c>
      <c r="J55" s="28" t="s">
        <v>166</v>
      </c>
      <c r="K55" s="27" t="s">
        <v>103</v>
      </c>
      <c r="L55" s="27" t="s">
        <v>2599</v>
      </c>
      <c r="M55" s="87">
        <v>11700000</v>
      </c>
      <c r="N55" s="28" t="s">
        <v>172</v>
      </c>
      <c r="O55" s="28" t="s">
        <v>14</v>
      </c>
    </row>
    <row r="56" spans="1:15">
      <c r="A56" s="27" t="s">
        <v>2508</v>
      </c>
      <c r="B56" s="41" t="s">
        <v>104</v>
      </c>
      <c r="C56" s="28" t="s">
        <v>2510</v>
      </c>
      <c r="D56" s="41" t="s">
        <v>14</v>
      </c>
      <c r="E56" s="27" t="s">
        <v>98</v>
      </c>
      <c r="F56" s="27" t="s">
        <v>91</v>
      </c>
      <c r="G56" s="27" t="s">
        <v>21</v>
      </c>
      <c r="H56" s="28" t="s">
        <v>72</v>
      </c>
      <c r="I56" s="28" t="s">
        <v>42</v>
      </c>
      <c r="J56" s="28" t="s">
        <v>166</v>
      </c>
      <c r="K56" s="27" t="s">
        <v>104</v>
      </c>
      <c r="L56" s="27" t="s">
        <v>2599</v>
      </c>
      <c r="M56" s="87">
        <v>12600000</v>
      </c>
      <c r="N56" s="28" t="s">
        <v>172</v>
      </c>
      <c r="O56" s="28" t="s">
        <v>14</v>
      </c>
    </row>
    <row r="57" spans="1:15">
      <c r="A57" s="27" t="s">
        <v>2508</v>
      </c>
      <c r="B57" s="41" t="s">
        <v>105</v>
      </c>
      <c r="C57" s="28" t="s">
        <v>2510</v>
      </c>
      <c r="D57" s="41" t="s">
        <v>14</v>
      </c>
      <c r="E57" s="27" t="s">
        <v>106</v>
      </c>
      <c r="F57" s="27" t="s">
        <v>91</v>
      </c>
      <c r="G57" s="27" t="s">
        <v>21</v>
      </c>
      <c r="H57" s="28" t="s">
        <v>70</v>
      </c>
      <c r="I57" s="28" t="s">
        <v>26</v>
      </c>
      <c r="J57" s="28" t="s">
        <v>166</v>
      </c>
      <c r="K57" s="27" t="s">
        <v>105</v>
      </c>
      <c r="L57" s="27" t="s">
        <v>2599</v>
      </c>
      <c r="M57" s="87">
        <v>8100000</v>
      </c>
      <c r="N57" s="28" t="s">
        <v>172</v>
      </c>
      <c r="O57" s="28" t="s">
        <v>14</v>
      </c>
    </row>
    <row r="58" spans="1:15">
      <c r="A58" s="27" t="s">
        <v>2508</v>
      </c>
      <c r="B58" s="41" t="s">
        <v>107</v>
      </c>
      <c r="C58" s="28" t="s">
        <v>2510</v>
      </c>
      <c r="D58" s="41" t="s">
        <v>14</v>
      </c>
      <c r="E58" s="27" t="s">
        <v>106</v>
      </c>
      <c r="F58" s="27" t="s">
        <v>91</v>
      </c>
      <c r="G58" s="27" t="s">
        <v>21</v>
      </c>
      <c r="H58" s="28" t="s">
        <v>70</v>
      </c>
      <c r="I58" s="28" t="s">
        <v>42</v>
      </c>
      <c r="J58" s="28" t="s">
        <v>166</v>
      </c>
      <c r="K58" s="27" t="s">
        <v>107</v>
      </c>
      <c r="L58" s="27" t="s">
        <v>2599</v>
      </c>
      <c r="M58" s="87">
        <v>8800000</v>
      </c>
      <c r="N58" s="28" t="s">
        <v>172</v>
      </c>
      <c r="O58" s="28" t="s">
        <v>14</v>
      </c>
    </row>
    <row r="59" spans="1:15">
      <c r="A59" s="27" t="s">
        <v>2508</v>
      </c>
      <c r="B59" s="41" t="s">
        <v>108</v>
      </c>
      <c r="C59" s="28" t="s">
        <v>2510</v>
      </c>
      <c r="D59" s="41" t="s">
        <v>14</v>
      </c>
      <c r="E59" s="27" t="s">
        <v>106</v>
      </c>
      <c r="F59" s="27" t="s">
        <v>91</v>
      </c>
      <c r="G59" s="27" t="s">
        <v>21</v>
      </c>
      <c r="H59" s="28" t="s">
        <v>74</v>
      </c>
      <c r="I59" s="28" t="s">
        <v>26</v>
      </c>
      <c r="J59" s="28" t="s">
        <v>166</v>
      </c>
      <c r="K59" s="27" t="s">
        <v>108</v>
      </c>
      <c r="L59" s="27" t="s">
        <v>2599</v>
      </c>
      <c r="M59" s="87">
        <v>8100000</v>
      </c>
      <c r="N59" s="28" t="s">
        <v>172</v>
      </c>
      <c r="O59" s="28" t="s">
        <v>14</v>
      </c>
    </row>
    <row r="60" spans="1:15">
      <c r="A60" s="27" t="s">
        <v>2508</v>
      </c>
      <c r="B60" s="41" t="s">
        <v>109</v>
      </c>
      <c r="C60" s="28" t="s">
        <v>2510</v>
      </c>
      <c r="D60" s="41" t="s">
        <v>14</v>
      </c>
      <c r="E60" s="27" t="s">
        <v>106</v>
      </c>
      <c r="F60" s="27" t="s">
        <v>91</v>
      </c>
      <c r="G60" s="27" t="s">
        <v>21</v>
      </c>
      <c r="H60" s="28" t="s">
        <v>74</v>
      </c>
      <c r="I60" s="28" t="s">
        <v>42</v>
      </c>
      <c r="J60" s="28" t="s">
        <v>166</v>
      </c>
      <c r="K60" s="27" t="s">
        <v>109</v>
      </c>
      <c r="L60" s="27" t="s">
        <v>2599</v>
      </c>
      <c r="M60" s="87">
        <v>8900000</v>
      </c>
      <c r="N60" s="28" t="s">
        <v>172</v>
      </c>
      <c r="O60" s="28" t="s">
        <v>14</v>
      </c>
    </row>
    <row r="61" spans="1:15">
      <c r="A61" s="27" t="s">
        <v>2508</v>
      </c>
      <c r="B61" s="41" t="s">
        <v>110</v>
      </c>
      <c r="C61" s="28" t="s">
        <v>2510</v>
      </c>
      <c r="D61" s="41" t="s">
        <v>14</v>
      </c>
      <c r="E61" s="27" t="s">
        <v>106</v>
      </c>
      <c r="F61" s="27" t="s">
        <v>91</v>
      </c>
      <c r="G61" s="27" t="s">
        <v>21</v>
      </c>
      <c r="H61" s="28" t="s">
        <v>72</v>
      </c>
      <c r="I61" s="28" t="s">
        <v>26</v>
      </c>
      <c r="J61" s="28" t="s">
        <v>166</v>
      </c>
      <c r="K61" s="27" t="s">
        <v>110</v>
      </c>
      <c r="L61" s="27" t="s">
        <v>2599</v>
      </c>
      <c r="M61" s="87">
        <v>8100000</v>
      </c>
      <c r="N61" s="28" t="s">
        <v>172</v>
      </c>
      <c r="O61" s="28" t="s">
        <v>14</v>
      </c>
    </row>
    <row r="62" spans="1:15">
      <c r="A62" s="27" t="s">
        <v>2508</v>
      </c>
      <c r="B62" s="41" t="s">
        <v>111</v>
      </c>
      <c r="C62" s="28" t="s">
        <v>2510</v>
      </c>
      <c r="D62" s="41" t="s">
        <v>14</v>
      </c>
      <c r="E62" s="27" t="s">
        <v>106</v>
      </c>
      <c r="F62" s="27" t="s">
        <v>91</v>
      </c>
      <c r="G62" s="27" t="s">
        <v>21</v>
      </c>
      <c r="H62" s="28" t="s">
        <v>72</v>
      </c>
      <c r="I62" s="28" t="s">
        <v>42</v>
      </c>
      <c r="J62" s="28" t="s">
        <v>166</v>
      </c>
      <c r="K62" s="27" t="s">
        <v>111</v>
      </c>
      <c r="L62" s="27" t="s">
        <v>2599</v>
      </c>
      <c r="M62" s="87">
        <v>9000000</v>
      </c>
      <c r="N62" s="28" t="s">
        <v>172</v>
      </c>
      <c r="O62" s="28" t="s">
        <v>14</v>
      </c>
    </row>
    <row r="63" spans="1:15">
      <c r="A63" s="27" t="s">
        <v>2508</v>
      </c>
      <c r="B63" s="41" t="s">
        <v>112</v>
      </c>
      <c r="C63" s="28" t="s">
        <v>2510</v>
      </c>
      <c r="D63" s="41" t="s">
        <v>14</v>
      </c>
      <c r="E63" s="27" t="s">
        <v>113</v>
      </c>
      <c r="F63" s="27" t="s">
        <v>99</v>
      </c>
      <c r="G63" s="27" t="s">
        <v>21</v>
      </c>
      <c r="H63" s="28" t="s">
        <v>70</v>
      </c>
      <c r="I63" s="28" t="s">
        <v>26</v>
      </c>
      <c r="J63" s="28" t="s">
        <v>166</v>
      </c>
      <c r="K63" s="27" t="s">
        <v>112</v>
      </c>
      <c r="L63" s="27" t="s">
        <v>2599</v>
      </c>
      <c r="M63" s="87">
        <v>16200000</v>
      </c>
      <c r="N63" s="28" t="s">
        <v>172</v>
      </c>
      <c r="O63" s="28" t="s">
        <v>14</v>
      </c>
    </row>
    <row r="64" spans="1:15">
      <c r="A64" s="27" t="s">
        <v>2508</v>
      </c>
      <c r="B64" s="41" t="s">
        <v>114</v>
      </c>
      <c r="C64" s="28" t="s">
        <v>2510</v>
      </c>
      <c r="D64" s="41" t="s">
        <v>14</v>
      </c>
      <c r="E64" s="27" t="s">
        <v>113</v>
      </c>
      <c r="F64" s="27" t="s">
        <v>99</v>
      </c>
      <c r="G64" s="27" t="s">
        <v>21</v>
      </c>
      <c r="H64" s="28" t="s">
        <v>70</v>
      </c>
      <c r="I64" s="28" t="s">
        <v>42</v>
      </c>
      <c r="J64" s="28" t="s">
        <v>166</v>
      </c>
      <c r="K64" s="27" t="s">
        <v>114</v>
      </c>
      <c r="L64" s="27" t="s">
        <v>2599</v>
      </c>
      <c r="M64" s="87">
        <v>8800000</v>
      </c>
      <c r="N64" s="28" t="s">
        <v>172</v>
      </c>
      <c r="O64" s="28" t="s">
        <v>14</v>
      </c>
    </row>
    <row r="65" spans="1:15">
      <c r="A65" s="27" t="s">
        <v>2508</v>
      </c>
      <c r="B65" s="41" t="s">
        <v>115</v>
      </c>
      <c r="C65" s="28" t="s">
        <v>2510</v>
      </c>
      <c r="D65" s="41" t="s">
        <v>14</v>
      </c>
      <c r="E65" s="27" t="s">
        <v>113</v>
      </c>
      <c r="F65" s="27" t="s">
        <v>99</v>
      </c>
      <c r="G65" s="27" t="s">
        <v>21</v>
      </c>
      <c r="H65" s="28" t="s">
        <v>74</v>
      </c>
      <c r="I65" s="28" t="s">
        <v>26</v>
      </c>
      <c r="J65" s="28" t="s">
        <v>166</v>
      </c>
      <c r="K65" s="27" t="s">
        <v>115</v>
      </c>
      <c r="L65" s="27" t="s">
        <v>2599</v>
      </c>
      <c r="M65" s="87">
        <v>16200000</v>
      </c>
      <c r="N65" s="28" t="s">
        <v>172</v>
      </c>
      <c r="O65" s="28" t="s">
        <v>14</v>
      </c>
    </row>
    <row r="66" spans="1:15">
      <c r="A66" s="27" t="s">
        <v>2508</v>
      </c>
      <c r="B66" s="41" t="s">
        <v>116</v>
      </c>
      <c r="C66" s="28" t="s">
        <v>2510</v>
      </c>
      <c r="D66" s="41" t="s">
        <v>14</v>
      </c>
      <c r="E66" s="27" t="s">
        <v>113</v>
      </c>
      <c r="F66" s="27" t="s">
        <v>99</v>
      </c>
      <c r="G66" s="27" t="s">
        <v>21</v>
      </c>
      <c r="H66" s="28" t="s">
        <v>74</v>
      </c>
      <c r="I66" s="28" t="s">
        <v>42</v>
      </c>
      <c r="J66" s="28" t="s">
        <v>166</v>
      </c>
      <c r="K66" s="27" t="s">
        <v>116</v>
      </c>
      <c r="L66" s="27" t="s">
        <v>2599</v>
      </c>
      <c r="M66" s="87">
        <v>8900000</v>
      </c>
      <c r="N66" s="28" t="s">
        <v>172</v>
      </c>
      <c r="O66" s="28" t="s">
        <v>14</v>
      </c>
    </row>
    <row r="67" spans="1:15">
      <c r="A67" s="27" t="s">
        <v>2508</v>
      </c>
      <c r="B67" s="41" t="s">
        <v>117</v>
      </c>
      <c r="C67" s="28" t="s">
        <v>2510</v>
      </c>
      <c r="D67" s="41" t="s">
        <v>14</v>
      </c>
      <c r="E67" s="27" t="s">
        <v>113</v>
      </c>
      <c r="F67" s="27" t="s">
        <v>99</v>
      </c>
      <c r="G67" s="27" t="s">
        <v>21</v>
      </c>
      <c r="H67" s="28" t="s">
        <v>72</v>
      </c>
      <c r="I67" s="28" t="s">
        <v>26</v>
      </c>
      <c r="J67" s="28" t="s">
        <v>166</v>
      </c>
      <c r="K67" s="27" t="s">
        <v>117</v>
      </c>
      <c r="L67" s="27" t="s">
        <v>2599</v>
      </c>
      <c r="M67" s="87">
        <v>16200000</v>
      </c>
      <c r="N67" s="28" t="s">
        <v>172</v>
      </c>
      <c r="O67" s="28" t="s">
        <v>14</v>
      </c>
    </row>
    <row r="68" spans="1:15">
      <c r="A68" s="27" t="s">
        <v>2508</v>
      </c>
      <c r="B68" s="41" t="s">
        <v>118</v>
      </c>
      <c r="C68" s="28" t="s">
        <v>2510</v>
      </c>
      <c r="D68" s="41" t="s">
        <v>14</v>
      </c>
      <c r="E68" s="27" t="s">
        <v>113</v>
      </c>
      <c r="F68" s="27" t="s">
        <v>99</v>
      </c>
      <c r="G68" s="27" t="s">
        <v>21</v>
      </c>
      <c r="H68" s="28" t="s">
        <v>72</v>
      </c>
      <c r="I68" s="28" t="s">
        <v>42</v>
      </c>
      <c r="J68" s="28" t="s">
        <v>166</v>
      </c>
      <c r="K68" s="27" t="s">
        <v>118</v>
      </c>
      <c r="L68" s="27" t="s">
        <v>2599</v>
      </c>
      <c r="M68" s="87">
        <v>9000000</v>
      </c>
      <c r="N68" s="28" t="s">
        <v>172</v>
      </c>
      <c r="O68" s="28" t="s">
        <v>14</v>
      </c>
    </row>
    <row r="69" spans="1:15">
      <c r="A69" s="27" t="s">
        <v>2508</v>
      </c>
      <c r="B69" s="41" t="s">
        <v>119</v>
      </c>
      <c r="C69" s="28" t="s">
        <v>2510</v>
      </c>
      <c r="D69" s="41" t="s">
        <v>14</v>
      </c>
      <c r="E69" s="27" t="s">
        <v>120</v>
      </c>
      <c r="F69" s="27" t="s">
        <v>29</v>
      </c>
      <c r="G69" s="27" t="s">
        <v>21</v>
      </c>
      <c r="H69" s="28" t="s">
        <v>70</v>
      </c>
      <c r="I69" s="28" t="s">
        <v>26</v>
      </c>
      <c r="J69" s="28" t="s">
        <v>167</v>
      </c>
      <c r="K69" s="27" t="s">
        <v>119</v>
      </c>
      <c r="L69" s="27" t="s">
        <v>2599</v>
      </c>
      <c r="M69" s="87">
        <v>202000</v>
      </c>
      <c r="N69" s="28" t="s">
        <v>172</v>
      </c>
      <c r="O69" s="28" t="s">
        <v>14</v>
      </c>
    </row>
    <row r="70" spans="1:15">
      <c r="A70" s="27" t="s">
        <v>2508</v>
      </c>
      <c r="B70" s="41" t="s">
        <v>121</v>
      </c>
      <c r="C70" s="28" t="s">
        <v>2510</v>
      </c>
      <c r="D70" s="41" t="s">
        <v>14</v>
      </c>
      <c r="E70" s="27" t="s">
        <v>120</v>
      </c>
      <c r="F70" s="27" t="s">
        <v>29</v>
      </c>
      <c r="G70" s="27" t="s">
        <v>21</v>
      </c>
      <c r="H70" s="28" t="s">
        <v>70</v>
      </c>
      <c r="I70" s="28" t="s">
        <v>42</v>
      </c>
      <c r="J70" s="28" t="s">
        <v>167</v>
      </c>
      <c r="K70" s="27" t="s">
        <v>121</v>
      </c>
      <c r="L70" s="27" t="s">
        <v>2599</v>
      </c>
      <c r="M70" s="87">
        <v>238000</v>
      </c>
      <c r="N70" s="28" t="s">
        <v>172</v>
      </c>
      <c r="O70" s="28" t="s">
        <v>14</v>
      </c>
    </row>
    <row r="71" spans="1:15">
      <c r="A71" s="27" t="s">
        <v>2508</v>
      </c>
      <c r="B71" s="41" t="s">
        <v>122</v>
      </c>
      <c r="C71" s="28" t="s">
        <v>2510</v>
      </c>
      <c r="D71" s="41" t="s">
        <v>14</v>
      </c>
      <c r="E71" s="27" t="s">
        <v>120</v>
      </c>
      <c r="F71" s="27" t="s">
        <v>29</v>
      </c>
      <c r="G71" s="27" t="s">
        <v>21</v>
      </c>
      <c r="H71" s="28" t="s">
        <v>74</v>
      </c>
      <c r="I71" s="28" t="s">
        <v>26</v>
      </c>
      <c r="J71" s="28" t="s">
        <v>167</v>
      </c>
      <c r="K71" s="27" t="s">
        <v>122</v>
      </c>
      <c r="L71" s="27" t="s">
        <v>2599</v>
      </c>
      <c r="M71" s="87">
        <v>202000</v>
      </c>
      <c r="N71" s="28" t="s">
        <v>172</v>
      </c>
      <c r="O71" s="28" t="s">
        <v>14</v>
      </c>
    </row>
    <row r="72" spans="1:15">
      <c r="A72" s="27" t="s">
        <v>2508</v>
      </c>
      <c r="B72" s="41" t="s">
        <v>123</v>
      </c>
      <c r="C72" s="28" t="s">
        <v>2510</v>
      </c>
      <c r="D72" s="41" t="s">
        <v>14</v>
      </c>
      <c r="E72" s="27" t="s">
        <v>120</v>
      </c>
      <c r="F72" s="27" t="s">
        <v>29</v>
      </c>
      <c r="G72" s="27" t="s">
        <v>21</v>
      </c>
      <c r="H72" s="28" t="s">
        <v>74</v>
      </c>
      <c r="I72" s="28" t="s">
        <v>42</v>
      </c>
      <c r="J72" s="28" t="s">
        <v>167</v>
      </c>
      <c r="K72" s="27" t="s">
        <v>123</v>
      </c>
      <c r="L72" s="27" t="s">
        <v>2599</v>
      </c>
      <c r="M72" s="87">
        <v>241000</v>
      </c>
      <c r="N72" s="28" t="s">
        <v>172</v>
      </c>
      <c r="O72" s="28" t="s">
        <v>14</v>
      </c>
    </row>
    <row r="73" spans="1:15">
      <c r="A73" s="27" t="s">
        <v>2508</v>
      </c>
      <c r="B73" s="41" t="s">
        <v>124</v>
      </c>
      <c r="C73" s="28" t="s">
        <v>2510</v>
      </c>
      <c r="D73" s="41" t="s">
        <v>14</v>
      </c>
      <c r="E73" s="27" t="s">
        <v>120</v>
      </c>
      <c r="F73" s="27" t="s">
        <v>29</v>
      </c>
      <c r="G73" s="27" t="s">
        <v>21</v>
      </c>
      <c r="H73" s="28" t="s">
        <v>72</v>
      </c>
      <c r="I73" s="28" t="s">
        <v>26</v>
      </c>
      <c r="J73" s="28" t="s">
        <v>167</v>
      </c>
      <c r="K73" s="27" t="s">
        <v>124</v>
      </c>
      <c r="L73" s="27" t="s">
        <v>2599</v>
      </c>
      <c r="M73" s="87">
        <v>202000</v>
      </c>
      <c r="N73" s="28" t="s">
        <v>172</v>
      </c>
      <c r="O73" s="28" t="s">
        <v>14</v>
      </c>
    </row>
    <row r="74" spans="1:15">
      <c r="A74" s="27" t="s">
        <v>2508</v>
      </c>
      <c r="B74" s="41" t="s">
        <v>125</v>
      </c>
      <c r="C74" s="28" t="s">
        <v>2510</v>
      </c>
      <c r="D74" s="41" t="s">
        <v>14</v>
      </c>
      <c r="E74" s="27" t="s">
        <v>120</v>
      </c>
      <c r="F74" s="27" t="s">
        <v>29</v>
      </c>
      <c r="G74" s="27" t="s">
        <v>21</v>
      </c>
      <c r="H74" s="28" t="s">
        <v>72</v>
      </c>
      <c r="I74" s="28" t="s">
        <v>42</v>
      </c>
      <c r="J74" s="28" t="s">
        <v>167</v>
      </c>
      <c r="K74" s="27" t="s">
        <v>125</v>
      </c>
      <c r="L74" s="27" t="s">
        <v>2599</v>
      </c>
      <c r="M74" s="87">
        <v>247000</v>
      </c>
      <c r="N74" s="28" t="s">
        <v>172</v>
      </c>
      <c r="O74" s="28" t="s">
        <v>14</v>
      </c>
    </row>
    <row r="75" spans="1:15">
      <c r="A75" s="27" t="s">
        <v>2508</v>
      </c>
      <c r="B75" s="41" t="s">
        <v>126</v>
      </c>
      <c r="C75" s="28" t="s">
        <v>2510</v>
      </c>
      <c r="D75" s="41" t="s">
        <v>14</v>
      </c>
      <c r="E75" s="27" t="s">
        <v>127</v>
      </c>
      <c r="F75" s="27" t="s">
        <v>128</v>
      </c>
      <c r="G75" s="27" t="s">
        <v>21</v>
      </c>
      <c r="H75" s="28" t="s">
        <v>70</v>
      </c>
      <c r="I75" s="28" t="s">
        <v>42</v>
      </c>
      <c r="J75" s="28" t="s">
        <v>167</v>
      </c>
      <c r="K75" s="27" t="s">
        <v>126</v>
      </c>
      <c r="L75" s="27" t="s">
        <v>2599</v>
      </c>
      <c r="M75" s="87">
        <v>19800000</v>
      </c>
      <c r="N75" s="28" t="s">
        <v>172</v>
      </c>
      <c r="O75" s="28" t="s">
        <v>14</v>
      </c>
    </row>
    <row r="76" spans="1:15">
      <c r="A76" s="27" t="s">
        <v>2508</v>
      </c>
      <c r="B76" s="41" t="s">
        <v>129</v>
      </c>
      <c r="C76" s="28" t="s">
        <v>2510</v>
      </c>
      <c r="D76" s="41" t="s">
        <v>14</v>
      </c>
      <c r="E76" s="27" t="s">
        <v>127</v>
      </c>
      <c r="F76" s="27" t="s">
        <v>128</v>
      </c>
      <c r="G76" s="27" t="s">
        <v>21</v>
      </c>
      <c r="H76" s="28" t="s">
        <v>74</v>
      </c>
      <c r="I76" s="28" t="s">
        <v>42</v>
      </c>
      <c r="J76" s="28" t="s">
        <v>167</v>
      </c>
      <c r="K76" s="27" t="s">
        <v>129</v>
      </c>
      <c r="L76" s="27" t="s">
        <v>2599</v>
      </c>
      <c r="M76" s="87">
        <v>19900000</v>
      </c>
      <c r="N76" s="28" t="s">
        <v>172</v>
      </c>
      <c r="O76" s="28" t="s">
        <v>14</v>
      </c>
    </row>
    <row r="77" spans="1:15">
      <c r="A77" s="27" t="s">
        <v>2508</v>
      </c>
      <c r="B77" s="41" t="s">
        <v>130</v>
      </c>
      <c r="C77" s="28" t="s">
        <v>2510</v>
      </c>
      <c r="D77" s="41" t="s">
        <v>14</v>
      </c>
      <c r="E77" s="27" t="s">
        <v>127</v>
      </c>
      <c r="F77" s="27" t="s">
        <v>128</v>
      </c>
      <c r="G77" s="27" t="s">
        <v>21</v>
      </c>
      <c r="H77" s="28" t="s">
        <v>72</v>
      </c>
      <c r="I77" s="28" t="s">
        <v>42</v>
      </c>
      <c r="J77" s="28" t="s">
        <v>167</v>
      </c>
      <c r="K77" s="27" t="s">
        <v>130</v>
      </c>
      <c r="L77" s="27" t="s">
        <v>2599</v>
      </c>
      <c r="M77" s="87">
        <v>20000000</v>
      </c>
      <c r="N77" s="28" t="s">
        <v>172</v>
      </c>
      <c r="O77" s="28" t="s">
        <v>14</v>
      </c>
    </row>
    <row r="78" spans="1:15">
      <c r="A78" s="27" t="s">
        <v>2508</v>
      </c>
      <c r="B78" s="41" t="s">
        <v>131</v>
      </c>
      <c r="C78" s="28" t="s">
        <v>2510</v>
      </c>
      <c r="D78" s="41" t="s">
        <v>14</v>
      </c>
      <c r="E78" s="27" t="s">
        <v>2600</v>
      </c>
      <c r="F78" s="27" t="s">
        <v>29</v>
      </c>
      <c r="G78" s="27" t="s">
        <v>21</v>
      </c>
      <c r="H78" s="28" t="s">
        <v>70</v>
      </c>
      <c r="I78" s="28" t="s">
        <v>26</v>
      </c>
      <c r="J78" s="28" t="s">
        <v>170</v>
      </c>
      <c r="K78" s="27" t="s">
        <v>131</v>
      </c>
      <c r="L78" s="27" t="s">
        <v>2599</v>
      </c>
      <c r="M78" s="87">
        <v>168000</v>
      </c>
      <c r="N78" s="28" t="s">
        <v>172</v>
      </c>
      <c r="O78" s="28" t="s">
        <v>14</v>
      </c>
    </row>
    <row r="79" spans="1:15">
      <c r="A79" s="27" t="s">
        <v>2508</v>
      </c>
      <c r="B79" s="41" t="s">
        <v>134</v>
      </c>
      <c r="C79" s="28" t="s">
        <v>2510</v>
      </c>
      <c r="D79" s="41" t="s">
        <v>14</v>
      </c>
      <c r="E79" s="27" t="s">
        <v>2600</v>
      </c>
      <c r="F79" s="27" t="s">
        <v>29</v>
      </c>
      <c r="G79" s="27" t="s">
        <v>21</v>
      </c>
      <c r="H79" s="28" t="s">
        <v>70</v>
      </c>
      <c r="I79" s="28" t="s">
        <v>42</v>
      </c>
      <c r="J79" s="28" t="s">
        <v>170</v>
      </c>
      <c r="K79" s="27" t="s">
        <v>134</v>
      </c>
      <c r="L79" s="27" t="s">
        <v>2599</v>
      </c>
      <c r="M79" s="87">
        <v>204000</v>
      </c>
      <c r="N79" s="28" t="s">
        <v>172</v>
      </c>
      <c r="O79" s="28" t="s">
        <v>14</v>
      </c>
    </row>
    <row r="80" spans="1:15">
      <c r="A80" s="27" t="s">
        <v>2508</v>
      </c>
      <c r="B80" s="41" t="s">
        <v>135</v>
      </c>
      <c r="C80" s="28" t="s">
        <v>2510</v>
      </c>
      <c r="D80" s="41" t="s">
        <v>14</v>
      </c>
      <c r="E80" s="27" t="s">
        <v>2600</v>
      </c>
      <c r="F80" s="27" t="s">
        <v>29</v>
      </c>
      <c r="G80" s="27" t="s">
        <v>21</v>
      </c>
      <c r="H80" s="28" t="s">
        <v>74</v>
      </c>
      <c r="I80" s="28" t="s">
        <v>26</v>
      </c>
      <c r="J80" s="28" t="s">
        <v>170</v>
      </c>
      <c r="K80" s="27" t="s">
        <v>135</v>
      </c>
      <c r="L80" s="27" t="s">
        <v>2599</v>
      </c>
      <c r="M80" s="87">
        <v>168000</v>
      </c>
      <c r="N80" s="28" t="s">
        <v>172</v>
      </c>
      <c r="O80" s="28" t="s">
        <v>14</v>
      </c>
    </row>
    <row r="81" spans="1:15">
      <c r="A81" s="27" t="s">
        <v>2508</v>
      </c>
      <c r="B81" s="41" t="s">
        <v>136</v>
      </c>
      <c r="C81" s="28" t="s">
        <v>2510</v>
      </c>
      <c r="D81" s="41" t="s">
        <v>14</v>
      </c>
      <c r="E81" s="27" t="s">
        <v>2600</v>
      </c>
      <c r="F81" s="27" t="s">
        <v>29</v>
      </c>
      <c r="G81" s="27" t="s">
        <v>21</v>
      </c>
      <c r="H81" s="28" t="s">
        <v>74</v>
      </c>
      <c r="I81" s="28" t="s">
        <v>42</v>
      </c>
      <c r="J81" s="28" t="s">
        <v>170</v>
      </c>
      <c r="K81" s="27" t="s">
        <v>136</v>
      </c>
      <c r="L81" s="27" t="s">
        <v>2599</v>
      </c>
      <c r="M81" s="87">
        <v>208000</v>
      </c>
      <c r="N81" s="28" t="s">
        <v>172</v>
      </c>
      <c r="O81" s="28" t="s">
        <v>14</v>
      </c>
    </row>
    <row r="82" spans="1:15">
      <c r="A82" s="27" t="s">
        <v>2508</v>
      </c>
      <c r="B82" s="41" t="s">
        <v>137</v>
      </c>
      <c r="C82" s="28" t="s">
        <v>2510</v>
      </c>
      <c r="D82" s="41" t="s">
        <v>14</v>
      </c>
      <c r="E82" s="27" t="s">
        <v>2600</v>
      </c>
      <c r="F82" s="27" t="s">
        <v>29</v>
      </c>
      <c r="G82" s="27" t="s">
        <v>21</v>
      </c>
      <c r="H82" s="28" t="s">
        <v>72</v>
      </c>
      <c r="I82" s="28" t="s">
        <v>26</v>
      </c>
      <c r="J82" s="28" t="s">
        <v>170</v>
      </c>
      <c r="K82" s="27" t="s">
        <v>137</v>
      </c>
      <c r="L82" s="27" t="s">
        <v>2599</v>
      </c>
      <c r="M82" s="87">
        <v>168000</v>
      </c>
      <c r="N82" s="28" t="s">
        <v>172</v>
      </c>
      <c r="O82" s="28" t="s">
        <v>14</v>
      </c>
    </row>
    <row r="83" spans="1:15">
      <c r="A83" s="27" t="s">
        <v>2508</v>
      </c>
      <c r="B83" s="41" t="s">
        <v>138</v>
      </c>
      <c r="C83" s="28" t="s">
        <v>2510</v>
      </c>
      <c r="D83" s="41" t="s">
        <v>14</v>
      </c>
      <c r="E83" s="27" t="s">
        <v>2600</v>
      </c>
      <c r="F83" s="27" t="s">
        <v>29</v>
      </c>
      <c r="G83" s="27" t="s">
        <v>21</v>
      </c>
      <c r="H83" s="28" t="s">
        <v>72</v>
      </c>
      <c r="I83" s="28" t="s">
        <v>42</v>
      </c>
      <c r="J83" s="28" t="s">
        <v>170</v>
      </c>
      <c r="K83" s="27" t="s">
        <v>138</v>
      </c>
      <c r="L83" s="27" t="s">
        <v>2599</v>
      </c>
      <c r="M83" s="87">
        <v>213000</v>
      </c>
      <c r="N83" s="28" t="s">
        <v>172</v>
      </c>
      <c r="O83" s="28" t="s">
        <v>14</v>
      </c>
    </row>
    <row r="84" spans="1:15">
      <c r="A84" s="27" t="s">
        <v>2508</v>
      </c>
      <c r="B84" s="41" t="s">
        <v>139</v>
      </c>
      <c r="C84" s="28" t="s">
        <v>2510</v>
      </c>
      <c r="D84" s="41" t="s">
        <v>14</v>
      </c>
      <c r="E84" s="27" t="s">
        <v>140</v>
      </c>
      <c r="F84" s="27" t="s">
        <v>141</v>
      </c>
      <c r="G84" s="27" t="s">
        <v>21</v>
      </c>
      <c r="H84" s="28" t="s">
        <v>70</v>
      </c>
      <c r="I84" s="28" t="s">
        <v>26</v>
      </c>
      <c r="J84" s="28" t="s">
        <v>170</v>
      </c>
      <c r="K84" s="27" t="s">
        <v>139</v>
      </c>
      <c r="L84" s="27" t="s">
        <v>2599</v>
      </c>
      <c r="M84" s="87">
        <v>583000</v>
      </c>
      <c r="N84" s="28" t="s">
        <v>172</v>
      </c>
      <c r="O84" s="28" t="s">
        <v>14</v>
      </c>
    </row>
    <row r="85" spans="1:15">
      <c r="A85" s="27" t="s">
        <v>2508</v>
      </c>
      <c r="B85" s="41" t="s">
        <v>142</v>
      </c>
      <c r="C85" s="28" t="s">
        <v>2510</v>
      </c>
      <c r="D85" s="41" t="s">
        <v>14</v>
      </c>
      <c r="E85" s="27" t="s">
        <v>140</v>
      </c>
      <c r="F85" s="27" t="s">
        <v>141</v>
      </c>
      <c r="G85" s="27" t="s">
        <v>21</v>
      </c>
      <c r="H85" s="28" t="s">
        <v>70</v>
      </c>
      <c r="I85" s="28" t="s">
        <v>42</v>
      </c>
      <c r="J85" s="28" t="s">
        <v>170</v>
      </c>
      <c r="K85" s="27" t="s">
        <v>142</v>
      </c>
      <c r="L85" s="27" t="s">
        <v>2599</v>
      </c>
      <c r="M85" s="87">
        <v>620000</v>
      </c>
      <c r="N85" s="28" t="s">
        <v>172</v>
      </c>
      <c r="O85" s="28" t="s">
        <v>14</v>
      </c>
    </row>
    <row r="86" spans="1:15">
      <c r="A86" s="27" t="s">
        <v>2508</v>
      </c>
      <c r="B86" s="41" t="s">
        <v>143</v>
      </c>
      <c r="C86" s="28" t="s">
        <v>2510</v>
      </c>
      <c r="D86" s="41" t="s">
        <v>14</v>
      </c>
      <c r="E86" s="27" t="s">
        <v>140</v>
      </c>
      <c r="F86" s="27" t="s">
        <v>141</v>
      </c>
      <c r="G86" s="27" t="s">
        <v>21</v>
      </c>
      <c r="H86" s="28" t="s">
        <v>74</v>
      </c>
      <c r="I86" s="28" t="s">
        <v>26</v>
      </c>
      <c r="J86" s="28" t="s">
        <v>170</v>
      </c>
      <c r="K86" s="27" t="s">
        <v>143</v>
      </c>
      <c r="L86" s="27" t="s">
        <v>2599</v>
      </c>
      <c r="M86" s="87">
        <v>583000</v>
      </c>
      <c r="N86" s="28" t="s">
        <v>172</v>
      </c>
      <c r="O86" s="28" t="s">
        <v>14</v>
      </c>
    </row>
    <row r="87" spans="1:15">
      <c r="A87" s="27" t="s">
        <v>2508</v>
      </c>
      <c r="B87" s="41" t="s">
        <v>144</v>
      </c>
      <c r="C87" s="28" t="s">
        <v>2510</v>
      </c>
      <c r="D87" s="41" t="s">
        <v>14</v>
      </c>
      <c r="E87" s="27" t="s">
        <v>140</v>
      </c>
      <c r="F87" s="27" t="s">
        <v>141</v>
      </c>
      <c r="G87" s="27" t="s">
        <v>21</v>
      </c>
      <c r="H87" s="28" t="s">
        <v>74</v>
      </c>
      <c r="I87" s="28" t="s">
        <v>42</v>
      </c>
      <c r="J87" s="28" t="s">
        <v>170</v>
      </c>
      <c r="K87" s="27" t="s">
        <v>144</v>
      </c>
      <c r="L87" s="27" t="s">
        <v>2599</v>
      </c>
      <c r="M87" s="87">
        <v>622000</v>
      </c>
      <c r="N87" s="28" t="s">
        <v>172</v>
      </c>
      <c r="O87" s="28" t="s">
        <v>14</v>
      </c>
    </row>
    <row r="88" spans="1:15">
      <c r="A88" s="27" t="s">
        <v>2508</v>
      </c>
      <c r="B88" s="41" t="s">
        <v>145</v>
      </c>
      <c r="C88" s="28" t="s">
        <v>2510</v>
      </c>
      <c r="D88" s="41" t="s">
        <v>14</v>
      </c>
      <c r="E88" s="27" t="s">
        <v>140</v>
      </c>
      <c r="F88" s="27" t="s">
        <v>141</v>
      </c>
      <c r="G88" s="27" t="s">
        <v>21</v>
      </c>
      <c r="H88" s="28" t="s">
        <v>72</v>
      </c>
      <c r="I88" s="28" t="s">
        <v>26</v>
      </c>
      <c r="J88" s="28" t="s">
        <v>170</v>
      </c>
      <c r="K88" s="27" t="s">
        <v>145</v>
      </c>
      <c r="L88" s="27" t="s">
        <v>2599</v>
      </c>
      <c r="M88" s="87">
        <v>583000</v>
      </c>
      <c r="N88" s="28" t="s">
        <v>172</v>
      </c>
      <c r="O88" s="28" t="s">
        <v>14</v>
      </c>
    </row>
    <row r="89" spans="1:15">
      <c r="A89" s="27" t="s">
        <v>2508</v>
      </c>
      <c r="B89" s="41" t="s">
        <v>146</v>
      </c>
      <c r="C89" s="28" t="s">
        <v>2510</v>
      </c>
      <c r="D89" s="41" t="s">
        <v>14</v>
      </c>
      <c r="E89" s="27" t="s">
        <v>140</v>
      </c>
      <c r="F89" s="27" t="s">
        <v>141</v>
      </c>
      <c r="G89" s="27" t="s">
        <v>21</v>
      </c>
      <c r="H89" s="28" t="s">
        <v>72</v>
      </c>
      <c r="I89" s="28" t="s">
        <v>42</v>
      </c>
      <c r="J89" s="28" t="s">
        <v>170</v>
      </c>
      <c r="K89" s="27" t="s">
        <v>146</v>
      </c>
      <c r="L89" s="27" t="s">
        <v>2599</v>
      </c>
      <c r="M89" s="87">
        <v>628000</v>
      </c>
      <c r="N89" s="28" t="s">
        <v>172</v>
      </c>
      <c r="O89" s="28" t="s">
        <v>14</v>
      </c>
    </row>
    <row r="90" spans="1:15">
      <c r="A90" s="27" t="s">
        <v>2508</v>
      </c>
      <c r="B90" s="41" t="s">
        <v>147</v>
      </c>
      <c r="C90" s="28" t="s">
        <v>2510</v>
      </c>
      <c r="D90" s="41" t="s">
        <v>14</v>
      </c>
      <c r="E90" s="27" t="s">
        <v>148</v>
      </c>
      <c r="F90" s="27" t="s">
        <v>128</v>
      </c>
      <c r="G90" s="27" t="s">
        <v>21</v>
      </c>
      <c r="H90" s="28" t="s">
        <v>70</v>
      </c>
      <c r="I90" s="28" t="s">
        <v>42</v>
      </c>
      <c r="J90" s="28" t="s">
        <v>170</v>
      </c>
      <c r="K90" s="27" t="s">
        <v>147</v>
      </c>
      <c r="L90" s="27" t="s">
        <v>2599</v>
      </c>
      <c r="M90" s="87">
        <v>14700000</v>
      </c>
      <c r="N90" s="28" t="s">
        <v>172</v>
      </c>
      <c r="O90" s="28" t="s">
        <v>14</v>
      </c>
    </row>
    <row r="91" spans="1:15">
      <c r="A91" s="27" t="s">
        <v>2508</v>
      </c>
      <c r="B91" s="41" t="s">
        <v>149</v>
      </c>
      <c r="C91" s="28" t="s">
        <v>2510</v>
      </c>
      <c r="D91" s="41" t="s">
        <v>14</v>
      </c>
      <c r="E91" s="27" t="s">
        <v>148</v>
      </c>
      <c r="F91" s="27" t="s">
        <v>128</v>
      </c>
      <c r="G91" s="27" t="s">
        <v>21</v>
      </c>
      <c r="H91" s="28" t="s">
        <v>74</v>
      </c>
      <c r="I91" s="28" t="s">
        <v>42</v>
      </c>
      <c r="J91" s="28" t="s">
        <v>170</v>
      </c>
      <c r="K91" s="27" t="s">
        <v>149</v>
      </c>
      <c r="L91" s="27" t="s">
        <v>2599</v>
      </c>
      <c r="M91" s="87">
        <v>14800000</v>
      </c>
      <c r="N91" s="28" t="s">
        <v>172</v>
      </c>
      <c r="O91" s="28" t="s">
        <v>14</v>
      </c>
    </row>
    <row r="92" spans="1:15">
      <c r="A92" s="27" t="s">
        <v>2508</v>
      </c>
      <c r="B92" s="41" t="s">
        <v>150</v>
      </c>
      <c r="C92" s="28" t="s">
        <v>2510</v>
      </c>
      <c r="D92" s="41" t="s">
        <v>14</v>
      </c>
      <c r="E92" s="27" t="s">
        <v>148</v>
      </c>
      <c r="F92" s="27" t="s">
        <v>128</v>
      </c>
      <c r="G92" s="27" t="s">
        <v>21</v>
      </c>
      <c r="H92" s="28" t="s">
        <v>72</v>
      </c>
      <c r="I92" s="28" t="s">
        <v>42</v>
      </c>
      <c r="J92" s="28" t="s">
        <v>170</v>
      </c>
      <c r="K92" s="27" t="s">
        <v>150</v>
      </c>
      <c r="L92" s="27" t="s">
        <v>2599</v>
      </c>
      <c r="M92" s="87">
        <v>14900000</v>
      </c>
      <c r="N92" s="28" t="s">
        <v>172</v>
      </c>
      <c r="O92" s="28" t="s">
        <v>14</v>
      </c>
    </row>
    <row r="93" spans="1:15">
      <c r="A93" s="27" t="s">
        <v>2508</v>
      </c>
      <c r="B93" s="41" t="s">
        <v>151</v>
      </c>
      <c r="C93" s="28" t="s">
        <v>2510</v>
      </c>
      <c r="D93" s="41" t="s">
        <v>14</v>
      </c>
      <c r="E93" s="27" t="s">
        <v>152</v>
      </c>
      <c r="F93" s="27" t="s">
        <v>29</v>
      </c>
      <c r="G93" s="27" t="s">
        <v>21</v>
      </c>
      <c r="H93" s="28" t="s">
        <v>74</v>
      </c>
      <c r="I93" s="28" t="s">
        <v>26</v>
      </c>
      <c r="J93" s="28" t="s">
        <v>167</v>
      </c>
      <c r="K93" s="27" t="s">
        <v>151</v>
      </c>
      <c r="L93" s="27" t="s">
        <v>2599</v>
      </c>
      <c r="M93" s="87">
        <v>202000</v>
      </c>
      <c r="N93" s="28" t="s">
        <v>172</v>
      </c>
      <c r="O93" s="28" t="s">
        <v>14</v>
      </c>
    </row>
    <row r="94" spans="1:15">
      <c r="A94" s="27" t="s">
        <v>2508</v>
      </c>
      <c r="B94" s="41" t="s">
        <v>153</v>
      </c>
      <c r="C94" s="28" t="s">
        <v>2510</v>
      </c>
      <c r="D94" s="41" t="s">
        <v>14</v>
      </c>
      <c r="E94" s="27" t="s">
        <v>152</v>
      </c>
      <c r="F94" s="27" t="s">
        <v>29</v>
      </c>
      <c r="G94" s="27" t="s">
        <v>21</v>
      </c>
      <c r="H94" s="28" t="s">
        <v>74</v>
      </c>
      <c r="I94" s="28" t="s">
        <v>42</v>
      </c>
      <c r="J94" s="28" t="s">
        <v>167</v>
      </c>
      <c r="K94" s="27" t="s">
        <v>153</v>
      </c>
      <c r="L94" s="27" t="s">
        <v>2599</v>
      </c>
      <c r="M94" s="87">
        <v>241000</v>
      </c>
      <c r="N94" s="28" t="s">
        <v>172</v>
      </c>
      <c r="O94" s="28" t="s">
        <v>14</v>
      </c>
    </row>
    <row r="95" spans="1:15">
      <c r="A95" s="27" t="s">
        <v>2508</v>
      </c>
      <c r="B95" s="41" t="s">
        <v>154</v>
      </c>
      <c r="C95" s="28" t="s">
        <v>2510</v>
      </c>
      <c r="D95" s="41" t="s">
        <v>14</v>
      </c>
      <c r="E95" s="27" t="s">
        <v>152</v>
      </c>
      <c r="F95" s="27" t="s">
        <v>29</v>
      </c>
      <c r="G95" s="27" t="s">
        <v>21</v>
      </c>
      <c r="H95" s="28" t="s">
        <v>70</v>
      </c>
      <c r="I95" s="28" t="s">
        <v>26</v>
      </c>
      <c r="J95" s="28" t="s">
        <v>167</v>
      </c>
      <c r="K95" s="27" t="s">
        <v>154</v>
      </c>
      <c r="L95" s="27" t="s">
        <v>2599</v>
      </c>
      <c r="M95" s="87">
        <v>202000</v>
      </c>
      <c r="N95" s="28" t="s">
        <v>172</v>
      </c>
      <c r="O95" s="28" t="s">
        <v>14</v>
      </c>
    </row>
    <row r="96" spans="1:15">
      <c r="A96" s="27" t="s">
        <v>2508</v>
      </c>
      <c r="B96" s="41" t="s">
        <v>155</v>
      </c>
      <c r="C96" s="28" t="s">
        <v>2510</v>
      </c>
      <c r="D96" s="41" t="s">
        <v>14</v>
      </c>
      <c r="E96" s="27" t="s">
        <v>152</v>
      </c>
      <c r="F96" s="27" t="s">
        <v>29</v>
      </c>
      <c r="G96" s="27" t="s">
        <v>21</v>
      </c>
      <c r="H96" s="28" t="s">
        <v>72</v>
      </c>
      <c r="I96" s="28" t="s">
        <v>26</v>
      </c>
      <c r="J96" s="28" t="s">
        <v>167</v>
      </c>
      <c r="K96" s="27" t="s">
        <v>155</v>
      </c>
      <c r="L96" s="27" t="s">
        <v>2599</v>
      </c>
      <c r="M96" s="87">
        <v>202000</v>
      </c>
      <c r="N96" s="28" t="s">
        <v>172</v>
      </c>
      <c r="O96" s="28" t="s">
        <v>14</v>
      </c>
    </row>
    <row r="97" spans="1:15">
      <c r="A97" s="27" t="s">
        <v>2508</v>
      </c>
      <c r="B97" s="41" t="s">
        <v>156</v>
      </c>
      <c r="C97" s="28" t="s">
        <v>2510</v>
      </c>
      <c r="D97" s="41" t="s">
        <v>14</v>
      </c>
      <c r="E97" s="27" t="s">
        <v>152</v>
      </c>
      <c r="F97" s="27" t="s">
        <v>29</v>
      </c>
      <c r="G97" s="27" t="s">
        <v>21</v>
      </c>
      <c r="H97" s="28" t="s">
        <v>72</v>
      </c>
      <c r="I97" s="28" t="s">
        <v>42</v>
      </c>
      <c r="J97" s="28" t="s">
        <v>167</v>
      </c>
      <c r="K97" s="27" t="s">
        <v>156</v>
      </c>
      <c r="L97" s="27" t="s">
        <v>2599</v>
      </c>
      <c r="M97" s="87">
        <v>247000</v>
      </c>
      <c r="N97" s="28" t="s">
        <v>172</v>
      </c>
      <c r="O97" s="28" t="s">
        <v>14</v>
      </c>
    </row>
    <row r="98" spans="1:15">
      <c r="A98" s="27" t="s">
        <v>2508</v>
      </c>
      <c r="B98" s="41" t="s">
        <v>157</v>
      </c>
      <c r="C98" s="28" t="s">
        <v>2510</v>
      </c>
      <c r="D98" s="41" t="s">
        <v>14</v>
      </c>
      <c r="E98" s="27" t="s">
        <v>152</v>
      </c>
      <c r="F98" s="27" t="s">
        <v>29</v>
      </c>
      <c r="G98" s="27" t="s">
        <v>21</v>
      </c>
      <c r="H98" s="28" t="s">
        <v>70</v>
      </c>
      <c r="I98" s="28" t="s">
        <v>42</v>
      </c>
      <c r="J98" s="28" t="s">
        <v>167</v>
      </c>
      <c r="K98" s="27" t="s">
        <v>157</v>
      </c>
      <c r="L98" s="27" t="s">
        <v>2599</v>
      </c>
      <c r="M98" s="87">
        <v>238000</v>
      </c>
      <c r="N98" s="28" t="s">
        <v>172</v>
      </c>
      <c r="O98" s="28" t="s">
        <v>14</v>
      </c>
    </row>
    <row r="99" spans="1:15">
      <c r="A99" s="27" t="s">
        <v>2508</v>
      </c>
      <c r="B99" s="41" t="s">
        <v>158</v>
      </c>
      <c r="C99" s="28" t="s">
        <v>2510</v>
      </c>
      <c r="D99" s="41" t="s">
        <v>14</v>
      </c>
      <c r="E99" s="27" t="s">
        <v>159</v>
      </c>
      <c r="F99" s="27" t="s">
        <v>29</v>
      </c>
      <c r="G99" s="27" t="s">
        <v>21</v>
      </c>
      <c r="H99" s="28" t="s">
        <v>70</v>
      </c>
      <c r="I99" s="28" t="s">
        <v>42</v>
      </c>
      <c r="J99" s="28" t="s">
        <v>170</v>
      </c>
      <c r="K99" s="27" t="s">
        <v>158</v>
      </c>
      <c r="L99" s="27" t="s">
        <v>2599</v>
      </c>
      <c r="M99" s="87">
        <v>204000</v>
      </c>
      <c r="N99" s="28" t="s">
        <v>172</v>
      </c>
      <c r="O99" s="28" t="s">
        <v>14</v>
      </c>
    </row>
    <row r="100" spans="1:15">
      <c r="A100" s="27" t="s">
        <v>2508</v>
      </c>
      <c r="B100" s="41" t="s">
        <v>160</v>
      </c>
      <c r="C100" s="28" t="s">
        <v>2510</v>
      </c>
      <c r="D100" s="41" t="s">
        <v>14</v>
      </c>
      <c r="E100" s="27" t="s">
        <v>159</v>
      </c>
      <c r="F100" s="27" t="s">
        <v>29</v>
      </c>
      <c r="G100" s="27" t="s">
        <v>21</v>
      </c>
      <c r="H100" s="28" t="s">
        <v>74</v>
      </c>
      <c r="I100" s="28" t="s">
        <v>26</v>
      </c>
      <c r="J100" s="28" t="s">
        <v>170</v>
      </c>
      <c r="K100" s="27" t="s">
        <v>160</v>
      </c>
      <c r="L100" s="27" t="s">
        <v>2599</v>
      </c>
      <c r="M100" s="87">
        <v>168000</v>
      </c>
      <c r="N100" s="28" t="s">
        <v>172</v>
      </c>
      <c r="O100" s="28" t="s">
        <v>14</v>
      </c>
    </row>
    <row r="101" spans="1:15">
      <c r="A101" s="27" t="s">
        <v>2508</v>
      </c>
      <c r="B101" s="41" t="s">
        <v>161</v>
      </c>
      <c r="C101" s="28" t="s">
        <v>2510</v>
      </c>
      <c r="D101" s="41" t="s">
        <v>14</v>
      </c>
      <c r="E101" s="27" t="s">
        <v>159</v>
      </c>
      <c r="F101" s="27" t="s">
        <v>29</v>
      </c>
      <c r="G101" s="27" t="s">
        <v>21</v>
      </c>
      <c r="H101" s="28" t="s">
        <v>74</v>
      </c>
      <c r="I101" s="28" t="s">
        <v>42</v>
      </c>
      <c r="J101" s="28" t="s">
        <v>170</v>
      </c>
      <c r="K101" s="27" t="s">
        <v>161</v>
      </c>
      <c r="L101" s="27" t="s">
        <v>2599</v>
      </c>
      <c r="M101" s="87">
        <v>208000</v>
      </c>
      <c r="N101" s="28" t="s">
        <v>172</v>
      </c>
      <c r="O101" s="28" t="s">
        <v>14</v>
      </c>
    </row>
    <row r="102" spans="1:15">
      <c r="A102" s="27" t="s">
        <v>2508</v>
      </c>
      <c r="B102" s="41" t="s">
        <v>162</v>
      </c>
      <c r="C102" s="28" t="s">
        <v>2510</v>
      </c>
      <c r="D102" s="41" t="s">
        <v>14</v>
      </c>
      <c r="E102" s="27" t="s">
        <v>159</v>
      </c>
      <c r="F102" s="27" t="s">
        <v>29</v>
      </c>
      <c r="G102" s="27" t="s">
        <v>21</v>
      </c>
      <c r="H102" s="28" t="s">
        <v>72</v>
      </c>
      <c r="I102" s="28" t="s">
        <v>26</v>
      </c>
      <c r="J102" s="28" t="s">
        <v>170</v>
      </c>
      <c r="K102" s="27" t="s">
        <v>162</v>
      </c>
      <c r="L102" s="27" t="s">
        <v>2599</v>
      </c>
      <c r="M102" s="87">
        <v>168000</v>
      </c>
      <c r="N102" s="28" t="s">
        <v>172</v>
      </c>
      <c r="O102" s="28" t="s">
        <v>14</v>
      </c>
    </row>
    <row r="103" spans="1:15">
      <c r="A103" s="27" t="s">
        <v>2508</v>
      </c>
      <c r="B103" s="41" t="s">
        <v>163</v>
      </c>
      <c r="C103" s="28" t="s">
        <v>2510</v>
      </c>
      <c r="D103" s="41" t="s">
        <v>14</v>
      </c>
      <c r="E103" s="27" t="s">
        <v>159</v>
      </c>
      <c r="F103" s="27" t="s">
        <v>29</v>
      </c>
      <c r="G103" s="27" t="s">
        <v>21</v>
      </c>
      <c r="H103" s="28" t="s">
        <v>72</v>
      </c>
      <c r="I103" s="28" t="s">
        <v>42</v>
      </c>
      <c r="J103" s="28" t="s">
        <v>170</v>
      </c>
      <c r="K103" s="27" t="s">
        <v>163</v>
      </c>
      <c r="L103" s="27" t="s">
        <v>2599</v>
      </c>
      <c r="M103" s="87">
        <v>213000</v>
      </c>
      <c r="N103" s="28" t="s">
        <v>172</v>
      </c>
      <c r="O103" s="28" t="s">
        <v>14</v>
      </c>
    </row>
    <row r="104" spans="1:15">
      <c r="A104" s="27" t="s">
        <v>2508</v>
      </c>
      <c r="B104" s="41" t="s">
        <v>164</v>
      </c>
      <c r="C104" s="28" t="s">
        <v>2510</v>
      </c>
      <c r="D104" s="41" t="s">
        <v>14</v>
      </c>
      <c r="E104" s="27" t="s">
        <v>159</v>
      </c>
      <c r="F104" s="27" t="s">
        <v>29</v>
      </c>
      <c r="G104" s="27" t="s">
        <v>21</v>
      </c>
      <c r="H104" s="28" t="s">
        <v>70</v>
      </c>
      <c r="I104" s="28" t="s">
        <v>26</v>
      </c>
      <c r="J104" s="28" t="s">
        <v>170</v>
      </c>
      <c r="K104" s="27" t="s">
        <v>164</v>
      </c>
      <c r="L104" s="27" t="s">
        <v>2599</v>
      </c>
      <c r="M104" s="87">
        <v>168000</v>
      </c>
      <c r="N104" s="28" t="s">
        <v>172</v>
      </c>
      <c r="O104" s="28" t="s">
        <v>14</v>
      </c>
    </row>
    <row r="105" spans="1:15">
      <c r="A105" s="27" t="s">
        <v>2508</v>
      </c>
      <c r="B105" s="41" t="s">
        <v>2601</v>
      </c>
      <c r="C105" s="28" t="s">
        <v>2510</v>
      </c>
      <c r="D105" s="41" t="s">
        <v>14</v>
      </c>
      <c r="E105" s="27" t="s">
        <v>2602</v>
      </c>
      <c r="F105" s="27" t="s">
        <v>29</v>
      </c>
      <c r="G105" s="27" t="s">
        <v>21</v>
      </c>
      <c r="H105" s="28" t="s">
        <v>70</v>
      </c>
      <c r="I105" s="28" t="s">
        <v>26</v>
      </c>
      <c r="J105" s="28" t="s">
        <v>167</v>
      </c>
      <c r="K105" s="27" t="s">
        <v>2601</v>
      </c>
      <c r="L105" s="27" t="s">
        <v>2599</v>
      </c>
      <c r="M105" s="87">
        <v>202000</v>
      </c>
      <c r="N105" s="28" t="s">
        <v>172</v>
      </c>
      <c r="O105" s="28" t="s">
        <v>14</v>
      </c>
    </row>
    <row r="106" spans="1:15">
      <c r="A106" s="27" t="s">
        <v>2508</v>
      </c>
      <c r="B106" s="41" t="s">
        <v>2603</v>
      </c>
      <c r="C106" s="28" t="s">
        <v>2510</v>
      </c>
      <c r="D106" s="41" t="s">
        <v>14</v>
      </c>
      <c r="E106" s="27" t="s">
        <v>2602</v>
      </c>
      <c r="F106" s="27" t="s">
        <v>29</v>
      </c>
      <c r="G106" s="27" t="s">
        <v>21</v>
      </c>
      <c r="H106" s="28" t="s">
        <v>70</v>
      </c>
      <c r="I106" s="28" t="s">
        <v>42</v>
      </c>
      <c r="J106" s="28" t="s">
        <v>167</v>
      </c>
      <c r="K106" s="27" t="s">
        <v>2603</v>
      </c>
      <c r="L106" s="27" t="s">
        <v>2599</v>
      </c>
      <c r="M106" s="87">
        <v>238000</v>
      </c>
      <c r="N106" s="28" t="s">
        <v>172</v>
      </c>
      <c r="O106" s="28" t="s">
        <v>14</v>
      </c>
    </row>
    <row r="107" spans="1:15">
      <c r="A107" s="27" t="s">
        <v>2508</v>
      </c>
      <c r="B107" s="41" t="s">
        <v>2604</v>
      </c>
      <c r="C107" s="28" t="s">
        <v>2510</v>
      </c>
      <c r="D107" s="41" t="s">
        <v>14</v>
      </c>
      <c r="E107" s="27" t="s">
        <v>2602</v>
      </c>
      <c r="F107" s="27" t="s">
        <v>29</v>
      </c>
      <c r="G107" s="27" t="s">
        <v>21</v>
      </c>
      <c r="H107" s="28" t="s">
        <v>74</v>
      </c>
      <c r="I107" s="28" t="s">
        <v>26</v>
      </c>
      <c r="J107" s="28" t="s">
        <v>167</v>
      </c>
      <c r="K107" s="27" t="s">
        <v>2604</v>
      </c>
      <c r="L107" s="27" t="s">
        <v>2599</v>
      </c>
      <c r="M107" s="87">
        <v>202000</v>
      </c>
      <c r="N107" s="28" t="s">
        <v>172</v>
      </c>
      <c r="O107" s="28" t="s">
        <v>14</v>
      </c>
    </row>
    <row r="108" spans="1:15">
      <c r="A108" s="27" t="s">
        <v>2508</v>
      </c>
      <c r="B108" s="41" t="s">
        <v>2605</v>
      </c>
      <c r="C108" s="28" t="s">
        <v>2510</v>
      </c>
      <c r="D108" s="41" t="s">
        <v>14</v>
      </c>
      <c r="E108" s="27" t="s">
        <v>2602</v>
      </c>
      <c r="F108" s="27" t="s">
        <v>29</v>
      </c>
      <c r="G108" s="27" t="s">
        <v>21</v>
      </c>
      <c r="H108" s="28" t="s">
        <v>74</v>
      </c>
      <c r="I108" s="28" t="s">
        <v>42</v>
      </c>
      <c r="J108" s="28" t="s">
        <v>167</v>
      </c>
      <c r="K108" s="27" t="s">
        <v>2605</v>
      </c>
      <c r="L108" s="27" t="s">
        <v>2599</v>
      </c>
      <c r="M108" s="87">
        <v>241000</v>
      </c>
      <c r="N108" s="28" t="s">
        <v>172</v>
      </c>
      <c r="O108" s="28" t="s">
        <v>14</v>
      </c>
    </row>
    <row r="109" spans="1:15">
      <c r="A109" s="27" t="s">
        <v>2508</v>
      </c>
      <c r="B109" s="41" t="s">
        <v>2606</v>
      </c>
      <c r="C109" s="28" t="s">
        <v>2510</v>
      </c>
      <c r="D109" s="41" t="s">
        <v>14</v>
      </c>
      <c r="E109" s="27" t="s">
        <v>2602</v>
      </c>
      <c r="F109" s="27" t="s">
        <v>29</v>
      </c>
      <c r="G109" s="27" t="s">
        <v>21</v>
      </c>
      <c r="H109" s="28" t="s">
        <v>72</v>
      </c>
      <c r="I109" s="28" t="s">
        <v>26</v>
      </c>
      <c r="J109" s="28" t="s">
        <v>167</v>
      </c>
      <c r="K109" s="27" t="s">
        <v>2606</v>
      </c>
      <c r="L109" s="27" t="s">
        <v>2599</v>
      </c>
      <c r="M109" s="87">
        <v>202000</v>
      </c>
      <c r="N109" s="28" t="s">
        <v>172</v>
      </c>
      <c r="O109" s="28" t="s">
        <v>14</v>
      </c>
    </row>
    <row r="110" spans="1:15">
      <c r="A110" s="27" t="s">
        <v>2508</v>
      </c>
      <c r="B110" s="41" t="s">
        <v>2607</v>
      </c>
      <c r="C110" s="28" t="s">
        <v>2510</v>
      </c>
      <c r="D110" s="41" t="s">
        <v>14</v>
      </c>
      <c r="E110" s="27" t="s">
        <v>2602</v>
      </c>
      <c r="F110" s="27" t="s">
        <v>29</v>
      </c>
      <c r="G110" s="27" t="s">
        <v>21</v>
      </c>
      <c r="H110" s="28" t="s">
        <v>72</v>
      </c>
      <c r="I110" s="28" t="s">
        <v>42</v>
      </c>
      <c r="J110" s="28" t="s">
        <v>167</v>
      </c>
      <c r="K110" s="27" t="s">
        <v>2607</v>
      </c>
      <c r="L110" s="27" t="s">
        <v>2599</v>
      </c>
      <c r="M110" s="87">
        <v>247000</v>
      </c>
      <c r="N110" s="28" t="s">
        <v>172</v>
      </c>
      <c r="O110" s="28" t="s">
        <v>14</v>
      </c>
    </row>
  </sheetData>
  <mergeCells count="1">
    <mergeCell ref="A1:O1"/>
  </mergeCells>
  <conditionalFormatting sqref="A2">
    <cfRule type="duplicateValues" dxfId="39" priority="1"/>
  </conditionalFormatting>
  <conditionalFormatting sqref="A2:B2 B12:B1048576">
    <cfRule type="duplicateValues" dxfId="38" priority="3"/>
    <cfRule type="duplicateValues" dxfId="37" priority="4"/>
    <cfRule type="duplicateValues" dxfId="36" priority="5"/>
  </conditionalFormatting>
  <conditionalFormatting sqref="B2:B1048576">
    <cfRule type="duplicateValues" dxfId="35" priority="2"/>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workbookViewId="0">
      <selection activeCell="D31" sqref="D31"/>
    </sheetView>
  </sheetViews>
  <sheetFormatPr baseColWidth="10" defaultColWidth="11.54296875" defaultRowHeight="14.5"/>
  <cols>
    <col min="1" max="4" width="24.54296875" style="8" customWidth="1"/>
    <col min="5" max="5" width="68.08984375" style="8" customWidth="1"/>
    <col min="6" max="7" width="10.54296875" style="8" customWidth="1"/>
    <col min="8" max="8" width="12.54296875" style="8" customWidth="1"/>
    <col min="9" max="9" width="37.08984375" style="8" customWidth="1"/>
    <col min="10" max="10" width="60.90625" style="8" customWidth="1"/>
    <col min="11" max="11" width="18.54296875" style="8" bestFit="1" customWidth="1"/>
    <col min="12" max="12" width="15.453125" style="8" bestFit="1" customWidth="1"/>
    <col min="13" max="13" width="10.6328125" style="8" bestFit="1" customWidth="1"/>
    <col min="14" max="16384" width="11.54296875" style="8"/>
  </cols>
  <sheetData>
    <row r="1" spans="1:13" s="97" customFormat="1" ht="15">
      <c r="A1" s="96"/>
      <c r="B1" s="96"/>
      <c r="C1" s="96"/>
      <c r="D1" s="96"/>
      <c r="E1" s="96"/>
      <c r="F1" s="96"/>
      <c r="G1" s="96"/>
      <c r="H1" s="96"/>
      <c r="I1" s="96"/>
      <c r="K1" s="98"/>
      <c r="L1" s="99"/>
      <c r="M1" s="96"/>
    </row>
    <row r="2" spans="1:13" s="97" customFormat="1" ht="15">
      <c r="A2" s="99"/>
      <c r="B2" s="99"/>
      <c r="C2" s="99"/>
      <c r="D2" s="99"/>
      <c r="E2" s="99"/>
      <c r="F2" s="99"/>
      <c r="G2" s="99"/>
      <c r="H2" s="99"/>
      <c r="I2" s="99"/>
      <c r="K2" s="98"/>
      <c r="L2" s="99"/>
      <c r="M2" s="99"/>
    </row>
    <row r="3" spans="1:13" s="97" customFormat="1" ht="15">
      <c r="A3" s="99"/>
      <c r="B3" s="99"/>
      <c r="C3" s="99"/>
      <c r="D3" s="99"/>
      <c r="E3" s="99"/>
      <c r="F3" s="99"/>
      <c r="G3" s="99"/>
      <c r="H3" s="99"/>
      <c r="I3" s="99"/>
      <c r="K3" s="98"/>
      <c r="L3" s="99"/>
      <c r="M3" s="99"/>
    </row>
    <row r="4" spans="1:13" s="97" customFormat="1" ht="15">
      <c r="A4" s="99"/>
      <c r="B4" s="99"/>
      <c r="C4" s="99"/>
      <c r="D4" s="99"/>
      <c r="E4" s="99"/>
      <c r="F4" s="99"/>
      <c r="G4" s="99"/>
      <c r="H4" s="99"/>
      <c r="I4" s="99"/>
      <c r="K4" s="98"/>
      <c r="L4" s="99"/>
      <c r="M4" s="99"/>
    </row>
    <row r="5" spans="1:13" s="100" customFormat="1" ht="33" customHeight="1">
      <c r="A5" s="82" t="s">
        <v>1445</v>
      </c>
      <c r="B5" s="82" t="s">
        <v>1430</v>
      </c>
      <c r="C5" s="82" t="s">
        <v>1446</v>
      </c>
      <c r="D5" s="82" t="s">
        <v>4</v>
      </c>
      <c r="E5" s="82" t="s">
        <v>5</v>
      </c>
      <c r="F5" s="82" t="s">
        <v>6</v>
      </c>
      <c r="G5" s="82" t="s">
        <v>7</v>
      </c>
      <c r="H5" s="82" t="s">
        <v>8</v>
      </c>
      <c r="I5" s="82" t="s">
        <v>9</v>
      </c>
      <c r="J5" s="82" t="s">
        <v>1434</v>
      </c>
      <c r="K5" s="82" t="s">
        <v>1432</v>
      </c>
      <c r="L5" s="82" t="s">
        <v>1433</v>
      </c>
      <c r="M5" s="82" t="s">
        <v>3</v>
      </c>
    </row>
    <row r="6" spans="1:13">
      <c r="A6" s="27" t="s">
        <v>2615</v>
      </c>
      <c r="B6" s="27" t="s">
        <v>2616</v>
      </c>
      <c r="C6" s="27" t="s">
        <v>2617</v>
      </c>
      <c r="D6" s="27" t="s">
        <v>2618</v>
      </c>
      <c r="E6" s="27" t="s">
        <v>133</v>
      </c>
      <c r="F6" s="27" t="s">
        <v>21</v>
      </c>
      <c r="G6" s="28" t="s">
        <v>206</v>
      </c>
      <c r="H6" s="28" t="s">
        <v>26</v>
      </c>
      <c r="I6" s="28" t="s">
        <v>436</v>
      </c>
      <c r="J6" s="81" t="s">
        <v>516</v>
      </c>
      <c r="K6" s="101">
        <v>85000000</v>
      </c>
      <c r="L6" s="80" t="s">
        <v>2057</v>
      </c>
      <c r="M6" s="80" t="s">
        <v>14</v>
      </c>
    </row>
    <row r="7" spans="1:13">
      <c r="A7" s="27" t="s">
        <v>2615</v>
      </c>
      <c r="B7" s="27" t="s">
        <v>2619</v>
      </c>
      <c r="C7" s="27" t="s">
        <v>2617</v>
      </c>
      <c r="D7" s="27" t="s">
        <v>90</v>
      </c>
      <c r="E7" s="27" t="s">
        <v>91</v>
      </c>
      <c r="F7" s="27" t="s">
        <v>21</v>
      </c>
      <c r="G7" s="28" t="s">
        <v>206</v>
      </c>
      <c r="H7" s="28" t="s">
        <v>26</v>
      </c>
      <c r="I7" s="28" t="s">
        <v>166</v>
      </c>
      <c r="J7" s="81" t="s">
        <v>516</v>
      </c>
      <c r="K7" s="101">
        <v>2100000</v>
      </c>
      <c r="L7" s="80" t="s">
        <v>2057</v>
      </c>
      <c r="M7" s="80" t="s">
        <v>14</v>
      </c>
    </row>
    <row r="8" spans="1:13">
      <c r="A8" s="27" t="s">
        <v>2615</v>
      </c>
      <c r="B8" s="27" t="s">
        <v>2620</v>
      </c>
      <c r="C8" s="27" t="s">
        <v>2617</v>
      </c>
      <c r="D8" s="27" t="s">
        <v>98</v>
      </c>
      <c r="E8" s="27" t="s">
        <v>99</v>
      </c>
      <c r="F8" s="27" t="s">
        <v>21</v>
      </c>
      <c r="G8" s="28" t="s">
        <v>206</v>
      </c>
      <c r="H8" s="28" t="s">
        <v>26</v>
      </c>
      <c r="I8" s="28" t="s">
        <v>166</v>
      </c>
      <c r="J8" s="81" t="s">
        <v>516</v>
      </c>
      <c r="K8" s="101">
        <v>2100000</v>
      </c>
      <c r="L8" s="80" t="s">
        <v>2057</v>
      </c>
      <c r="M8" s="80" t="s">
        <v>14</v>
      </c>
    </row>
    <row r="9" spans="1:13">
      <c r="A9" s="27" t="s">
        <v>2615</v>
      </c>
      <c r="B9" s="27" t="s">
        <v>2621</v>
      </c>
      <c r="C9" s="27" t="s">
        <v>2617</v>
      </c>
      <c r="D9" s="27" t="s">
        <v>106</v>
      </c>
      <c r="E9" s="27" t="s">
        <v>91</v>
      </c>
      <c r="F9" s="27" t="s">
        <v>21</v>
      </c>
      <c r="G9" s="28" t="s">
        <v>206</v>
      </c>
      <c r="H9" s="28" t="s">
        <v>26</v>
      </c>
      <c r="I9" s="28" t="s">
        <v>166</v>
      </c>
      <c r="J9" s="81" t="s">
        <v>516</v>
      </c>
      <c r="K9" s="101">
        <v>2100000</v>
      </c>
      <c r="L9" s="80" t="s">
        <v>2057</v>
      </c>
      <c r="M9" s="80" t="s">
        <v>14</v>
      </c>
    </row>
    <row r="10" spans="1:13">
      <c r="A10" s="27" t="s">
        <v>2615</v>
      </c>
      <c r="B10" s="27" t="s">
        <v>2622</v>
      </c>
      <c r="C10" s="27" t="s">
        <v>2617</v>
      </c>
      <c r="D10" s="27" t="s">
        <v>113</v>
      </c>
      <c r="E10" s="27" t="s">
        <v>99</v>
      </c>
      <c r="F10" s="27" t="s">
        <v>21</v>
      </c>
      <c r="G10" s="28" t="s">
        <v>206</v>
      </c>
      <c r="H10" s="28" t="s">
        <v>26</v>
      </c>
      <c r="I10" s="28" t="s">
        <v>166</v>
      </c>
      <c r="J10" s="81" t="s">
        <v>516</v>
      </c>
      <c r="K10" s="101">
        <v>2100000</v>
      </c>
      <c r="L10" s="80" t="s">
        <v>2057</v>
      </c>
      <c r="M10" s="80" t="s">
        <v>14</v>
      </c>
    </row>
    <row r="11" spans="1:13">
      <c r="A11" s="27" t="s">
        <v>2615</v>
      </c>
      <c r="B11" s="27" t="s">
        <v>2623</v>
      </c>
      <c r="C11" s="27" t="s">
        <v>2617</v>
      </c>
      <c r="D11" s="27" t="s">
        <v>120</v>
      </c>
      <c r="E11" s="27" t="s">
        <v>29</v>
      </c>
      <c r="F11" s="27" t="s">
        <v>21</v>
      </c>
      <c r="G11" s="28" t="s">
        <v>206</v>
      </c>
      <c r="H11" s="28" t="s">
        <v>26</v>
      </c>
      <c r="I11" s="28" t="s">
        <v>436</v>
      </c>
      <c r="J11" s="81" t="s">
        <v>516</v>
      </c>
      <c r="K11" s="101">
        <v>18000000</v>
      </c>
      <c r="L11" s="80" t="s">
        <v>2057</v>
      </c>
      <c r="M11" s="80" t="s">
        <v>14</v>
      </c>
    </row>
    <row r="12" spans="1:13">
      <c r="A12" s="27" t="s">
        <v>2615</v>
      </c>
      <c r="B12" s="27" t="s">
        <v>2624</v>
      </c>
      <c r="C12" s="27" t="s">
        <v>2617</v>
      </c>
      <c r="D12" s="27" t="s">
        <v>127</v>
      </c>
      <c r="E12" s="27" t="s">
        <v>128</v>
      </c>
      <c r="F12" s="27" t="s">
        <v>21</v>
      </c>
      <c r="G12" s="28" t="s">
        <v>206</v>
      </c>
      <c r="H12" s="28" t="s">
        <v>42</v>
      </c>
      <c r="I12" s="28" t="s">
        <v>436</v>
      </c>
      <c r="J12" s="81" t="s">
        <v>516</v>
      </c>
      <c r="K12" s="101">
        <v>25000000</v>
      </c>
      <c r="L12" s="80" t="s">
        <v>2057</v>
      </c>
      <c r="M12" s="80" t="s">
        <v>14</v>
      </c>
    </row>
    <row r="13" spans="1:13">
      <c r="A13" s="27" t="s">
        <v>2615</v>
      </c>
      <c r="B13" s="27" t="s">
        <v>2625</v>
      </c>
      <c r="C13" s="27" t="s">
        <v>2617</v>
      </c>
      <c r="D13" s="27" t="s">
        <v>140</v>
      </c>
      <c r="E13" s="27" t="s">
        <v>133</v>
      </c>
      <c r="F13" s="27" t="s">
        <v>21</v>
      </c>
      <c r="G13" s="28" t="s">
        <v>206</v>
      </c>
      <c r="H13" s="28" t="s">
        <v>26</v>
      </c>
      <c r="I13" s="28" t="s">
        <v>436</v>
      </c>
      <c r="J13" s="81" t="s">
        <v>516</v>
      </c>
      <c r="K13" s="101">
        <v>18000000</v>
      </c>
      <c r="L13" s="80" t="s">
        <v>2057</v>
      </c>
      <c r="M13" s="80" t="s">
        <v>14</v>
      </c>
    </row>
    <row r="14" spans="1:13">
      <c r="A14" s="27" t="s">
        <v>2615</v>
      </c>
      <c r="B14" s="27" t="s">
        <v>2626</v>
      </c>
      <c r="C14" s="27" t="s">
        <v>2617</v>
      </c>
      <c r="D14" s="27" t="s">
        <v>148</v>
      </c>
      <c r="E14" s="27" t="s">
        <v>128</v>
      </c>
      <c r="F14" s="27" t="s">
        <v>21</v>
      </c>
      <c r="G14" s="28" t="s">
        <v>206</v>
      </c>
      <c r="H14" s="28" t="s">
        <v>42</v>
      </c>
      <c r="I14" s="28" t="s">
        <v>436</v>
      </c>
      <c r="J14" s="81" t="s">
        <v>516</v>
      </c>
      <c r="K14" s="101">
        <v>12000000</v>
      </c>
      <c r="L14" s="80" t="s">
        <v>2057</v>
      </c>
      <c r="M14" s="80" t="s">
        <v>14</v>
      </c>
    </row>
    <row r="15" spans="1:13">
      <c r="A15" s="27" t="s">
        <v>2615</v>
      </c>
      <c r="B15" s="27" t="s">
        <v>2627</v>
      </c>
      <c r="C15" s="27" t="s">
        <v>2617</v>
      </c>
      <c r="D15" s="27" t="s">
        <v>152</v>
      </c>
      <c r="E15" s="27" t="s">
        <v>29</v>
      </c>
      <c r="F15" s="27" t="s">
        <v>21</v>
      </c>
      <c r="G15" s="28" t="s">
        <v>206</v>
      </c>
      <c r="H15" s="28" t="s">
        <v>26</v>
      </c>
      <c r="I15" s="28" t="s">
        <v>436</v>
      </c>
      <c r="J15" s="81" t="s">
        <v>516</v>
      </c>
      <c r="K15" s="101">
        <v>570000</v>
      </c>
      <c r="L15" s="80" t="s">
        <v>2057</v>
      </c>
      <c r="M15" s="80" t="s">
        <v>14</v>
      </c>
    </row>
    <row r="16" spans="1:13">
      <c r="A16" s="27" t="s">
        <v>2615</v>
      </c>
      <c r="B16" s="27" t="s">
        <v>2628</v>
      </c>
      <c r="C16" s="27" t="s">
        <v>2617</v>
      </c>
      <c r="D16" s="27" t="s">
        <v>159</v>
      </c>
      <c r="E16" s="27" t="s">
        <v>29</v>
      </c>
      <c r="F16" s="27" t="s">
        <v>21</v>
      </c>
      <c r="G16" s="28" t="s">
        <v>206</v>
      </c>
      <c r="H16" s="28" t="s">
        <v>26</v>
      </c>
      <c r="I16" s="28" t="s">
        <v>436</v>
      </c>
      <c r="J16" s="81" t="s">
        <v>516</v>
      </c>
      <c r="K16" s="101">
        <v>570000</v>
      </c>
      <c r="L16" s="80" t="s">
        <v>2057</v>
      </c>
      <c r="M16" s="80" t="s">
        <v>14</v>
      </c>
    </row>
    <row r="17" spans="1:13">
      <c r="A17" s="27" t="s">
        <v>2615</v>
      </c>
      <c r="B17" s="27" t="s">
        <v>2629</v>
      </c>
      <c r="C17" s="27" t="s">
        <v>2617</v>
      </c>
      <c r="D17" s="27" t="s">
        <v>2630</v>
      </c>
      <c r="E17" s="27" t="s">
        <v>2631</v>
      </c>
      <c r="F17" s="27" t="s">
        <v>21</v>
      </c>
      <c r="G17" s="28" t="s">
        <v>206</v>
      </c>
      <c r="H17" s="28" t="s">
        <v>42</v>
      </c>
      <c r="I17" s="28" t="s">
        <v>436</v>
      </c>
      <c r="J17" s="81" t="s">
        <v>516</v>
      </c>
      <c r="K17" s="101">
        <v>1200000</v>
      </c>
      <c r="L17" s="80" t="s">
        <v>2057</v>
      </c>
      <c r="M17" s="80" t="s">
        <v>14</v>
      </c>
    </row>
    <row r="18" spans="1:13">
      <c r="A18" s="27" t="s">
        <v>2615</v>
      </c>
      <c r="B18" s="27" t="s">
        <v>2632</v>
      </c>
      <c r="C18" s="27" t="s">
        <v>2617</v>
      </c>
      <c r="D18" s="27" t="s">
        <v>2633</v>
      </c>
      <c r="E18" s="27" t="s">
        <v>2631</v>
      </c>
      <c r="F18" s="27" t="s">
        <v>21</v>
      </c>
      <c r="G18" s="28" t="s">
        <v>206</v>
      </c>
      <c r="H18" s="28" t="s">
        <v>42</v>
      </c>
      <c r="I18" s="28" t="s">
        <v>436</v>
      </c>
      <c r="J18" s="81" t="s">
        <v>516</v>
      </c>
      <c r="K18" s="101">
        <v>1200000</v>
      </c>
      <c r="L18" s="80" t="s">
        <v>2057</v>
      </c>
      <c r="M18" s="80" t="s">
        <v>14</v>
      </c>
    </row>
    <row r="19" spans="1:13">
      <c r="A19" s="27" t="s">
        <v>2615</v>
      </c>
      <c r="B19" s="27" t="s">
        <v>2634</v>
      </c>
      <c r="C19" s="27" t="s">
        <v>2617</v>
      </c>
      <c r="D19" s="27" t="s">
        <v>2635</v>
      </c>
      <c r="E19" s="27" t="s">
        <v>2631</v>
      </c>
      <c r="F19" s="27" t="s">
        <v>21</v>
      </c>
      <c r="G19" s="28" t="s">
        <v>206</v>
      </c>
      <c r="H19" s="28" t="s">
        <v>42</v>
      </c>
      <c r="I19" s="28" t="s">
        <v>436</v>
      </c>
      <c r="J19" s="81" t="s">
        <v>516</v>
      </c>
      <c r="K19" s="101">
        <v>1200000</v>
      </c>
      <c r="L19" s="80" t="s">
        <v>2057</v>
      </c>
      <c r="M19" s="80" t="s">
        <v>14</v>
      </c>
    </row>
    <row r="20" spans="1:13">
      <c r="A20" s="27" t="s">
        <v>2615</v>
      </c>
      <c r="B20" s="27" t="s">
        <v>2636</v>
      </c>
      <c r="C20" s="27" t="s">
        <v>2617</v>
      </c>
      <c r="D20" s="27" t="s">
        <v>2637</v>
      </c>
      <c r="E20" s="27" t="s">
        <v>2631</v>
      </c>
      <c r="F20" s="27" t="s">
        <v>21</v>
      </c>
      <c r="G20" s="28" t="s">
        <v>206</v>
      </c>
      <c r="H20" s="28" t="s">
        <v>42</v>
      </c>
      <c r="I20" s="28" t="s">
        <v>436</v>
      </c>
      <c r="J20" s="81" t="s">
        <v>516</v>
      </c>
      <c r="K20" s="101">
        <v>1600000</v>
      </c>
      <c r="L20" s="80" t="s">
        <v>2057</v>
      </c>
      <c r="M20" s="80" t="s">
        <v>14</v>
      </c>
    </row>
    <row r="21" spans="1:13">
      <c r="A21" s="27" t="s">
        <v>2615</v>
      </c>
      <c r="B21" s="27" t="s">
        <v>2638</v>
      </c>
      <c r="C21" s="27" t="s">
        <v>2617</v>
      </c>
      <c r="D21" s="27" t="s">
        <v>2639</v>
      </c>
      <c r="E21" s="27" t="s">
        <v>2631</v>
      </c>
      <c r="F21" s="27" t="s">
        <v>21</v>
      </c>
      <c r="G21" s="28" t="s">
        <v>206</v>
      </c>
      <c r="H21" s="28" t="s">
        <v>42</v>
      </c>
      <c r="I21" s="28" t="s">
        <v>436</v>
      </c>
      <c r="J21" s="81" t="s">
        <v>516</v>
      </c>
      <c r="K21" s="101">
        <v>350000</v>
      </c>
      <c r="L21" s="80" t="s">
        <v>2057</v>
      </c>
      <c r="M21" s="80" t="s">
        <v>14</v>
      </c>
    </row>
    <row r="22" spans="1:13">
      <c r="A22" s="27" t="s">
        <v>2615</v>
      </c>
      <c r="B22" s="27" t="s">
        <v>2640</v>
      </c>
      <c r="C22" s="27" t="s">
        <v>2617</v>
      </c>
      <c r="D22" s="27" t="s">
        <v>2641</v>
      </c>
      <c r="E22" s="27" t="s">
        <v>2631</v>
      </c>
      <c r="F22" s="27" t="s">
        <v>21</v>
      </c>
      <c r="G22" s="28" t="s">
        <v>206</v>
      </c>
      <c r="H22" s="28" t="s">
        <v>42</v>
      </c>
      <c r="I22" s="28" t="s">
        <v>436</v>
      </c>
      <c r="J22" s="81" t="s">
        <v>516</v>
      </c>
      <c r="K22" s="101">
        <v>450000</v>
      </c>
      <c r="L22" s="80" t="s">
        <v>2057</v>
      </c>
      <c r="M22" s="80" t="s">
        <v>14</v>
      </c>
    </row>
    <row r="23" spans="1:13">
      <c r="A23" s="27" t="s">
        <v>2615</v>
      </c>
      <c r="B23" s="27" t="s">
        <v>2642</v>
      </c>
      <c r="C23" s="27" t="s">
        <v>2617</v>
      </c>
      <c r="D23" s="27" t="s">
        <v>2643</v>
      </c>
      <c r="E23" s="27" t="s">
        <v>2631</v>
      </c>
      <c r="F23" s="27" t="s">
        <v>21</v>
      </c>
      <c r="G23" s="28" t="s">
        <v>206</v>
      </c>
      <c r="H23" s="28" t="s">
        <v>42</v>
      </c>
      <c r="I23" s="28" t="s">
        <v>436</v>
      </c>
      <c r="J23" s="81" t="s">
        <v>516</v>
      </c>
      <c r="K23" s="101">
        <v>892500</v>
      </c>
      <c r="L23" s="80" t="s">
        <v>2057</v>
      </c>
      <c r="M23" s="80" t="s">
        <v>14</v>
      </c>
    </row>
    <row r="24" spans="1:13">
      <c r="A24" s="27" t="s">
        <v>2615</v>
      </c>
      <c r="B24" s="27" t="s">
        <v>2644</v>
      </c>
      <c r="C24" s="27" t="s">
        <v>2617</v>
      </c>
      <c r="D24" s="27" t="s">
        <v>2645</v>
      </c>
      <c r="E24" s="27" t="s">
        <v>2631</v>
      </c>
      <c r="F24" s="27" t="s">
        <v>21</v>
      </c>
      <c r="G24" s="28" t="s">
        <v>206</v>
      </c>
      <c r="H24" s="28" t="s">
        <v>42</v>
      </c>
      <c r="I24" s="28" t="s">
        <v>436</v>
      </c>
      <c r="J24" s="81" t="s">
        <v>516</v>
      </c>
      <c r="K24" s="101">
        <v>80000</v>
      </c>
      <c r="L24" s="80" t="s">
        <v>2057</v>
      </c>
      <c r="M24" s="80" t="s">
        <v>14</v>
      </c>
    </row>
    <row r="25" spans="1:13">
      <c r="A25" s="27" t="s">
        <v>2615</v>
      </c>
      <c r="B25" s="27" t="s">
        <v>2646</v>
      </c>
      <c r="C25" s="27" t="s">
        <v>2617</v>
      </c>
      <c r="D25" s="27" t="s">
        <v>2647</v>
      </c>
      <c r="E25" s="27" t="s">
        <v>2648</v>
      </c>
      <c r="F25" s="27" t="s">
        <v>21</v>
      </c>
      <c r="G25" s="28" t="s">
        <v>206</v>
      </c>
      <c r="H25" s="28" t="s">
        <v>42</v>
      </c>
      <c r="I25" s="28" t="s">
        <v>436</v>
      </c>
      <c r="J25" s="81" t="s">
        <v>516</v>
      </c>
      <c r="K25" s="101">
        <v>5000000</v>
      </c>
      <c r="L25" s="80" t="s">
        <v>2057</v>
      </c>
      <c r="M25" s="80" t="s">
        <v>14</v>
      </c>
    </row>
    <row r="26" spans="1:13">
      <c r="A26" s="27" t="s">
        <v>2615</v>
      </c>
      <c r="B26" s="27" t="s">
        <v>2649</v>
      </c>
      <c r="C26" s="27" t="s">
        <v>2617</v>
      </c>
      <c r="D26" s="27" t="s">
        <v>2650</v>
      </c>
      <c r="E26" s="27" t="s">
        <v>2651</v>
      </c>
      <c r="F26" s="27" t="s">
        <v>21</v>
      </c>
      <c r="G26" s="28" t="s">
        <v>206</v>
      </c>
      <c r="H26" s="28" t="s">
        <v>42</v>
      </c>
      <c r="I26" s="28" t="s">
        <v>436</v>
      </c>
      <c r="J26" s="81" t="s">
        <v>516</v>
      </c>
      <c r="K26" s="101">
        <v>45000000</v>
      </c>
      <c r="L26" s="80" t="s">
        <v>2057</v>
      </c>
      <c r="M26" s="80" t="s">
        <v>14</v>
      </c>
    </row>
    <row r="27" spans="1:13">
      <c r="A27" s="27" t="s">
        <v>2615</v>
      </c>
      <c r="B27" s="27" t="s">
        <v>2652</v>
      </c>
      <c r="C27" s="27" t="s">
        <v>2617</v>
      </c>
      <c r="D27" s="27" t="s">
        <v>2653</v>
      </c>
      <c r="E27" s="27" t="s">
        <v>2651</v>
      </c>
      <c r="F27" s="27" t="s">
        <v>21</v>
      </c>
      <c r="G27" s="28" t="s">
        <v>206</v>
      </c>
      <c r="H27" s="28" t="s">
        <v>42</v>
      </c>
      <c r="I27" s="28" t="s">
        <v>436</v>
      </c>
      <c r="J27" s="81" t="s">
        <v>516</v>
      </c>
      <c r="K27" s="101">
        <v>85000000</v>
      </c>
      <c r="L27" s="80" t="s">
        <v>2057</v>
      </c>
      <c r="M27" s="80" t="s">
        <v>14</v>
      </c>
    </row>
    <row r="28" spans="1:13">
      <c r="A28" s="27" t="s">
        <v>2615</v>
      </c>
      <c r="B28" s="27" t="s">
        <v>2654</v>
      </c>
      <c r="C28" s="27" t="s">
        <v>2617</v>
      </c>
      <c r="D28" s="27" t="s">
        <v>2655</v>
      </c>
      <c r="E28" s="27" t="s">
        <v>2656</v>
      </c>
      <c r="F28" s="27" t="s">
        <v>21</v>
      </c>
      <c r="G28" s="28" t="s">
        <v>206</v>
      </c>
      <c r="H28" s="28" t="s">
        <v>42</v>
      </c>
      <c r="I28" s="28" t="s">
        <v>436</v>
      </c>
      <c r="J28" s="81" t="s">
        <v>516</v>
      </c>
      <c r="K28" s="101">
        <v>1250000</v>
      </c>
      <c r="L28" s="80" t="s">
        <v>2057</v>
      </c>
      <c r="M28" s="80" t="s">
        <v>14</v>
      </c>
    </row>
    <row r="29" spans="1:13">
      <c r="A29" s="27" t="s">
        <v>2615</v>
      </c>
      <c r="B29" s="27" t="s">
        <v>2657</v>
      </c>
      <c r="C29" s="27" t="s">
        <v>2617</v>
      </c>
      <c r="D29" s="27" t="s">
        <v>2658</v>
      </c>
      <c r="E29" s="27" t="s">
        <v>2659</v>
      </c>
      <c r="F29" s="27" t="s">
        <v>21</v>
      </c>
      <c r="G29" s="28" t="s">
        <v>206</v>
      </c>
      <c r="H29" s="28" t="s">
        <v>42</v>
      </c>
      <c r="I29" s="28" t="s">
        <v>436</v>
      </c>
      <c r="J29" s="81" t="s">
        <v>516</v>
      </c>
      <c r="K29" s="101">
        <v>200000</v>
      </c>
      <c r="L29" s="80" t="s">
        <v>2057</v>
      </c>
      <c r="M29" s="80" t="s">
        <v>14</v>
      </c>
    </row>
    <row r="30" spans="1:13">
      <c r="A30" s="27" t="s">
        <v>2615</v>
      </c>
      <c r="B30" s="27" t="s">
        <v>2660</v>
      </c>
      <c r="C30" s="27" t="s">
        <v>2617</v>
      </c>
      <c r="D30" s="27" t="s">
        <v>2661</v>
      </c>
      <c r="E30" s="27" t="s">
        <v>2659</v>
      </c>
      <c r="F30" s="27" t="s">
        <v>21</v>
      </c>
      <c r="G30" s="28" t="s">
        <v>206</v>
      </c>
      <c r="H30" s="28" t="s">
        <v>42</v>
      </c>
      <c r="I30" s="28" t="s">
        <v>436</v>
      </c>
      <c r="J30" s="81" t="s">
        <v>516</v>
      </c>
      <c r="K30" s="101">
        <v>350000</v>
      </c>
      <c r="L30" s="80" t="s">
        <v>2057</v>
      </c>
      <c r="M30" s="80" t="s">
        <v>14</v>
      </c>
    </row>
    <row r="31" spans="1:13">
      <c r="A31" s="27" t="s">
        <v>2615</v>
      </c>
      <c r="B31" s="27" t="s">
        <v>2662</v>
      </c>
      <c r="C31" s="27" t="s">
        <v>2617</v>
      </c>
      <c r="D31" s="27" t="s">
        <v>2663</v>
      </c>
      <c r="E31" s="27" t="s">
        <v>2651</v>
      </c>
      <c r="F31" s="27" t="s">
        <v>21</v>
      </c>
      <c r="G31" s="28" t="s">
        <v>206</v>
      </c>
      <c r="H31" s="28" t="s">
        <v>42</v>
      </c>
      <c r="I31" s="28" t="s">
        <v>436</v>
      </c>
      <c r="J31" s="81" t="s">
        <v>516</v>
      </c>
      <c r="K31" s="101">
        <v>15000000</v>
      </c>
      <c r="L31" s="80" t="s">
        <v>2057</v>
      </c>
      <c r="M31" s="80" t="s">
        <v>14</v>
      </c>
    </row>
    <row r="32" spans="1:13">
      <c r="A32" s="27" t="s">
        <v>2615</v>
      </c>
      <c r="B32" s="27" t="s">
        <v>2664</v>
      </c>
      <c r="C32" s="27" t="s">
        <v>2617</v>
      </c>
      <c r="D32" s="27" t="s">
        <v>2665</v>
      </c>
      <c r="E32" s="27" t="s">
        <v>2659</v>
      </c>
      <c r="F32" s="27" t="s">
        <v>21</v>
      </c>
      <c r="G32" s="28" t="s">
        <v>206</v>
      </c>
      <c r="H32" s="28" t="s">
        <v>42</v>
      </c>
      <c r="I32" s="28" t="s">
        <v>436</v>
      </c>
      <c r="J32" s="81" t="s">
        <v>516</v>
      </c>
      <c r="K32" s="101">
        <v>2500</v>
      </c>
      <c r="L32" s="80" t="s">
        <v>2057</v>
      </c>
      <c r="M32" s="80" t="s">
        <v>14</v>
      </c>
    </row>
    <row r="33" spans="1:13">
      <c r="A33" s="27" t="s">
        <v>2615</v>
      </c>
      <c r="B33" s="27" t="s">
        <v>2666</v>
      </c>
      <c r="C33" s="27" t="s">
        <v>2617</v>
      </c>
      <c r="D33" s="27" t="s">
        <v>2667</v>
      </c>
      <c r="E33" s="27" t="s">
        <v>133</v>
      </c>
      <c r="F33" s="27" t="s">
        <v>21</v>
      </c>
      <c r="G33" s="28" t="s">
        <v>206</v>
      </c>
      <c r="H33" s="28" t="s">
        <v>42</v>
      </c>
      <c r="I33" s="28" t="s">
        <v>436</v>
      </c>
      <c r="J33" s="81" t="s">
        <v>516</v>
      </c>
      <c r="K33" s="101">
        <v>12000000</v>
      </c>
      <c r="L33" s="80" t="s">
        <v>2057</v>
      </c>
      <c r="M33" s="80" t="s">
        <v>14</v>
      </c>
    </row>
    <row r="34" spans="1:13">
      <c r="A34" s="27" t="s">
        <v>2615</v>
      </c>
      <c r="B34" s="27" t="s">
        <v>2668</v>
      </c>
      <c r="C34" s="27" t="s">
        <v>2617</v>
      </c>
      <c r="D34" s="27" t="s">
        <v>2669</v>
      </c>
      <c r="E34" s="27" t="s">
        <v>2651</v>
      </c>
      <c r="F34" s="27" t="s">
        <v>21</v>
      </c>
      <c r="G34" s="28" t="s">
        <v>206</v>
      </c>
      <c r="H34" s="28" t="s">
        <v>42</v>
      </c>
      <c r="I34" s="28" t="s">
        <v>436</v>
      </c>
      <c r="J34" s="81" t="s">
        <v>516</v>
      </c>
      <c r="K34" s="101">
        <v>85000000</v>
      </c>
      <c r="L34" s="80" t="s">
        <v>2057</v>
      </c>
      <c r="M34" s="80" t="s">
        <v>14</v>
      </c>
    </row>
    <row r="35" spans="1:13">
      <c r="A35" s="27" t="s">
        <v>2615</v>
      </c>
      <c r="B35" s="27" t="s">
        <v>2670</v>
      </c>
      <c r="C35" s="27" t="s">
        <v>2617</v>
      </c>
      <c r="D35" s="27" t="s">
        <v>2671</v>
      </c>
      <c r="E35" s="27" t="s">
        <v>2651</v>
      </c>
      <c r="F35" s="27" t="s">
        <v>21</v>
      </c>
      <c r="G35" s="28" t="s">
        <v>206</v>
      </c>
      <c r="H35" s="28" t="s">
        <v>42</v>
      </c>
      <c r="I35" s="28" t="s">
        <v>436</v>
      </c>
      <c r="J35" s="81" t="s">
        <v>516</v>
      </c>
      <c r="K35" s="101">
        <v>15000000</v>
      </c>
      <c r="L35" s="80" t="s">
        <v>2057</v>
      </c>
      <c r="M35" s="80" t="s">
        <v>14</v>
      </c>
    </row>
    <row r="36" spans="1:13">
      <c r="A36" s="27" t="s">
        <v>2615</v>
      </c>
      <c r="B36" s="27" t="s">
        <v>2672</v>
      </c>
      <c r="C36" s="27" t="s">
        <v>2617</v>
      </c>
      <c r="D36" s="27" t="s">
        <v>2673</v>
      </c>
      <c r="E36" s="27" t="s">
        <v>2651</v>
      </c>
      <c r="F36" s="27" t="s">
        <v>21</v>
      </c>
      <c r="G36" s="28" t="s">
        <v>206</v>
      </c>
      <c r="H36" s="28" t="s">
        <v>42</v>
      </c>
      <c r="I36" s="28" t="s">
        <v>436</v>
      </c>
      <c r="J36" s="81" t="s">
        <v>516</v>
      </c>
      <c r="K36" s="101">
        <v>15000000</v>
      </c>
      <c r="L36" s="80" t="s">
        <v>2057</v>
      </c>
      <c r="M36" s="80" t="s">
        <v>14</v>
      </c>
    </row>
    <row r="37" spans="1:13">
      <c r="A37" s="27" t="s">
        <v>2615</v>
      </c>
      <c r="B37" s="27" t="s">
        <v>2674</v>
      </c>
      <c r="C37" s="27" t="s">
        <v>2617</v>
      </c>
      <c r="D37" s="27" t="s">
        <v>2675</v>
      </c>
      <c r="E37" s="27" t="s">
        <v>2651</v>
      </c>
      <c r="F37" s="27" t="s">
        <v>21</v>
      </c>
      <c r="G37" s="28" t="s">
        <v>206</v>
      </c>
      <c r="H37" s="28" t="s">
        <v>42</v>
      </c>
      <c r="I37" s="28" t="s">
        <v>436</v>
      </c>
      <c r="J37" s="81" t="s">
        <v>516</v>
      </c>
      <c r="K37" s="101">
        <v>15000000</v>
      </c>
      <c r="L37" s="80" t="s">
        <v>2057</v>
      </c>
      <c r="M37" s="80" t="s">
        <v>14</v>
      </c>
    </row>
    <row r="38" spans="1:13">
      <c r="A38" s="27" t="s">
        <v>2615</v>
      </c>
      <c r="B38" s="27" t="s">
        <v>2676</v>
      </c>
      <c r="C38" s="27" t="s">
        <v>2617</v>
      </c>
      <c r="D38" s="27" t="s">
        <v>2677</v>
      </c>
      <c r="E38" s="27" t="s">
        <v>2651</v>
      </c>
      <c r="F38" s="27" t="s">
        <v>21</v>
      </c>
      <c r="G38" s="28" t="s">
        <v>206</v>
      </c>
      <c r="H38" s="28" t="s">
        <v>42</v>
      </c>
      <c r="I38" s="28" t="s">
        <v>436</v>
      </c>
      <c r="J38" s="81" t="s">
        <v>516</v>
      </c>
      <c r="K38" s="101">
        <v>15000000</v>
      </c>
      <c r="L38" s="80" t="s">
        <v>2057</v>
      </c>
      <c r="M38" s="80" t="s">
        <v>14</v>
      </c>
    </row>
    <row r="39" spans="1:13">
      <c r="A39" s="27" t="s">
        <v>2615</v>
      </c>
      <c r="B39" s="27" t="s">
        <v>2678</v>
      </c>
      <c r="C39" s="27" t="s">
        <v>2617</v>
      </c>
      <c r="D39" s="27" t="s">
        <v>2679</v>
      </c>
      <c r="E39" s="27" t="s">
        <v>133</v>
      </c>
      <c r="F39" s="27" t="s">
        <v>21</v>
      </c>
      <c r="G39" s="28" t="s">
        <v>206</v>
      </c>
      <c r="H39" s="28" t="s">
        <v>42</v>
      </c>
      <c r="I39" s="28" t="s">
        <v>436</v>
      </c>
      <c r="J39" s="81" t="s">
        <v>516</v>
      </c>
      <c r="K39" s="101">
        <v>5000</v>
      </c>
      <c r="L39" s="80" t="s">
        <v>2057</v>
      </c>
      <c r="M39" s="80" t="s">
        <v>14</v>
      </c>
    </row>
    <row r="40" spans="1:13">
      <c r="A40" s="27" t="s">
        <v>2615</v>
      </c>
      <c r="B40" s="27" t="s">
        <v>2680</v>
      </c>
      <c r="C40" s="27" t="s">
        <v>2617</v>
      </c>
      <c r="D40" s="27" t="s">
        <v>2681</v>
      </c>
      <c r="E40" s="27" t="s">
        <v>133</v>
      </c>
      <c r="F40" s="27" t="s">
        <v>21</v>
      </c>
      <c r="G40" s="28" t="s">
        <v>206</v>
      </c>
      <c r="H40" s="28" t="s">
        <v>42</v>
      </c>
      <c r="I40" s="28" t="s">
        <v>436</v>
      </c>
      <c r="J40" s="81" t="s">
        <v>516</v>
      </c>
      <c r="K40" s="101">
        <v>5000</v>
      </c>
      <c r="L40" s="80" t="s">
        <v>2057</v>
      </c>
      <c r="M40" s="80" t="s">
        <v>14</v>
      </c>
    </row>
    <row r="41" spans="1:13">
      <c r="A41" s="27" t="s">
        <v>2615</v>
      </c>
      <c r="B41" s="27" t="s">
        <v>2682</v>
      </c>
      <c r="C41" s="27" t="s">
        <v>2617</v>
      </c>
      <c r="D41" s="27" t="s">
        <v>2683</v>
      </c>
      <c r="E41" s="27" t="s">
        <v>2651</v>
      </c>
      <c r="F41" s="27" t="s">
        <v>21</v>
      </c>
      <c r="G41" s="28" t="s">
        <v>206</v>
      </c>
      <c r="H41" s="28" t="s">
        <v>42</v>
      </c>
      <c r="I41" s="28" t="s">
        <v>436</v>
      </c>
      <c r="J41" s="81" t="s">
        <v>516</v>
      </c>
      <c r="K41" s="101">
        <v>15000000</v>
      </c>
      <c r="L41" s="80" t="s">
        <v>2057</v>
      </c>
      <c r="M41" s="80" t="s">
        <v>14</v>
      </c>
    </row>
    <row r="42" spans="1:13">
      <c r="A42" s="27" t="s">
        <v>2615</v>
      </c>
      <c r="B42" s="27" t="s">
        <v>2684</v>
      </c>
      <c r="C42" s="27" t="s">
        <v>2617</v>
      </c>
      <c r="D42" s="27" t="s">
        <v>2685</v>
      </c>
      <c r="E42" s="27" t="s">
        <v>133</v>
      </c>
      <c r="F42" s="27" t="s">
        <v>21</v>
      </c>
      <c r="G42" s="28" t="s">
        <v>206</v>
      </c>
      <c r="H42" s="28" t="s">
        <v>42</v>
      </c>
      <c r="I42" s="28" t="s">
        <v>436</v>
      </c>
      <c r="J42" s="81" t="s">
        <v>516</v>
      </c>
      <c r="K42" s="101">
        <v>19056</v>
      </c>
      <c r="L42" s="80" t="s">
        <v>2057</v>
      </c>
      <c r="M42" s="80" t="s">
        <v>175</v>
      </c>
    </row>
    <row r="43" spans="1:13">
      <c r="A43" s="27" t="s">
        <v>2615</v>
      </c>
      <c r="B43" s="27" t="s">
        <v>2686</v>
      </c>
      <c r="C43" s="27" t="s">
        <v>2617</v>
      </c>
      <c r="D43" s="27" t="s">
        <v>2687</v>
      </c>
      <c r="E43" s="27" t="s">
        <v>133</v>
      </c>
      <c r="F43" s="27" t="s">
        <v>21</v>
      </c>
      <c r="G43" s="28" t="s">
        <v>206</v>
      </c>
      <c r="H43" s="28" t="s">
        <v>42</v>
      </c>
      <c r="I43" s="28" t="s">
        <v>436</v>
      </c>
      <c r="J43" s="81" t="s">
        <v>516</v>
      </c>
      <c r="K43" s="101">
        <v>19056</v>
      </c>
      <c r="L43" s="80" t="s">
        <v>2057</v>
      </c>
      <c r="M43" s="80" t="s">
        <v>175</v>
      </c>
    </row>
    <row r="44" spans="1:13">
      <c r="A44" s="27" t="s">
        <v>2615</v>
      </c>
      <c r="B44" s="27" t="s">
        <v>2688</v>
      </c>
      <c r="C44" s="27" t="s">
        <v>2617</v>
      </c>
      <c r="D44" s="27" t="s">
        <v>2689</v>
      </c>
      <c r="E44" s="27" t="s">
        <v>133</v>
      </c>
      <c r="F44" s="27" t="s">
        <v>21</v>
      </c>
      <c r="G44" s="28" t="s">
        <v>206</v>
      </c>
      <c r="H44" s="28" t="s">
        <v>42</v>
      </c>
      <c r="I44" s="28" t="s">
        <v>436</v>
      </c>
      <c r="J44" s="81" t="s">
        <v>516</v>
      </c>
      <c r="K44" s="101">
        <v>19056</v>
      </c>
      <c r="L44" s="80" t="s">
        <v>2057</v>
      </c>
      <c r="M44" s="80" t="s">
        <v>175</v>
      </c>
    </row>
    <row r="45" spans="1:13">
      <c r="A45" s="27" t="s">
        <v>2615</v>
      </c>
      <c r="B45" s="27" t="s">
        <v>2690</v>
      </c>
      <c r="C45" s="27" t="s">
        <v>2617</v>
      </c>
      <c r="D45" s="27" t="s">
        <v>2691</v>
      </c>
      <c r="E45" s="27" t="s">
        <v>133</v>
      </c>
      <c r="F45" s="27" t="s">
        <v>21</v>
      </c>
      <c r="G45" s="28" t="s">
        <v>206</v>
      </c>
      <c r="H45" s="28" t="s">
        <v>42</v>
      </c>
      <c r="I45" s="28" t="s">
        <v>436</v>
      </c>
      <c r="J45" s="81" t="s">
        <v>516</v>
      </c>
      <c r="K45" s="101">
        <v>19056</v>
      </c>
      <c r="L45" s="80" t="s">
        <v>2057</v>
      </c>
      <c r="M45" s="80" t="s">
        <v>175</v>
      </c>
    </row>
    <row r="46" spans="1:13">
      <c r="A46" s="27" t="s">
        <v>2615</v>
      </c>
      <c r="B46" s="27" t="s">
        <v>2692</v>
      </c>
      <c r="C46" s="27" t="s">
        <v>2617</v>
      </c>
      <c r="D46" s="27" t="s">
        <v>2693</v>
      </c>
      <c r="E46" s="27" t="s">
        <v>133</v>
      </c>
      <c r="F46" s="27" t="s">
        <v>21</v>
      </c>
      <c r="G46" s="28" t="s">
        <v>206</v>
      </c>
      <c r="H46" s="28" t="s">
        <v>42</v>
      </c>
      <c r="I46" s="28" t="s">
        <v>436</v>
      </c>
      <c r="J46" s="81" t="s">
        <v>516</v>
      </c>
      <c r="K46" s="101">
        <v>19056</v>
      </c>
      <c r="L46" s="80" t="s">
        <v>2057</v>
      </c>
      <c r="M46" s="80" t="s">
        <v>175</v>
      </c>
    </row>
    <row r="47" spans="1:13">
      <c r="A47" s="27" t="s">
        <v>2615</v>
      </c>
      <c r="B47" s="27" t="s">
        <v>2694</v>
      </c>
      <c r="C47" s="27" t="s">
        <v>2617</v>
      </c>
      <c r="D47" s="27" t="s">
        <v>2695</v>
      </c>
      <c r="E47" s="27" t="s">
        <v>133</v>
      </c>
      <c r="F47" s="27" t="s">
        <v>21</v>
      </c>
      <c r="G47" s="28" t="s">
        <v>206</v>
      </c>
      <c r="H47" s="28" t="s">
        <v>42</v>
      </c>
      <c r="I47" s="28" t="s">
        <v>436</v>
      </c>
      <c r="J47" s="81" t="s">
        <v>516</v>
      </c>
      <c r="K47" s="101">
        <v>19056</v>
      </c>
      <c r="L47" s="80" t="s">
        <v>2057</v>
      </c>
      <c r="M47" s="80" t="s">
        <v>175</v>
      </c>
    </row>
    <row r="48" spans="1:13">
      <c r="A48" s="27" t="s">
        <v>2615</v>
      </c>
      <c r="B48" s="27" t="s">
        <v>2696</v>
      </c>
      <c r="C48" s="27" t="s">
        <v>2617</v>
      </c>
      <c r="D48" s="27" t="s">
        <v>2697</v>
      </c>
      <c r="E48" s="27" t="s">
        <v>133</v>
      </c>
      <c r="F48" s="27" t="s">
        <v>21</v>
      </c>
      <c r="G48" s="28" t="s">
        <v>206</v>
      </c>
      <c r="H48" s="28" t="s">
        <v>42</v>
      </c>
      <c r="I48" s="28" t="s">
        <v>436</v>
      </c>
      <c r="J48" s="81" t="s">
        <v>516</v>
      </c>
      <c r="K48" s="101">
        <v>19056</v>
      </c>
      <c r="L48" s="80" t="s">
        <v>2057</v>
      </c>
      <c r="M48" s="80" t="s">
        <v>175</v>
      </c>
    </row>
    <row r="49" spans="1:13">
      <c r="A49" s="27" t="s">
        <v>2615</v>
      </c>
      <c r="B49" s="27" t="s">
        <v>2698</v>
      </c>
      <c r="C49" s="27" t="s">
        <v>2617</v>
      </c>
      <c r="D49" s="27" t="s">
        <v>2699</v>
      </c>
      <c r="E49" s="27" t="s">
        <v>133</v>
      </c>
      <c r="F49" s="27" t="s">
        <v>21</v>
      </c>
      <c r="G49" s="28" t="s">
        <v>206</v>
      </c>
      <c r="H49" s="28" t="s">
        <v>42</v>
      </c>
      <c r="I49" s="28" t="s">
        <v>436</v>
      </c>
      <c r="J49" s="81" t="s">
        <v>516</v>
      </c>
      <c r="K49" s="101">
        <v>19056</v>
      </c>
      <c r="L49" s="80" t="s">
        <v>2057</v>
      </c>
      <c r="M49" s="80" t="s">
        <v>175</v>
      </c>
    </row>
    <row r="50" spans="1:13">
      <c r="A50" s="27" t="s">
        <v>2615</v>
      </c>
      <c r="B50" s="27" t="s">
        <v>2700</v>
      </c>
      <c r="C50" s="27" t="s">
        <v>2617</v>
      </c>
      <c r="D50" s="27" t="s">
        <v>2701</v>
      </c>
      <c r="E50" s="27" t="s">
        <v>133</v>
      </c>
      <c r="F50" s="27" t="s">
        <v>21</v>
      </c>
      <c r="G50" s="28" t="s">
        <v>206</v>
      </c>
      <c r="H50" s="28" t="s">
        <v>42</v>
      </c>
      <c r="I50" s="28" t="s">
        <v>436</v>
      </c>
      <c r="J50" s="81" t="s">
        <v>516</v>
      </c>
      <c r="K50" s="101">
        <v>19056</v>
      </c>
      <c r="L50" s="80" t="s">
        <v>2057</v>
      </c>
      <c r="M50" s="80" t="s">
        <v>175</v>
      </c>
    </row>
    <row r="51" spans="1:13">
      <c r="A51" s="27" t="s">
        <v>2615</v>
      </c>
      <c r="B51" s="27" t="s">
        <v>2702</v>
      </c>
      <c r="C51" s="27" t="s">
        <v>2617</v>
      </c>
      <c r="D51" s="27" t="s">
        <v>2703</v>
      </c>
      <c r="E51" s="27" t="s">
        <v>133</v>
      </c>
      <c r="F51" s="27" t="s">
        <v>21</v>
      </c>
      <c r="G51" s="28" t="s">
        <v>206</v>
      </c>
      <c r="H51" s="28" t="s">
        <v>42</v>
      </c>
      <c r="I51" s="28" t="s">
        <v>436</v>
      </c>
      <c r="J51" s="81" t="s">
        <v>516</v>
      </c>
      <c r="K51" s="101">
        <v>19056</v>
      </c>
      <c r="L51" s="80" t="s">
        <v>2057</v>
      </c>
      <c r="M51" s="80" t="s">
        <v>175</v>
      </c>
    </row>
    <row r="52" spans="1:13">
      <c r="A52" s="27" t="s">
        <v>2615</v>
      </c>
      <c r="B52" s="27" t="s">
        <v>2704</v>
      </c>
      <c r="C52" s="27" t="s">
        <v>2617</v>
      </c>
      <c r="D52" s="27" t="s">
        <v>2705</v>
      </c>
      <c r="E52" s="27" t="s">
        <v>133</v>
      </c>
      <c r="F52" s="27" t="s">
        <v>21</v>
      </c>
      <c r="G52" s="28" t="s">
        <v>206</v>
      </c>
      <c r="H52" s="28" t="s">
        <v>42</v>
      </c>
      <c r="I52" s="28" t="s">
        <v>436</v>
      </c>
      <c r="J52" s="81" t="s">
        <v>516</v>
      </c>
      <c r="K52" s="101">
        <v>66000</v>
      </c>
      <c r="L52" s="80" t="s">
        <v>2057</v>
      </c>
      <c r="M52" s="80" t="s">
        <v>175</v>
      </c>
    </row>
    <row r="53" spans="1:13">
      <c r="A53" s="27" t="s">
        <v>2615</v>
      </c>
      <c r="B53" s="27" t="s">
        <v>2706</v>
      </c>
      <c r="C53" s="27" t="s">
        <v>2617</v>
      </c>
      <c r="D53" s="27" t="s">
        <v>2707</v>
      </c>
      <c r="E53" s="27" t="s">
        <v>133</v>
      </c>
      <c r="F53" s="27" t="s">
        <v>21</v>
      </c>
      <c r="G53" s="28" t="s">
        <v>206</v>
      </c>
      <c r="H53" s="28" t="s">
        <v>42</v>
      </c>
      <c r="I53" s="28" t="s">
        <v>436</v>
      </c>
      <c r="J53" s="81" t="s">
        <v>516</v>
      </c>
      <c r="K53" s="101">
        <v>55000</v>
      </c>
      <c r="L53" s="80" t="s">
        <v>2057</v>
      </c>
      <c r="M53" s="80" t="s">
        <v>175</v>
      </c>
    </row>
    <row r="54" spans="1:13">
      <c r="A54" s="27" t="s">
        <v>2615</v>
      </c>
      <c r="B54" s="27" t="s">
        <v>2708</v>
      </c>
      <c r="C54" s="27" t="s">
        <v>2617</v>
      </c>
      <c r="D54" s="27" t="s">
        <v>2709</v>
      </c>
      <c r="E54" s="27" t="s">
        <v>133</v>
      </c>
      <c r="F54" s="27" t="s">
        <v>21</v>
      </c>
      <c r="G54" s="28" t="s">
        <v>206</v>
      </c>
      <c r="H54" s="28" t="s">
        <v>42</v>
      </c>
      <c r="I54" s="28" t="s">
        <v>436</v>
      </c>
      <c r="J54" s="81" t="s">
        <v>516</v>
      </c>
      <c r="K54" s="101">
        <v>25000</v>
      </c>
      <c r="L54" s="80" t="s">
        <v>2057</v>
      </c>
      <c r="M54" s="80" t="s">
        <v>175</v>
      </c>
    </row>
    <row r="55" spans="1:13">
      <c r="A55" s="27" t="s">
        <v>2615</v>
      </c>
      <c r="B55" s="27" t="s">
        <v>2710</v>
      </c>
      <c r="C55" s="27" t="s">
        <v>2617</v>
      </c>
      <c r="D55" s="27" t="s">
        <v>2711</v>
      </c>
      <c r="E55" s="27" t="s">
        <v>133</v>
      </c>
      <c r="F55" s="27" t="s">
        <v>21</v>
      </c>
      <c r="G55" s="28" t="s">
        <v>206</v>
      </c>
      <c r="H55" s="28" t="s">
        <v>42</v>
      </c>
      <c r="I55" s="28" t="s">
        <v>436</v>
      </c>
      <c r="J55" s="81" t="s">
        <v>516</v>
      </c>
      <c r="K55" s="101">
        <v>25000</v>
      </c>
      <c r="L55" s="80" t="s">
        <v>2057</v>
      </c>
      <c r="M55" s="80" t="s">
        <v>175</v>
      </c>
    </row>
    <row r="56" spans="1:13">
      <c r="A56" s="27" t="s">
        <v>2615</v>
      </c>
      <c r="B56" s="27" t="s">
        <v>2712</v>
      </c>
      <c r="C56" s="27" t="s">
        <v>2617</v>
      </c>
      <c r="D56" s="27" t="s">
        <v>2713</v>
      </c>
      <c r="E56" s="27" t="s">
        <v>29</v>
      </c>
      <c r="F56" s="27" t="s">
        <v>21</v>
      </c>
      <c r="G56" s="28" t="s">
        <v>206</v>
      </c>
      <c r="H56" s="28" t="s">
        <v>42</v>
      </c>
      <c r="I56" s="28" t="s">
        <v>436</v>
      </c>
      <c r="J56" s="81" t="s">
        <v>516</v>
      </c>
      <c r="K56" s="101">
        <v>150</v>
      </c>
      <c r="L56" s="80" t="s">
        <v>2057</v>
      </c>
      <c r="M56" s="80" t="s">
        <v>175</v>
      </c>
    </row>
    <row r="57" spans="1:13">
      <c r="A57" s="27" t="s">
        <v>2615</v>
      </c>
      <c r="B57" s="27" t="s">
        <v>2714</v>
      </c>
      <c r="C57" s="27" t="s">
        <v>2617</v>
      </c>
      <c r="D57" s="27" t="s">
        <v>2715</v>
      </c>
      <c r="E57" s="27" t="s">
        <v>2659</v>
      </c>
      <c r="F57" s="27" t="s">
        <v>21</v>
      </c>
      <c r="G57" s="28" t="s">
        <v>206</v>
      </c>
      <c r="H57" s="28" t="s">
        <v>42</v>
      </c>
      <c r="I57" s="28" t="s">
        <v>436</v>
      </c>
      <c r="J57" s="81" t="s">
        <v>516</v>
      </c>
      <c r="K57" s="101">
        <v>2500</v>
      </c>
      <c r="L57" s="80" t="s">
        <v>2057</v>
      </c>
      <c r="M57" s="80" t="s">
        <v>14</v>
      </c>
    </row>
    <row r="58" spans="1:13">
      <c r="A58" s="27" t="s">
        <v>2615</v>
      </c>
      <c r="B58" s="27" t="s">
        <v>2716</v>
      </c>
      <c r="C58" s="27" t="s">
        <v>2617</v>
      </c>
      <c r="D58" s="27" t="s">
        <v>2717</v>
      </c>
      <c r="E58" s="27" t="s">
        <v>2659</v>
      </c>
      <c r="F58" s="27" t="s">
        <v>21</v>
      </c>
      <c r="G58" s="28" t="s">
        <v>206</v>
      </c>
      <c r="H58" s="28" t="s">
        <v>42</v>
      </c>
      <c r="I58" s="28" t="s">
        <v>436</v>
      </c>
      <c r="J58" s="81" t="s">
        <v>516</v>
      </c>
      <c r="K58" s="101">
        <v>2500</v>
      </c>
      <c r="L58" s="80" t="s">
        <v>2057</v>
      </c>
      <c r="M58" s="80" t="s">
        <v>14</v>
      </c>
    </row>
    <row r="59" spans="1:13">
      <c r="A59" s="27" t="s">
        <v>2615</v>
      </c>
      <c r="B59" s="27" t="s">
        <v>2718</v>
      </c>
      <c r="C59" s="27" t="s">
        <v>2617</v>
      </c>
      <c r="D59" s="27" t="s">
        <v>2719</v>
      </c>
      <c r="E59" s="27" t="s">
        <v>2659</v>
      </c>
      <c r="F59" s="27" t="s">
        <v>21</v>
      </c>
      <c r="G59" s="28" t="s">
        <v>206</v>
      </c>
      <c r="H59" s="28" t="s">
        <v>42</v>
      </c>
      <c r="I59" s="28" t="s">
        <v>436</v>
      </c>
      <c r="J59" s="81" t="s">
        <v>516</v>
      </c>
      <c r="K59" s="101">
        <v>2500</v>
      </c>
      <c r="L59" s="80" t="s">
        <v>2057</v>
      </c>
      <c r="M59" s="80" t="s">
        <v>14</v>
      </c>
    </row>
    <row r="60" spans="1:13">
      <c r="A60" s="27" t="s">
        <v>2615</v>
      </c>
      <c r="B60" s="27" t="s">
        <v>2720</v>
      </c>
      <c r="C60" s="27" t="s">
        <v>2617</v>
      </c>
      <c r="D60" s="27" t="s">
        <v>2721</v>
      </c>
      <c r="E60" s="27" t="s">
        <v>133</v>
      </c>
      <c r="F60" s="27" t="s">
        <v>21</v>
      </c>
      <c r="G60" s="28" t="s">
        <v>206</v>
      </c>
      <c r="H60" s="28" t="s">
        <v>42</v>
      </c>
      <c r="I60" s="28" t="s">
        <v>436</v>
      </c>
      <c r="J60" s="81" t="s">
        <v>516</v>
      </c>
      <c r="K60" s="101">
        <v>45000000</v>
      </c>
      <c r="L60" s="80" t="s">
        <v>2057</v>
      </c>
      <c r="M60" s="80" t="s">
        <v>14</v>
      </c>
    </row>
    <row r="61" spans="1:13">
      <c r="A61" s="27" t="s">
        <v>2615</v>
      </c>
      <c r="B61" s="27" t="s">
        <v>2722</v>
      </c>
      <c r="C61" s="27" t="s">
        <v>2617</v>
      </c>
      <c r="D61" s="27" t="s">
        <v>2723</v>
      </c>
      <c r="E61" s="27" t="s">
        <v>2659</v>
      </c>
      <c r="F61" s="27" t="s">
        <v>21</v>
      </c>
      <c r="G61" s="28" t="s">
        <v>206</v>
      </c>
      <c r="H61" s="28" t="s">
        <v>42</v>
      </c>
      <c r="I61" s="28" t="s">
        <v>436</v>
      </c>
      <c r="J61" s="81" t="s">
        <v>516</v>
      </c>
      <c r="K61" s="101">
        <v>2500</v>
      </c>
      <c r="L61" s="80" t="s">
        <v>2057</v>
      </c>
      <c r="M61" s="80" t="s">
        <v>14</v>
      </c>
    </row>
    <row r="62" spans="1:13">
      <c r="A62" s="27" t="s">
        <v>2615</v>
      </c>
      <c r="B62" s="27" t="s">
        <v>2724</v>
      </c>
      <c r="C62" s="27" t="s">
        <v>2617</v>
      </c>
      <c r="D62" s="27" t="s">
        <v>2725</v>
      </c>
      <c r="E62" s="27" t="s">
        <v>2659</v>
      </c>
      <c r="F62" s="27" t="s">
        <v>21</v>
      </c>
      <c r="G62" s="28" t="s">
        <v>206</v>
      </c>
      <c r="H62" s="28" t="s">
        <v>42</v>
      </c>
      <c r="I62" s="28" t="s">
        <v>436</v>
      </c>
      <c r="J62" s="81" t="s">
        <v>516</v>
      </c>
      <c r="K62" s="101">
        <v>2500</v>
      </c>
      <c r="L62" s="80" t="s">
        <v>2057</v>
      </c>
      <c r="M62" s="80" t="s">
        <v>14</v>
      </c>
    </row>
    <row r="63" spans="1:13">
      <c r="A63" s="27" t="s">
        <v>2615</v>
      </c>
      <c r="B63" s="27" t="s">
        <v>2726</v>
      </c>
      <c r="C63" s="27" t="s">
        <v>2617</v>
      </c>
      <c r="D63" s="27" t="s">
        <v>2727</v>
      </c>
      <c r="E63" s="27" t="s">
        <v>2659</v>
      </c>
      <c r="F63" s="27" t="s">
        <v>21</v>
      </c>
      <c r="G63" s="28" t="s">
        <v>206</v>
      </c>
      <c r="H63" s="28" t="s">
        <v>42</v>
      </c>
      <c r="I63" s="28" t="s">
        <v>436</v>
      </c>
      <c r="J63" s="81" t="s">
        <v>516</v>
      </c>
      <c r="K63" s="101">
        <v>2500</v>
      </c>
      <c r="L63" s="80" t="s">
        <v>2057</v>
      </c>
      <c r="M63" s="80" t="s">
        <v>14</v>
      </c>
    </row>
    <row r="64" spans="1:13">
      <c r="A64" s="27" t="s">
        <v>2615</v>
      </c>
      <c r="B64" s="27" t="s">
        <v>2728</v>
      </c>
      <c r="C64" s="27" t="s">
        <v>2617</v>
      </c>
      <c r="D64" s="27" t="s">
        <v>2729</v>
      </c>
      <c r="E64" s="27" t="s">
        <v>2659</v>
      </c>
      <c r="F64" s="27" t="s">
        <v>21</v>
      </c>
      <c r="G64" s="28" t="s">
        <v>206</v>
      </c>
      <c r="H64" s="28" t="s">
        <v>42</v>
      </c>
      <c r="I64" s="28" t="s">
        <v>436</v>
      </c>
      <c r="J64" s="81" t="s">
        <v>516</v>
      </c>
      <c r="K64" s="101">
        <v>2500</v>
      </c>
      <c r="L64" s="80" t="s">
        <v>2057</v>
      </c>
      <c r="M64" s="80" t="s">
        <v>14</v>
      </c>
    </row>
    <row r="65" spans="1:13">
      <c r="A65" s="27" t="s">
        <v>2615</v>
      </c>
      <c r="B65" s="27" t="s">
        <v>2730</v>
      </c>
      <c r="C65" s="27" t="s">
        <v>2617</v>
      </c>
      <c r="D65" s="27" t="s">
        <v>2731</v>
      </c>
      <c r="E65" s="27" t="s">
        <v>2659</v>
      </c>
      <c r="F65" s="27" t="s">
        <v>21</v>
      </c>
      <c r="G65" s="28" t="s">
        <v>206</v>
      </c>
      <c r="H65" s="28" t="s">
        <v>42</v>
      </c>
      <c r="I65" s="28" t="s">
        <v>436</v>
      </c>
      <c r="J65" s="81" t="s">
        <v>516</v>
      </c>
      <c r="K65" s="101">
        <v>2500</v>
      </c>
      <c r="L65" s="80" t="s">
        <v>2057</v>
      </c>
      <c r="M65" s="80" t="s">
        <v>14</v>
      </c>
    </row>
    <row r="66" spans="1:13">
      <c r="A66" s="27" t="s">
        <v>2615</v>
      </c>
      <c r="B66" s="27" t="s">
        <v>2732</v>
      </c>
      <c r="C66" s="27" t="s">
        <v>2617</v>
      </c>
      <c r="D66" s="27" t="s">
        <v>2733</v>
      </c>
      <c r="E66" s="27" t="s">
        <v>2734</v>
      </c>
      <c r="F66" s="27" t="s">
        <v>21</v>
      </c>
      <c r="G66" s="28" t="s">
        <v>206</v>
      </c>
      <c r="H66" s="28" t="s">
        <v>42</v>
      </c>
      <c r="I66" s="28" t="s">
        <v>436</v>
      </c>
      <c r="J66" s="81" t="s">
        <v>516</v>
      </c>
      <c r="K66" s="101">
        <v>450000</v>
      </c>
      <c r="L66" s="80" t="s">
        <v>2057</v>
      </c>
      <c r="M66" s="80" t="s">
        <v>14</v>
      </c>
    </row>
    <row r="67" spans="1:13">
      <c r="A67" s="27" t="s">
        <v>2615</v>
      </c>
      <c r="B67" s="27" t="s">
        <v>2735</v>
      </c>
      <c r="C67" s="27" t="s">
        <v>2617</v>
      </c>
      <c r="D67" s="27" t="s">
        <v>2736</v>
      </c>
      <c r="E67" s="27" t="s">
        <v>2734</v>
      </c>
      <c r="F67" s="27" t="s">
        <v>21</v>
      </c>
      <c r="G67" s="28" t="s">
        <v>206</v>
      </c>
      <c r="H67" s="28" t="s">
        <v>42</v>
      </c>
      <c r="I67" s="28" t="s">
        <v>436</v>
      </c>
      <c r="J67" s="81" t="s">
        <v>516</v>
      </c>
      <c r="K67" s="101">
        <v>450000</v>
      </c>
      <c r="L67" s="80" t="s">
        <v>2057</v>
      </c>
      <c r="M67" s="80" t="s">
        <v>14</v>
      </c>
    </row>
    <row r="68" spans="1:13">
      <c r="A68" s="27" t="s">
        <v>2615</v>
      </c>
      <c r="B68" s="27" t="s">
        <v>2737</v>
      </c>
      <c r="C68" s="27" t="s">
        <v>2617</v>
      </c>
      <c r="D68" s="27" t="s">
        <v>2738</v>
      </c>
      <c r="E68" s="27" t="s">
        <v>2734</v>
      </c>
      <c r="F68" s="27" t="s">
        <v>21</v>
      </c>
      <c r="G68" s="28" t="s">
        <v>206</v>
      </c>
      <c r="H68" s="28" t="s">
        <v>42</v>
      </c>
      <c r="I68" s="28" t="s">
        <v>436</v>
      </c>
      <c r="J68" s="81" t="s">
        <v>516</v>
      </c>
      <c r="K68" s="101">
        <v>450000</v>
      </c>
      <c r="L68" s="80" t="s">
        <v>2057</v>
      </c>
      <c r="M68" s="80" t="s">
        <v>14</v>
      </c>
    </row>
    <row r="69" spans="1:13">
      <c r="A69" s="27" t="s">
        <v>2615</v>
      </c>
      <c r="B69" s="27" t="s">
        <v>2739</v>
      </c>
      <c r="C69" s="27" t="s">
        <v>2617</v>
      </c>
      <c r="D69" s="27" t="s">
        <v>2740</v>
      </c>
      <c r="E69" s="27" t="s">
        <v>2734</v>
      </c>
      <c r="F69" s="27" t="s">
        <v>21</v>
      </c>
      <c r="G69" s="28" t="s">
        <v>206</v>
      </c>
      <c r="H69" s="28" t="s">
        <v>42</v>
      </c>
      <c r="I69" s="28" t="s">
        <v>436</v>
      </c>
      <c r="J69" s="81" t="s">
        <v>516</v>
      </c>
      <c r="K69" s="101">
        <v>450000</v>
      </c>
      <c r="L69" s="80" t="s">
        <v>2057</v>
      </c>
      <c r="M69" s="80" t="s">
        <v>14</v>
      </c>
    </row>
    <row r="70" spans="1:13">
      <c r="A70" s="27" t="s">
        <v>2615</v>
      </c>
      <c r="B70" s="27" t="s">
        <v>2741</v>
      </c>
      <c r="C70" s="27" t="s">
        <v>2617</v>
      </c>
      <c r="D70" s="27" t="s">
        <v>2742</v>
      </c>
      <c r="E70" s="27" t="s">
        <v>2734</v>
      </c>
      <c r="F70" s="27" t="s">
        <v>21</v>
      </c>
      <c r="G70" s="28" t="s">
        <v>206</v>
      </c>
      <c r="H70" s="28" t="s">
        <v>42</v>
      </c>
      <c r="I70" s="28" t="s">
        <v>436</v>
      </c>
      <c r="J70" s="81" t="s">
        <v>516</v>
      </c>
      <c r="K70" s="101">
        <v>450000</v>
      </c>
      <c r="L70" s="80" t="s">
        <v>2057</v>
      </c>
      <c r="M70" s="80" t="s">
        <v>14</v>
      </c>
    </row>
    <row r="71" spans="1:13">
      <c r="A71" s="27" t="s">
        <v>2615</v>
      </c>
      <c r="B71" s="27" t="s">
        <v>2743</v>
      </c>
      <c r="C71" s="27" t="s">
        <v>2617</v>
      </c>
      <c r="D71" s="27" t="s">
        <v>2744</v>
      </c>
      <c r="E71" s="27" t="s">
        <v>2734</v>
      </c>
      <c r="F71" s="27" t="s">
        <v>21</v>
      </c>
      <c r="G71" s="28" t="s">
        <v>206</v>
      </c>
      <c r="H71" s="28" t="s">
        <v>42</v>
      </c>
      <c r="I71" s="28" t="s">
        <v>436</v>
      </c>
      <c r="J71" s="81" t="s">
        <v>516</v>
      </c>
      <c r="K71" s="101">
        <v>450000</v>
      </c>
      <c r="L71" s="80" t="s">
        <v>2057</v>
      </c>
      <c r="M71" s="80" t="s">
        <v>14</v>
      </c>
    </row>
    <row r="72" spans="1:13">
      <c r="A72" s="27" t="s">
        <v>2615</v>
      </c>
      <c r="B72" s="27" t="s">
        <v>2745</v>
      </c>
      <c r="C72" s="27" t="s">
        <v>2617</v>
      </c>
      <c r="D72" s="27" t="s">
        <v>2746</v>
      </c>
      <c r="E72" s="27" t="s">
        <v>2734</v>
      </c>
      <c r="F72" s="27" t="s">
        <v>21</v>
      </c>
      <c r="G72" s="28" t="s">
        <v>206</v>
      </c>
      <c r="H72" s="28" t="s">
        <v>42</v>
      </c>
      <c r="I72" s="28" t="s">
        <v>436</v>
      </c>
      <c r="J72" s="81" t="s">
        <v>516</v>
      </c>
      <c r="K72" s="101">
        <v>450000</v>
      </c>
      <c r="L72" s="80" t="s">
        <v>2057</v>
      </c>
      <c r="M72" s="80" t="s">
        <v>14</v>
      </c>
    </row>
    <row r="73" spans="1:13">
      <c r="A73" s="27" t="s">
        <v>2615</v>
      </c>
      <c r="B73" s="27" t="s">
        <v>2747</v>
      </c>
      <c r="C73" s="27" t="s">
        <v>2617</v>
      </c>
      <c r="D73" s="27" t="s">
        <v>2748</v>
      </c>
      <c r="E73" s="27" t="s">
        <v>2651</v>
      </c>
      <c r="F73" s="27" t="s">
        <v>21</v>
      </c>
      <c r="G73" s="28" t="s">
        <v>206</v>
      </c>
      <c r="H73" s="28" t="s">
        <v>42</v>
      </c>
      <c r="I73" s="28" t="s">
        <v>436</v>
      </c>
      <c r="J73" s="81" t="s">
        <v>516</v>
      </c>
      <c r="K73" s="101">
        <v>15000000</v>
      </c>
      <c r="L73" s="80" t="s">
        <v>2057</v>
      </c>
      <c r="M73" s="80" t="s">
        <v>14</v>
      </c>
    </row>
    <row r="74" spans="1:13">
      <c r="A74" s="27" t="s">
        <v>2615</v>
      </c>
      <c r="B74" s="27" t="s">
        <v>2749</v>
      </c>
      <c r="C74" s="27" t="s">
        <v>2617</v>
      </c>
      <c r="D74" s="27" t="s">
        <v>2750</v>
      </c>
      <c r="E74" s="27" t="s">
        <v>2651</v>
      </c>
      <c r="F74" s="27" t="s">
        <v>21</v>
      </c>
      <c r="G74" s="28" t="s">
        <v>206</v>
      </c>
      <c r="H74" s="28" t="s">
        <v>42</v>
      </c>
      <c r="I74" s="28" t="s">
        <v>436</v>
      </c>
      <c r="J74" s="81" t="s">
        <v>516</v>
      </c>
      <c r="K74" s="101">
        <v>15000000</v>
      </c>
      <c r="L74" s="80" t="s">
        <v>2057</v>
      </c>
      <c r="M74" s="80" t="s">
        <v>14</v>
      </c>
    </row>
    <row r="75" spans="1:13">
      <c r="A75" s="27" t="s">
        <v>2615</v>
      </c>
      <c r="B75" s="27" t="s">
        <v>2751</v>
      </c>
      <c r="C75" s="27" t="s">
        <v>2617</v>
      </c>
      <c r="D75" s="27" t="s">
        <v>2752</v>
      </c>
      <c r="E75" s="27" t="s">
        <v>133</v>
      </c>
      <c r="F75" s="27" t="s">
        <v>21</v>
      </c>
      <c r="G75" s="28" t="s">
        <v>206</v>
      </c>
      <c r="H75" s="28" t="s">
        <v>42</v>
      </c>
      <c r="I75" s="28" t="s">
        <v>436</v>
      </c>
      <c r="J75" s="81" t="s">
        <v>516</v>
      </c>
      <c r="K75" s="101">
        <v>15000000</v>
      </c>
      <c r="L75" s="80" t="s">
        <v>2057</v>
      </c>
      <c r="M75" s="80" t="s">
        <v>14</v>
      </c>
    </row>
    <row r="76" spans="1:13">
      <c r="A76" s="27" t="s">
        <v>2615</v>
      </c>
      <c r="B76" s="27" t="s">
        <v>2753</v>
      </c>
      <c r="C76" s="27" t="s">
        <v>2617</v>
      </c>
      <c r="D76" s="27" t="s">
        <v>2754</v>
      </c>
      <c r="E76" s="27" t="s">
        <v>133</v>
      </c>
      <c r="F76" s="27" t="s">
        <v>21</v>
      </c>
      <c r="G76" s="28" t="s">
        <v>206</v>
      </c>
      <c r="H76" s="28" t="s">
        <v>42</v>
      </c>
      <c r="I76" s="28" t="s">
        <v>436</v>
      </c>
      <c r="J76" s="81" t="s">
        <v>516</v>
      </c>
      <c r="K76" s="101">
        <v>15000000</v>
      </c>
      <c r="L76" s="80" t="s">
        <v>2057</v>
      </c>
      <c r="M76" s="80" t="s">
        <v>14</v>
      </c>
    </row>
    <row r="77" spans="1:13">
      <c r="A77" s="27" t="s">
        <v>2615</v>
      </c>
      <c r="B77" s="27" t="s">
        <v>2755</v>
      </c>
      <c r="C77" s="27" t="s">
        <v>2617</v>
      </c>
      <c r="D77" s="27" t="s">
        <v>2756</v>
      </c>
      <c r="E77" s="27" t="s">
        <v>2757</v>
      </c>
      <c r="F77" s="27" t="s">
        <v>21</v>
      </c>
      <c r="G77" s="28" t="s">
        <v>206</v>
      </c>
      <c r="H77" s="28" t="s">
        <v>42</v>
      </c>
      <c r="I77" s="28" t="s">
        <v>436</v>
      </c>
      <c r="J77" s="81" t="s">
        <v>516</v>
      </c>
      <c r="K77" s="101">
        <v>550000</v>
      </c>
      <c r="L77" s="80" t="s">
        <v>2057</v>
      </c>
      <c r="M77" s="80" t="s">
        <v>14</v>
      </c>
    </row>
    <row r="78" spans="1:13">
      <c r="A78" s="27" t="s">
        <v>2615</v>
      </c>
      <c r="B78" s="27" t="s">
        <v>2758</v>
      </c>
      <c r="C78" s="27" t="s">
        <v>2617</v>
      </c>
      <c r="D78" s="27" t="s">
        <v>2759</v>
      </c>
      <c r="E78" s="27" t="s">
        <v>2651</v>
      </c>
      <c r="F78" s="27" t="s">
        <v>21</v>
      </c>
      <c r="G78" s="28" t="s">
        <v>206</v>
      </c>
      <c r="H78" s="28" t="s">
        <v>42</v>
      </c>
      <c r="I78" s="28" t="s">
        <v>436</v>
      </c>
      <c r="J78" s="81" t="s">
        <v>516</v>
      </c>
      <c r="K78" s="101">
        <v>85000000</v>
      </c>
      <c r="L78" s="80" t="s">
        <v>2057</v>
      </c>
      <c r="M78" s="80" t="s">
        <v>14</v>
      </c>
    </row>
    <row r="79" spans="1:13">
      <c r="A79" s="27" t="s">
        <v>2615</v>
      </c>
      <c r="B79" s="27" t="s">
        <v>2760</v>
      </c>
      <c r="C79" s="27" t="s">
        <v>2617</v>
      </c>
      <c r="D79" s="27" t="s">
        <v>2761</v>
      </c>
      <c r="E79" s="27" t="s">
        <v>133</v>
      </c>
      <c r="F79" s="27" t="s">
        <v>21</v>
      </c>
      <c r="G79" s="28" t="s">
        <v>206</v>
      </c>
      <c r="H79" s="28" t="s">
        <v>42</v>
      </c>
      <c r="I79" s="28" t="s">
        <v>436</v>
      </c>
      <c r="J79" s="81" t="s">
        <v>516</v>
      </c>
      <c r="K79" s="101">
        <v>5000000</v>
      </c>
      <c r="L79" s="80" t="s">
        <v>2057</v>
      </c>
      <c r="M79" s="80" t="s">
        <v>14</v>
      </c>
    </row>
  </sheetData>
  <dataValidations count="2">
    <dataValidation type="list" allowBlank="1" showInputMessage="1" showErrorMessage="1" sqref="L6">
      <formula1>"Sí,No"</formula1>
    </dataValidation>
    <dataValidation type="list" allowBlank="1" showInputMessage="1" showErrorMessage="1" sqref="M6:M1048576">
      <formula1>"COP,USD"</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opLeftCell="A46" workbookViewId="0">
      <selection activeCell="D22" sqref="D22"/>
    </sheetView>
  </sheetViews>
  <sheetFormatPr baseColWidth="10" defaultColWidth="11.54296875" defaultRowHeight="16"/>
  <cols>
    <col min="1" max="1" width="21.453125" style="93" bestFit="1" customWidth="1"/>
    <col min="2" max="2" width="18.6328125" style="93" bestFit="1" customWidth="1"/>
    <col min="3" max="3" width="30.6328125" style="93" bestFit="1" customWidth="1"/>
    <col min="4" max="4" width="75.453125" style="93" bestFit="1" customWidth="1"/>
    <col min="5" max="5" width="26.36328125" style="94" customWidth="1"/>
    <col min="6" max="6" width="9.6328125" style="93" bestFit="1" customWidth="1"/>
    <col min="7" max="7" width="10.36328125" style="93" bestFit="1" customWidth="1"/>
    <col min="8" max="8" width="11.54296875" style="93"/>
    <col min="9" max="9" width="14.54296875" style="93" bestFit="1" customWidth="1"/>
    <col min="10" max="11" width="11.54296875" style="93"/>
    <col min="12" max="16384" width="11.54296875" style="88"/>
  </cols>
  <sheetData>
    <row r="1" spans="1:11" ht="44.4" customHeight="1">
      <c r="A1" s="315" t="s">
        <v>204</v>
      </c>
      <c r="B1" s="316"/>
      <c r="C1" s="316"/>
      <c r="D1" s="316"/>
      <c r="E1" s="316"/>
      <c r="F1" s="316"/>
      <c r="G1" s="316"/>
      <c r="H1" s="316"/>
      <c r="I1" s="316"/>
      <c r="J1" s="316"/>
      <c r="K1" s="316"/>
    </row>
    <row r="2" spans="1:11">
      <c r="A2" s="89" t="s">
        <v>1445</v>
      </c>
      <c r="B2" s="90" t="s">
        <v>1430</v>
      </c>
      <c r="C2" s="90" t="s">
        <v>1446</v>
      </c>
      <c r="D2" s="89" t="s">
        <v>4</v>
      </c>
      <c r="E2" s="92" t="s">
        <v>5</v>
      </c>
      <c r="F2" s="89" t="s">
        <v>6</v>
      </c>
      <c r="G2" s="89" t="s">
        <v>7</v>
      </c>
      <c r="H2" s="89" t="s">
        <v>8</v>
      </c>
      <c r="I2" s="89" t="s">
        <v>1432</v>
      </c>
      <c r="J2" s="89" t="s">
        <v>1433</v>
      </c>
      <c r="K2" s="91" t="s">
        <v>3</v>
      </c>
    </row>
    <row r="3" spans="1:11">
      <c r="A3" s="93" t="s">
        <v>202</v>
      </c>
      <c r="B3" s="93" t="s">
        <v>203</v>
      </c>
      <c r="C3" s="93" t="s">
        <v>204</v>
      </c>
      <c r="D3" s="93" t="s">
        <v>205</v>
      </c>
      <c r="E3" s="94" t="s">
        <v>168</v>
      </c>
      <c r="F3" s="93" t="s">
        <v>16</v>
      </c>
      <c r="G3" s="93" t="s">
        <v>206</v>
      </c>
      <c r="H3" s="93" t="s">
        <v>15</v>
      </c>
      <c r="I3" s="95">
        <v>388500000</v>
      </c>
      <c r="J3" s="93" t="s">
        <v>216</v>
      </c>
      <c r="K3" s="93" t="s">
        <v>14</v>
      </c>
    </row>
    <row r="4" spans="1:11">
      <c r="A4" s="93" t="s">
        <v>202</v>
      </c>
      <c r="B4" s="93" t="s">
        <v>207</v>
      </c>
      <c r="C4" s="93" t="s">
        <v>204</v>
      </c>
      <c r="D4" s="93" t="s">
        <v>208</v>
      </c>
      <c r="E4" s="94" t="s">
        <v>25</v>
      </c>
      <c r="F4" s="93" t="s">
        <v>21</v>
      </c>
      <c r="G4" s="93" t="s">
        <v>206</v>
      </c>
      <c r="H4" s="93" t="s">
        <v>15</v>
      </c>
      <c r="I4" s="95">
        <v>38850000</v>
      </c>
      <c r="J4" s="93" t="s">
        <v>216</v>
      </c>
      <c r="K4" s="93" t="s">
        <v>14</v>
      </c>
    </row>
    <row r="5" spans="1:11">
      <c r="A5" s="93" t="s">
        <v>202</v>
      </c>
      <c r="B5" s="93" t="s">
        <v>209</v>
      </c>
      <c r="C5" s="93" t="s">
        <v>204</v>
      </c>
      <c r="D5" s="93" t="s">
        <v>210</v>
      </c>
      <c r="E5" s="94" t="s">
        <v>168</v>
      </c>
      <c r="F5" s="93" t="s">
        <v>16</v>
      </c>
      <c r="G5" s="93" t="s">
        <v>206</v>
      </c>
      <c r="H5" s="93" t="s">
        <v>15</v>
      </c>
      <c r="I5" s="95">
        <v>609000000</v>
      </c>
      <c r="J5" s="93" t="s">
        <v>216</v>
      </c>
      <c r="K5" s="93" t="s">
        <v>14</v>
      </c>
    </row>
    <row r="6" spans="1:11">
      <c r="A6" s="93" t="s">
        <v>202</v>
      </c>
      <c r="B6" s="93" t="s">
        <v>211</v>
      </c>
      <c r="C6" s="93" t="s">
        <v>204</v>
      </c>
      <c r="D6" s="93" t="s">
        <v>212</v>
      </c>
      <c r="E6" s="94" t="s">
        <v>25</v>
      </c>
      <c r="F6" s="93" t="s">
        <v>21</v>
      </c>
      <c r="G6" s="93" t="s">
        <v>206</v>
      </c>
      <c r="H6" s="93" t="s">
        <v>15</v>
      </c>
      <c r="I6" s="95">
        <v>38850000</v>
      </c>
      <c r="J6" s="93" t="s">
        <v>216</v>
      </c>
      <c r="K6" s="93" t="s">
        <v>14</v>
      </c>
    </row>
    <row r="7" spans="1:11">
      <c r="A7" s="93" t="s">
        <v>202</v>
      </c>
      <c r="B7" s="93" t="s">
        <v>213</v>
      </c>
      <c r="C7" s="93" t="s">
        <v>204</v>
      </c>
      <c r="D7" s="93" t="s">
        <v>214</v>
      </c>
      <c r="E7" s="94" t="s">
        <v>25</v>
      </c>
      <c r="F7" s="93" t="s">
        <v>21</v>
      </c>
      <c r="G7" s="93" t="s">
        <v>206</v>
      </c>
      <c r="H7" s="93" t="s">
        <v>15</v>
      </c>
      <c r="I7" s="95">
        <v>819000</v>
      </c>
      <c r="J7" s="93" t="s">
        <v>216</v>
      </c>
      <c r="K7" s="93" t="s">
        <v>14</v>
      </c>
    </row>
    <row r="8" spans="1:11">
      <c r="A8" s="93" t="s">
        <v>202</v>
      </c>
      <c r="B8" s="93" t="s">
        <v>1286</v>
      </c>
      <c r="C8" s="93" t="s">
        <v>204</v>
      </c>
      <c r="D8" s="93" t="s">
        <v>1287</v>
      </c>
      <c r="E8" s="94" t="s">
        <v>168</v>
      </c>
      <c r="F8" s="93" t="s">
        <v>16</v>
      </c>
      <c r="G8" s="93" t="s">
        <v>206</v>
      </c>
      <c r="H8" s="93" t="s">
        <v>15</v>
      </c>
      <c r="I8" s="95">
        <v>399000000</v>
      </c>
      <c r="J8" s="93" t="s">
        <v>216</v>
      </c>
      <c r="K8" s="93" t="s">
        <v>14</v>
      </c>
    </row>
    <row r="9" spans="1:11">
      <c r="A9" s="93" t="s">
        <v>202</v>
      </c>
      <c r="B9" s="93" t="s">
        <v>1288</v>
      </c>
      <c r="C9" s="93" t="s">
        <v>204</v>
      </c>
      <c r="D9" s="93" t="s">
        <v>1289</v>
      </c>
      <c r="E9" s="94" t="s">
        <v>25</v>
      </c>
      <c r="F9" s="93" t="s">
        <v>21</v>
      </c>
      <c r="G9" s="93" t="s">
        <v>206</v>
      </c>
      <c r="H9" s="93" t="s">
        <v>15</v>
      </c>
      <c r="I9" s="95">
        <v>39900000</v>
      </c>
      <c r="J9" s="93" t="s">
        <v>216</v>
      </c>
      <c r="K9" s="93" t="s">
        <v>14</v>
      </c>
    </row>
    <row r="10" spans="1:11">
      <c r="A10" s="93" t="s">
        <v>202</v>
      </c>
      <c r="B10" s="93" t="s">
        <v>2608</v>
      </c>
      <c r="C10" s="93" t="s">
        <v>204</v>
      </c>
      <c r="D10" s="93" t="s">
        <v>2609</v>
      </c>
      <c r="E10" s="94" t="s">
        <v>168</v>
      </c>
      <c r="F10" s="93" t="s">
        <v>16</v>
      </c>
      <c r="G10" s="93" t="s">
        <v>206</v>
      </c>
      <c r="H10" s="93" t="s">
        <v>15</v>
      </c>
      <c r="I10" s="95">
        <v>609000000</v>
      </c>
      <c r="J10" s="93" t="s">
        <v>216</v>
      </c>
      <c r="K10" s="93" t="s">
        <v>14</v>
      </c>
    </row>
    <row r="11" spans="1:11">
      <c r="A11" s="93" t="s">
        <v>202</v>
      </c>
      <c r="B11" s="93" t="s">
        <v>2610</v>
      </c>
      <c r="C11" s="93" t="s">
        <v>204</v>
      </c>
      <c r="D11" s="93" t="s">
        <v>2611</v>
      </c>
      <c r="E11" s="94" t="s">
        <v>25</v>
      </c>
      <c r="F11" s="93" t="s">
        <v>21</v>
      </c>
      <c r="G11" s="93" t="s">
        <v>206</v>
      </c>
      <c r="H11" s="93" t="s">
        <v>15</v>
      </c>
      <c r="I11" s="95">
        <v>40635000</v>
      </c>
      <c r="J11" s="93" t="s">
        <v>216</v>
      </c>
      <c r="K11" s="93" t="s">
        <v>14</v>
      </c>
    </row>
    <row r="12" spans="1:11">
      <c r="A12" s="93" t="s">
        <v>202</v>
      </c>
      <c r="B12" s="93" t="s">
        <v>2601</v>
      </c>
      <c r="C12" s="93" t="s">
        <v>204</v>
      </c>
      <c r="D12" s="93" t="s">
        <v>2612</v>
      </c>
      <c r="E12" s="94" t="s">
        <v>76</v>
      </c>
      <c r="F12" s="93" t="s">
        <v>21</v>
      </c>
      <c r="G12" s="93" t="s">
        <v>206</v>
      </c>
      <c r="H12" s="93" t="s">
        <v>18</v>
      </c>
      <c r="I12" s="95">
        <v>121800000</v>
      </c>
      <c r="J12" s="93" t="s">
        <v>216</v>
      </c>
      <c r="K12" s="93" t="s">
        <v>14</v>
      </c>
    </row>
    <row r="13" spans="1:11">
      <c r="A13" s="93" t="s">
        <v>202</v>
      </c>
      <c r="B13" s="93" t="s">
        <v>131</v>
      </c>
      <c r="C13" s="93" t="s">
        <v>204</v>
      </c>
      <c r="D13" s="93" t="s">
        <v>132</v>
      </c>
      <c r="E13" s="94" t="s">
        <v>133</v>
      </c>
      <c r="F13" s="93" t="s">
        <v>21</v>
      </c>
      <c r="G13" s="93" t="s">
        <v>70</v>
      </c>
      <c r="H13" s="93" t="s">
        <v>26</v>
      </c>
      <c r="I13" s="95">
        <v>6206000</v>
      </c>
      <c r="J13" s="93" t="s">
        <v>216</v>
      </c>
      <c r="K13" s="93" t="s">
        <v>14</v>
      </c>
    </row>
    <row r="14" spans="1:11">
      <c r="A14" s="93" t="s">
        <v>202</v>
      </c>
      <c r="B14" s="93" t="s">
        <v>134</v>
      </c>
      <c r="C14" s="93" t="s">
        <v>204</v>
      </c>
      <c r="D14" s="93" t="s">
        <v>132</v>
      </c>
      <c r="E14" s="94" t="s">
        <v>133</v>
      </c>
      <c r="F14" s="93" t="s">
        <v>21</v>
      </c>
      <c r="G14" s="93" t="s">
        <v>70</v>
      </c>
      <c r="H14" s="93" t="s">
        <v>42</v>
      </c>
      <c r="I14" s="95">
        <v>6206000</v>
      </c>
      <c r="J14" s="93" t="s">
        <v>216</v>
      </c>
      <c r="K14" s="93" t="s">
        <v>14</v>
      </c>
    </row>
    <row r="15" spans="1:11">
      <c r="A15" s="93" t="s">
        <v>202</v>
      </c>
      <c r="B15" s="93" t="s">
        <v>135</v>
      </c>
      <c r="C15" s="93" t="s">
        <v>204</v>
      </c>
      <c r="D15" s="93" t="s">
        <v>132</v>
      </c>
      <c r="E15" s="94" t="s">
        <v>133</v>
      </c>
      <c r="F15" s="93" t="s">
        <v>21</v>
      </c>
      <c r="G15" s="93" t="s">
        <v>74</v>
      </c>
      <c r="H15" s="93" t="s">
        <v>26</v>
      </c>
      <c r="I15" s="95">
        <v>8274000</v>
      </c>
      <c r="J15" s="93" t="s">
        <v>216</v>
      </c>
      <c r="K15" s="93" t="s">
        <v>14</v>
      </c>
    </row>
    <row r="16" spans="1:11">
      <c r="A16" s="93" t="s">
        <v>202</v>
      </c>
      <c r="B16" s="93" t="s">
        <v>136</v>
      </c>
      <c r="C16" s="93" t="s">
        <v>204</v>
      </c>
      <c r="D16" s="93" t="s">
        <v>132</v>
      </c>
      <c r="E16" s="94" t="s">
        <v>133</v>
      </c>
      <c r="F16" s="93" t="s">
        <v>21</v>
      </c>
      <c r="G16" s="93" t="s">
        <v>74</v>
      </c>
      <c r="H16" s="93" t="s">
        <v>42</v>
      </c>
      <c r="I16" s="95">
        <v>8274000</v>
      </c>
      <c r="J16" s="93" t="s">
        <v>216</v>
      </c>
      <c r="K16" s="93" t="s">
        <v>14</v>
      </c>
    </row>
    <row r="17" spans="1:11">
      <c r="A17" s="93" t="s">
        <v>202</v>
      </c>
      <c r="B17" s="93" t="s">
        <v>137</v>
      </c>
      <c r="C17" s="93" t="s">
        <v>204</v>
      </c>
      <c r="D17" s="93" t="s">
        <v>132</v>
      </c>
      <c r="E17" s="94" t="s">
        <v>133</v>
      </c>
      <c r="F17" s="93" t="s">
        <v>21</v>
      </c>
      <c r="G17" s="93" t="s">
        <v>72</v>
      </c>
      <c r="H17" s="93" t="s">
        <v>26</v>
      </c>
      <c r="I17" s="95">
        <v>9309000</v>
      </c>
      <c r="J17" s="93" t="s">
        <v>216</v>
      </c>
      <c r="K17" s="93" t="s">
        <v>14</v>
      </c>
    </row>
    <row r="18" spans="1:11">
      <c r="A18" s="93" t="s">
        <v>202</v>
      </c>
      <c r="B18" s="93" t="s">
        <v>138</v>
      </c>
      <c r="C18" s="93" t="s">
        <v>204</v>
      </c>
      <c r="D18" s="93" t="s">
        <v>132</v>
      </c>
      <c r="E18" s="94" t="s">
        <v>133</v>
      </c>
      <c r="F18" s="93" t="s">
        <v>21</v>
      </c>
      <c r="G18" s="93" t="s">
        <v>72</v>
      </c>
      <c r="H18" s="93" t="s">
        <v>42</v>
      </c>
      <c r="I18" s="95">
        <v>9309000</v>
      </c>
      <c r="J18" s="93" t="s">
        <v>216</v>
      </c>
      <c r="K18" s="93" t="s">
        <v>14</v>
      </c>
    </row>
    <row r="19" spans="1:11">
      <c r="A19" s="93" t="s">
        <v>202</v>
      </c>
      <c r="B19" s="93" t="s">
        <v>119</v>
      </c>
      <c r="C19" s="93" t="s">
        <v>204</v>
      </c>
      <c r="D19" s="93" t="s">
        <v>215</v>
      </c>
      <c r="E19" s="94" t="s">
        <v>29</v>
      </c>
      <c r="F19" s="93" t="s">
        <v>21</v>
      </c>
      <c r="G19" s="93" t="s">
        <v>70</v>
      </c>
      <c r="H19" s="93" t="s">
        <v>26</v>
      </c>
      <c r="I19" s="95">
        <v>250000</v>
      </c>
      <c r="J19" s="93" t="s">
        <v>216</v>
      </c>
      <c r="K19" s="93" t="s">
        <v>14</v>
      </c>
    </row>
    <row r="20" spans="1:11">
      <c r="A20" s="93" t="s">
        <v>202</v>
      </c>
      <c r="B20" s="93" t="s">
        <v>121</v>
      </c>
      <c r="C20" s="93" t="s">
        <v>204</v>
      </c>
      <c r="D20" s="93" t="s">
        <v>215</v>
      </c>
      <c r="E20" s="94" t="s">
        <v>29</v>
      </c>
      <c r="F20" s="93" t="s">
        <v>21</v>
      </c>
      <c r="G20" s="93" t="s">
        <v>70</v>
      </c>
      <c r="H20" s="93" t="s">
        <v>42</v>
      </c>
      <c r="I20" s="95">
        <v>250000</v>
      </c>
      <c r="J20" s="93" t="s">
        <v>216</v>
      </c>
      <c r="K20" s="93" t="s">
        <v>14</v>
      </c>
    </row>
    <row r="21" spans="1:11">
      <c r="A21" s="93" t="s">
        <v>202</v>
      </c>
      <c r="B21" s="93" t="s">
        <v>122</v>
      </c>
      <c r="C21" s="93" t="s">
        <v>204</v>
      </c>
      <c r="D21" s="93" t="s">
        <v>215</v>
      </c>
      <c r="E21" s="94" t="s">
        <v>29</v>
      </c>
      <c r="F21" s="93" t="s">
        <v>21</v>
      </c>
      <c r="G21" s="93" t="s">
        <v>74</v>
      </c>
      <c r="H21" s="93" t="s">
        <v>26</v>
      </c>
      <c r="I21" s="95">
        <v>250000</v>
      </c>
      <c r="J21" s="93" t="s">
        <v>216</v>
      </c>
      <c r="K21" s="93" t="s">
        <v>14</v>
      </c>
    </row>
    <row r="22" spans="1:11">
      <c r="A22" s="93" t="s">
        <v>202</v>
      </c>
      <c r="B22" s="93" t="s">
        <v>123</v>
      </c>
      <c r="C22" s="93" t="s">
        <v>204</v>
      </c>
      <c r="D22" s="93" t="s">
        <v>215</v>
      </c>
      <c r="E22" s="94" t="s">
        <v>29</v>
      </c>
      <c r="F22" s="93" t="s">
        <v>21</v>
      </c>
      <c r="G22" s="93" t="s">
        <v>74</v>
      </c>
      <c r="H22" s="93" t="s">
        <v>42</v>
      </c>
      <c r="I22" s="95">
        <v>250000</v>
      </c>
      <c r="J22" s="93" t="s">
        <v>216</v>
      </c>
      <c r="K22" s="93" t="s">
        <v>14</v>
      </c>
    </row>
    <row r="23" spans="1:11">
      <c r="A23" s="93" t="s">
        <v>202</v>
      </c>
      <c r="B23" s="93" t="s">
        <v>124</v>
      </c>
      <c r="C23" s="93" t="s">
        <v>204</v>
      </c>
      <c r="D23" s="93" t="s">
        <v>215</v>
      </c>
      <c r="E23" s="94" t="s">
        <v>29</v>
      </c>
      <c r="F23" s="93" t="s">
        <v>21</v>
      </c>
      <c r="G23" s="93" t="s">
        <v>72</v>
      </c>
      <c r="H23" s="93" t="s">
        <v>26</v>
      </c>
      <c r="I23" s="95">
        <v>250000</v>
      </c>
      <c r="J23" s="93" t="s">
        <v>216</v>
      </c>
      <c r="K23" s="93" t="s">
        <v>14</v>
      </c>
    </row>
    <row r="24" spans="1:11">
      <c r="A24" s="93" t="s">
        <v>202</v>
      </c>
      <c r="B24" s="93" t="s">
        <v>125</v>
      </c>
      <c r="C24" s="93" t="s">
        <v>204</v>
      </c>
      <c r="D24" s="93" t="s">
        <v>215</v>
      </c>
      <c r="E24" s="94" t="s">
        <v>29</v>
      </c>
      <c r="F24" s="93" t="s">
        <v>21</v>
      </c>
      <c r="G24" s="93" t="s">
        <v>72</v>
      </c>
      <c r="H24" s="93" t="s">
        <v>42</v>
      </c>
      <c r="I24" s="95">
        <v>250000</v>
      </c>
      <c r="J24" s="93" t="s">
        <v>216</v>
      </c>
      <c r="K24" s="93" t="s">
        <v>14</v>
      </c>
    </row>
    <row r="25" spans="1:11">
      <c r="A25" s="93" t="s">
        <v>202</v>
      </c>
      <c r="B25" s="93" t="s">
        <v>126</v>
      </c>
      <c r="C25" s="93" t="s">
        <v>204</v>
      </c>
      <c r="D25" s="93" t="s">
        <v>2613</v>
      </c>
      <c r="E25" s="94" t="s">
        <v>29</v>
      </c>
      <c r="F25" s="93" t="s">
        <v>21</v>
      </c>
      <c r="G25" s="93" t="s">
        <v>70</v>
      </c>
      <c r="H25" s="93" t="s">
        <v>26</v>
      </c>
      <c r="I25" s="95">
        <v>250000</v>
      </c>
      <c r="J25" s="93" t="s">
        <v>216</v>
      </c>
      <c r="K25" s="93" t="s">
        <v>14</v>
      </c>
    </row>
    <row r="26" spans="1:11">
      <c r="A26" s="93" t="s">
        <v>202</v>
      </c>
      <c r="B26" s="93" t="s">
        <v>129</v>
      </c>
      <c r="C26" s="93" t="s">
        <v>204</v>
      </c>
      <c r="D26" s="93" t="s">
        <v>2613</v>
      </c>
      <c r="E26" s="94" t="s">
        <v>29</v>
      </c>
      <c r="F26" s="93" t="s">
        <v>21</v>
      </c>
      <c r="G26" s="93" t="s">
        <v>70</v>
      </c>
      <c r="H26" s="93" t="s">
        <v>42</v>
      </c>
      <c r="I26" s="95">
        <v>250000</v>
      </c>
      <c r="J26" s="93" t="s">
        <v>216</v>
      </c>
      <c r="K26" s="93" t="s">
        <v>14</v>
      </c>
    </row>
    <row r="27" spans="1:11">
      <c r="A27" s="93" t="s">
        <v>202</v>
      </c>
      <c r="B27" s="93" t="s">
        <v>130</v>
      </c>
      <c r="C27" s="93" t="s">
        <v>204</v>
      </c>
      <c r="D27" s="93" t="s">
        <v>2613</v>
      </c>
      <c r="E27" s="94" t="s">
        <v>29</v>
      </c>
      <c r="F27" s="93" t="s">
        <v>21</v>
      </c>
      <c r="G27" s="93" t="s">
        <v>74</v>
      </c>
      <c r="H27" s="93" t="s">
        <v>26</v>
      </c>
      <c r="I27" s="95">
        <v>250000</v>
      </c>
      <c r="J27" s="93" t="s">
        <v>216</v>
      </c>
      <c r="K27" s="93" t="s">
        <v>14</v>
      </c>
    </row>
    <row r="28" spans="1:11">
      <c r="A28" s="93" t="s">
        <v>202</v>
      </c>
      <c r="B28" s="93" t="s">
        <v>1311</v>
      </c>
      <c r="C28" s="93" t="s">
        <v>204</v>
      </c>
      <c r="D28" s="93" t="s">
        <v>2613</v>
      </c>
      <c r="E28" s="94" t="s">
        <v>29</v>
      </c>
      <c r="F28" s="93" t="s">
        <v>21</v>
      </c>
      <c r="G28" s="93" t="s">
        <v>74</v>
      </c>
      <c r="H28" s="93" t="s">
        <v>42</v>
      </c>
      <c r="I28" s="95">
        <v>250000</v>
      </c>
      <c r="J28" s="93" t="s">
        <v>216</v>
      </c>
      <c r="K28" s="93" t="s">
        <v>14</v>
      </c>
    </row>
    <row r="29" spans="1:11">
      <c r="A29" s="93" t="s">
        <v>202</v>
      </c>
      <c r="B29" s="93" t="s">
        <v>1313</v>
      </c>
      <c r="C29" s="93" t="s">
        <v>204</v>
      </c>
      <c r="D29" s="93" t="s">
        <v>2613</v>
      </c>
      <c r="E29" s="94" t="s">
        <v>29</v>
      </c>
      <c r="F29" s="93" t="s">
        <v>21</v>
      </c>
      <c r="G29" s="93" t="s">
        <v>72</v>
      </c>
      <c r="H29" s="93" t="s">
        <v>26</v>
      </c>
      <c r="I29" s="95">
        <v>250000</v>
      </c>
      <c r="J29" s="93" t="s">
        <v>216</v>
      </c>
      <c r="K29" s="93" t="s">
        <v>14</v>
      </c>
    </row>
    <row r="30" spans="1:11">
      <c r="A30" s="93" t="s">
        <v>202</v>
      </c>
      <c r="B30" s="93" t="s">
        <v>2614</v>
      </c>
      <c r="C30" s="93" t="s">
        <v>204</v>
      </c>
      <c r="D30" s="93" t="s">
        <v>2613</v>
      </c>
      <c r="E30" s="94" t="s">
        <v>29</v>
      </c>
      <c r="F30" s="93" t="s">
        <v>21</v>
      </c>
      <c r="G30" s="93" t="s">
        <v>72</v>
      </c>
      <c r="H30" s="93" t="s">
        <v>42</v>
      </c>
      <c r="I30" s="95">
        <v>250000</v>
      </c>
      <c r="J30" s="93" t="s">
        <v>216</v>
      </c>
      <c r="K30" s="93" t="s">
        <v>14</v>
      </c>
    </row>
    <row r="31" spans="1:11">
      <c r="A31" s="93" t="s">
        <v>202</v>
      </c>
      <c r="B31" s="93" t="s">
        <v>139</v>
      </c>
      <c r="C31" s="93" t="s">
        <v>204</v>
      </c>
      <c r="D31" s="93" t="s">
        <v>140</v>
      </c>
      <c r="E31" s="94" t="s">
        <v>29</v>
      </c>
      <c r="F31" s="93" t="s">
        <v>21</v>
      </c>
      <c r="G31" s="93" t="s">
        <v>70</v>
      </c>
      <c r="H31" s="93" t="s">
        <v>26</v>
      </c>
      <c r="I31" s="95">
        <v>250000</v>
      </c>
      <c r="J31" s="93" t="s">
        <v>216</v>
      </c>
      <c r="K31" s="93" t="s">
        <v>14</v>
      </c>
    </row>
    <row r="32" spans="1:11">
      <c r="A32" s="93" t="s">
        <v>202</v>
      </c>
      <c r="B32" s="93" t="s">
        <v>142</v>
      </c>
      <c r="C32" s="93" t="s">
        <v>204</v>
      </c>
      <c r="D32" s="93" t="s">
        <v>140</v>
      </c>
      <c r="E32" s="94" t="s">
        <v>29</v>
      </c>
      <c r="F32" s="93" t="s">
        <v>21</v>
      </c>
      <c r="G32" s="93" t="s">
        <v>70</v>
      </c>
      <c r="H32" s="93" t="s">
        <v>42</v>
      </c>
      <c r="I32" s="95">
        <v>250000</v>
      </c>
      <c r="J32" s="93" t="s">
        <v>216</v>
      </c>
      <c r="K32" s="93" t="s">
        <v>14</v>
      </c>
    </row>
    <row r="33" spans="1:11">
      <c r="A33" s="93" t="s">
        <v>202</v>
      </c>
      <c r="B33" s="93" t="s">
        <v>143</v>
      </c>
      <c r="C33" s="93" t="s">
        <v>204</v>
      </c>
      <c r="D33" s="93" t="s">
        <v>140</v>
      </c>
      <c r="E33" s="94" t="s">
        <v>29</v>
      </c>
      <c r="F33" s="93" t="s">
        <v>21</v>
      </c>
      <c r="G33" s="93" t="s">
        <v>74</v>
      </c>
      <c r="H33" s="93" t="s">
        <v>26</v>
      </c>
      <c r="I33" s="95">
        <v>250000</v>
      </c>
      <c r="J33" s="93" t="s">
        <v>216</v>
      </c>
      <c r="K33" s="93" t="s">
        <v>14</v>
      </c>
    </row>
    <row r="34" spans="1:11">
      <c r="A34" s="93" t="s">
        <v>202</v>
      </c>
      <c r="B34" s="93" t="s">
        <v>144</v>
      </c>
      <c r="C34" s="93" t="s">
        <v>204</v>
      </c>
      <c r="D34" s="93" t="s">
        <v>140</v>
      </c>
      <c r="E34" s="94" t="s">
        <v>29</v>
      </c>
      <c r="F34" s="93" t="s">
        <v>21</v>
      </c>
      <c r="G34" s="93" t="s">
        <v>74</v>
      </c>
      <c r="H34" s="93" t="s">
        <v>42</v>
      </c>
      <c r="I34" s="95">
        <v>250000</v>
      </c>
      <c r="J34" s="93" t="s">
        <v>216</v>
      </c>
      <c r="K34" s="93" t="s">
        <v>14</v>
      </c>
    </row>
    <row r="35" spans="1:11">
      <c r="A35" s="93" t="s">
        <v>202</v>
      </c>
      <c r="B35" s="93" t="s">
        <v>145</v>
      </c>
      <c r="C35" s="93" t="s">
        <v>204</v>
      </c>
      <c r="D35" s="93" t="s">
        <v>140</v>
      </c>
      <c r="E35" s="94" t="s">
        <v>29</v>
      </c>
      <c r="F35" s="93" t="s">
        <v>21</v>
      </c>
      <c r="G35" s="93" t="s">
        <v>72</v>
      </c>
      <c r="H35" s="93" t="s">
        <v>26</v>
      </c>
      <c r="I35" s="95">
        <v>250000</v>
      </c>
      <c r="J35" s="93" t="s">
        <v>216</v>
      </c>
      <c r="K35" s="93" t="s">
        <v>14</v>
      </c>
    </row>
    <row r="36" spans="1:11">
      <c r="A36" s="93" t="s">
        <v>202</v>
      </c>
      <c r="B36" s="93" t="s">
        <v>146</v>
      </c>
      <c r="C36" s="93" t="s">
        <v>204</v>
      </c>
      <c r="D36" s="93" t="s">
        <v>140</v>
      </c>
      <c r="E36" s="94" t="s">
        <v>29</v>
      </c>
      <c r="F36" s="93" t="s">
        <v>21</v>
      </c>
      <c r="G36" s="93" t="s">
        <v>72</v>
      </c>
      <c r="H36" s="93" t="s">
        <v>42</v>
      </c>
      <c r="I36" s="95">
        <v>250000</v>
      </c>
      <c r="J36" s="93" t="s">
        <v>216</v>
      </c>
      <c r="K36" s="93" t="s">
        <v>14</v>
      </c>
    </row>
    <row r="37" spans="1:11" ht="80">
      <c r="A37" s="93" t="s">
        <v>202</v>
      </c>
      <c r="B37" s="93" t="s">
        <v>105</v>
      </c>
      <c r="C37" s="93" t="s">
        <v>204</v>
      </c>
      <c r="D37" s="93" t="s">
        <v>106</v>
      </c>
      <c r="E37" s="94" t="s">
        <v>91</v>
      </c>
      <c r="F37" s="93" t="s">
        <v>21</v>
      </c>
      <c r="G37" s="93" t="s">
        <v>70</v>
      </c>
      <c r="H37" s="93" t="s">
        <v>26</v>
      </c>
      <c r="I37" s="95">
        <v>1802000</v>
      </c>
      <c r="J37" s="93" t="s">
        <v>216</v>
      </c>
      <c r="K37" s="93" t="s">
        <v>14</v>
      </c>
    </row>
    <row r="38" spans="1:11" ht="80">
      <c r="A38" s="93" t="s">
        <v>202</v>
      </c>
      <c r="B38" s="93" t="s">
        <v>107</v>
      </c>
      <c r="C38" s="93" t="s">
        <v>204</v>
      </c>
      <c r="D38" s="93" t="s">
        <v>106</v>
      </c>
      <c r="E38" s="94" t="s">
        <v>91</v>
      </c>
      <c r="F38" s="93" t="s">
        <v>21</v>
      </c>
      <c r="G38" s="93" t="s">
        <v>70</v>
      </c>
      <c r="H38" s="93" t="s">
        <v>42</v>
      </c>
      <c r="I38" s="95">
        <v>1802000</v>
      </c>
      <c r="J38" s="93" t="s">
        <v>216</v>
      </c>
      <c r="K38" s="93" t="s">
        <v>14</v>
      </c>
    </row>
    <row r="39" spans="1:11" ht="80">
      <c r="A39" s="93" t="s">
        <v>202</v>
      </c>
      <c r="B39" s="93" t="s">
        <v>108</v>
      </c>
      <c r="C39" s="93" t="s">
        <v>204</v>
      </c>
      <c r="D39" s="93" t="s">
        <v>106</v>
      </c>
      <c r="E39" s="94" t="s">
        <v>91</v>
      </c>
      <c r="F39" s="93" t="s">
        <v>21</v>
      </c>
      <c r="G39" s="93" t="s">
        <v>74</v>
      </c>
      <c r="H39" s="93" t="s">
        <v>26</v>
      </c>
      <c r="I39" s="95">
        <v>1802000</v>
      </c>
      <c r="J39" s="93" t="s">
        <v>216</v>
      </c>
      <c r="K39" s="93" t="s">
        <v>14</v>
      </c>
    </row>
    <row r="40" spans="1:11" ht="80">
      <c r="A40" s="93" t="s">
        <v>202</v>
      </c>
      <c r="B40" s="93" t="s">
        <v>109</v>
      </c>
      <c r="C40" s="93" t="s">
        <v>204</v>
      </c>
      <c r="D40" s="93" t="s">
        <v>106</v>
      </c>
      <c r="E40" s="94" t="s">
        <v>91</v>
      </c>
      <c r="F40" s="93" t="s">
        <v>21</v>
      </c>
      <c r="G40" s="93" t="s">
        <v>74</v>
      </c>
      <c r="H40" s="93" t="s">
        <v>42</v>
      </c>
      <c r="I40" s="95">
        <v>1802000</v>
      </c>
      <c r="J40" s="93" t="s">
        <v>216</v>
      </c>
      <c r="K40" s="93" t="s">
        <v>14</v>
      </c>
    </row>
    <row r="41" spans="1:11" ht="80">
      <c r="A41" s="93" t="s">
        <v>202</v>
      </c>
      <c r="B41" s="93" t="s">
        <v>110</v>
      </c>
      <c r="C41" s="93" t="s">
        <v>204</v>
      </c>
      <c r="D41" s="93" t="s">
        <v>106</v>
      </c>
      <c r="E41" s="94" t="s">
        <v>91</v>
      </c>
      <c r="F41" s="93" t="s">
        <v>21</v>
      </c>
      <c r="G41" s="93" t="s">
        <v>72</v>
      </c>
      <c r="H41" s="93" t="s">
        <v>26</v>
      </c>
      <c r="I41" s="95">
        <v>1802000</v>
      </c>
      <c r="J41" s="93" t="s">
        <v>216</v>
      </c>
      <c r="K41" s="93" t="s">
        <v>14</v>
      </c>
    </row>
    <row r="42" spans="1:11" ht="80">
      <c r="A42" s="93" t="s">
        <v>202</v>
      </c>
      <c r="B42" s="93" t="s">
        <v>111</v>
      </c>
      <c r="C42" s="93" t="s">
        <v>204</v>
      </c>
      <c r="D42" s="93" t="s">
        <v>106</v>
      </c>
      <c r="E42" s="94" t="s">
        <v>91</v>
      </c>
      <c r="F42" s="93" t="s">
        <v>21</v>
      </c>
      <c r="G42" s="93" t="s">
        <v>72</v>
      </c>
      <c r="H42" s="93" t="s">
        <v>42</v>
      </c>
      <c r="I42" s="95">
        <v>2356000</v>
      </c>
      <c r="J42" s="93" t="s">
        <v>216</v>
      </c>
      <c r="K42" s="93" t="s">
        <v>14</v>
      </c>
    </row>
    <row r="43" spans="1:11" ht="80">
      <c r="A43" s="93" t="s">
        <v>202</v>
      </c>
      <c r="B43" s="93" t="s">
        <v>89</v>
      </c>
      <c r="C43" s="93" t="s">
        <v>204</v>
      </c>
      <c r="D43" s="93" t="s">
        <v>90</v>
      </c>
      <c r="E43" s="94" t="s">
        <v>91</v>
      </c>
      <c r="F43" s="93" t="s">
        <v>21</v>
      </c>
      <c r="G43" s="93" t="s">
        <v>70</v>
      </c>
      <c r="H43" s="93" t="s">
        <v>26</v>
      </c>
      <c r="I43" s="95">
        <v>1386000</v>
      </c>
      <c r="J43" s="93" t="s">
        <v>216</v>
      </c>
      <c r="K43" s="93" t="s">
        <v>14</v>
      </c>
    </row>
    <row r="44" spans="1:11" ht="80">
      <c r="A44" s="93" t="s">
        <v>202</v>
      </c>
      <c r="B44" s="93" t="s">
        <v>92</v>
      </c>
      <c r="C44" s="93" t="s">
        <v>204</v>
      </c>
      <c r="D44" s="93" t="s">
        <v>90</v>
      </c>
      <c r="E44" s="94" t="s">
        <v>91</v>
      </c>
      <c r="F44" s="93" t="s">
        <v>21</v>
      </c>
      <c r="G44" s="93" t="s">
        <v>70</v>
      </c>
      <c r="H44" s="93" t="s">
        <v>42</v>
      </c>
      <c r="I44" s="95">
        <v>1386000</v>
      </c>
      <c r="J44" s="93" t="s">
        <v>216</v>
      </c>
      <c r="K44" s="93" t="s">
        <v>14</v>
      </c>
    </row>
    <row r="45" spans="1:11" ht="80">
      <c r="A45" s="93" t="s">
        <v>202</v>
      </c>
      <c r="B45" s="93" t="s">
        <v>93</v>
      </c>
      <c r="C45" s="93" t="s">
        <v>204</v>
      </c>
      <c r="D45" s="93" t="s">
        <v>90</v>
      </c>
      <c r="E45" s="94" t="s">
        <v>91</v>
      </c>
      <c r="F45" s="93" t="s">
        <v>21</v>
      </c>
      <c r="G45" s="93" t="s">
        <v>74</v>
      </c>
      <c r="H45" s="93" t="s">
        <v>26</v>
      </c>
      <c r="I45" s="95">
        <v>1386000</v>
      </c>
      <c r="J45" s="93" t="s">
        <v>216</v>
      </c>
      <c r="K45" s="93" t="s">
        <v>14</v>
      </c>
    </row>
    <row r="46" spans="1:11" ht="80">
      <c r="A46" s="93" t="s">
        <v>202</v>
      </c>
      <c r="B46" s="93" t="s">
        <v>94</v>
      </c>
      <c r="C46" s="93" t="s">
        <v>204</v>
      </c>
      <c r="D46" s="93" t="s">
        <v>90</v>
      </c>
      <c r="E46" s="94" t="s">
        <v>91</v>
      </c>
      <c r="F46" s="93" t="s">
        <v>21</v>
      </c>
      <c r="G46" s="93" t="s">
        <v>74</v>
      </c>
      <c r="H46" s="93" t="s">
        <v>42</v>
      </c>
      <c r="I46" s="95">
        <v>1386000</v>
      </c>
      <c r="J46" s="93" t="s">
        <v>216</v>
      </c>
      <c r="K46" s="93" t="s">
        <v>14</v>
      </c>
    </row>
    <row r="47" spans="1:11" ht="80">
      <c r="A47" s="93" t="s">
        <v>202</v>
      </c>
      <c r="B47" s="93" t="s">
        <v>95</v>
      </c>
      <c r="C47" s="93" t="s">
        <v>204</v>
      </c>
      <c r="D47" s="93" t="s">
        <v>90</v>
      </c>
      <c r="E47" s="94" t="s">
        <v>91</v>
      </c>
      <c r="F47" s="93" t="s">
        <v>21</v>
      </c>
      <c r="G47" s="93" t="s">
        <v>72</v>
      </c>
      <c r="H47" s="93" t="s">
        <v>26</v>
      </c>
      <c r="I47" s="95">
        <v>1386000</v>
      </c>
      <c r="J47" s="93" t="s">
        <v>216</v>
      </c>
      <c r="K47" s="93" t="s">
        <v>14</v>
      </c>
    </row>
    <row r="48" spans="1:11" ht="80">
      <c r="A48" s="93" t="s">
        <v>202</v>
      </c>
      <c r="B48" s="93" t="s">
        <v>96</v>
      </c>
      <c r="C48" s="93" t="s">
        <v>204</v>
      </c>
      <c r="D48" s="93" t="s">
        <v>90</v>
      </c>
      <c r="E48" s="94" t="s">
        <v>91</v>
      </c>
      <c r="F48" s="93" t="s">
        <v>21</v>
      </c>
      <c r="G48" s="93" t="s">
        <v>72</v>
      </c>
      <c r="H48" s="93" t="s">
        <v>42</v>
      </c>
      <c r="I48" s="95">
        <v>2356000</v>
      </c>
      <c r="J48" s="93" t="s">
        <v>216</v>
      </c>
      <c r="K48" s="93" t="s">
        <v>14</v>
      </c>
    </row>
    <row r="49" spans="1:11" ht="80">
      <c r="A49" s="93" t="s">
        <v>202</v>
      </c>
      <c r="B49" s="93" t="s">
        <v>97</v>
      </c>
      <c r="C49" s="93" t="s">
        <v>204</v>
      </c>
      <c r="D49" s="93" t="s">
        <v>98</v>
      </c>
      <c r="E49" s="94" t="s">
        <v>99</v>
      </c>
      <c r="F49" s="93" t="s">
        <v>21</v>
      </c>
      <c r="G49" s="93" t="s">
        <v>70</v>
      </c>
      <c r="H49" s="93" t="s">
        <v>26</v>
      </c>
      <c r="I49" s="95">
        <v>2356000</v>
      </c>
      <c r="J49" s="93" t="s">
        <v>216</v>
      </c>
      <c r="K49" s="93" t="s">
        <v>14</v>
      </c>
    </row>
    <row r="50" spans="1:11" ht="80">
      <c r="A50" s="93" t="s">
        <v>202</v>
      </c>
      <c r="B50" s="93" t="s">
        <v>100</v>
      </c>
      <c r="C50" s="93" t="s">
        <v>204</v>
      </c>
      <c r="D50" s="93" t="s">
        <v>98</v>
      </c>
      <c r="E50" s="94" t="s">
        <v>99</v>
      </c>
      <c r="F50" s="93" t="s">
        <v>21</v>
      </c>
      <c r="G50" s="93" t="s">
        <v>70</v>
      </c>
      <c r="H50" s="93" t="s">
        <v>42</v>
      </c>
      <c r="I50" s="95">
        <v>2356000</v>
      </c>
      <c r="J50" s="93" t="s">
        <v>216</v>
      </c>
      <c r="K50" s="93" t="s">
        <v>14</v>
      </c>
    </row>
    <row r="51" spans="1:11" ht="80">
      <c r="A51" s="93" t="s">
        <v>202</v>
      </c>
      <c r="B51" s="93" t="s">
        <v>101</v>
      </c>
      <c r="C51" s="93" t="s">
        <v>204</v>
      </c>
      <c r="D51" s="93" t="s">
        <v>98</v>
      </c>
      <c r="E51" s="94" t="s">
        <v>99</v>
      </c>
      <c r="F51" s="93" t="s">
        <v>21</v>
      </c>
      <c r="G51" s="93" t="s">
        <v>74</v>
      </c>
      <c r="H51" s="93" t="s">
        <v>26</v>
      </c>
      <c r="I51" s="95">
        <v>2356000</v>
      </c>
      <c r="J51" s="93" t="s">
        <v>216</v>
      </c>
      <c r="K51" s="93" t="s">
        <v>14</v>
      </c>
    </row>
    <row r="52" spans="1:11" ht="80">
      <c r="A52" s="93" t="s">
        <v>202</v>
      </c>
      <c r="B52" s="93" t="s">
        <v>102</v>
      </c>
      <c r="C52" s="93" t="s">
        <v>204</v>
      </c>
      <c r="D52" s="93" t="s">
        <v>98</v>
      </c>
      <c r="E52" s="94" t="s">
        <v>99</v>
      </c>
      <c r="F52" s="93" t="s">
        <v>21</v>
      </c>
      <c r="G52" s="93" t="s">
        <v>74</v>
      </c>
      <c r="H52" s="93" t="s">
        <v>42</v>
      </c>
      <c r="I52" s="95">
        <v>2356000</v>
      </c>
      <c r="J52" s="93" t="s">
        <v>216</v>
      </c>
      <c r="K52" s="93" t="s">
        <v>14</v>
      </c>
    </row>
    <row r="53" spans="1:11" ht="80">
      <c r="A53" s="93" t="s">
        <v>202</v>
      </c>
      <c r="B53" s="93" t="s">
        <v>103</v>
      </c>
      <c r="C53" s="93" t="s">
        <v>204</v>
      </c>
      <c r="D53" s="93" t="s">
        <v>98</v>
      </c>
      <c r="E53" s="94" t="s">
        <v>99</v>
      </c>
      <c r="F53" s="93" t="s">
        <v>21</v>
      </c>
      <c r="G53" s="93" t="s">
        <v>72</v>
      </c>
      <c r="H53" s="93" t="s">
        <v>26</v>
      </c>
      <c r="I53" s="95">
        <v>2356000</v>
      </c>
      <c r="J53" s="93" t="s">
        <v>216</v>
      </c>
      <c r="K53" s="93" t="s">
        <v>14</v>
      </c>
    </row>
    <row r="54" spans="1:11" ht="80">
      <c r="A54" s="93" t="s">
        <v>202</v>
      </c>
      <c r="B54" s="93" t="s">
        <v>104</v>
      </c>
      <c r="C54" s="93" t="s">
        <v>204</v>
      </c>
      <c r="D54" s="93" t="s">
        <v>98</v>
      </c>
      <c r="E54" s="94" t="s">
        <v>99</v>
      </c>
      <c r="F54" s="93" t="s">
        <v>21</v>
      </c>
      <c r="G54" s="93" t="s">
        <v>72</v>
      </c>
      <c r="H54" s="93" t="s">
        <v>42</v>
      </c>
      <c r="I54" s="95">
        <v>2356000</v>
      </c>
      <c r="J54" s="93" t="s">
        <v>216</v>
      </c>
      <c r="K54" s="93" t="s">
        <v>14</v>
      </c>
    </row>
    <row r="55" spans="1:11">
      <c r="A55" s="93" t="s">
        <v>202</v>
      </c>
      <c r="B55" s="93" t="s">
        <v>147</v>
      </c>
      <c r="C55" s="93" t="s">
        <v>204</v>
      </c>
      <c r="D55" s="93" t="s">
        <v>148</v>
      </c>
      <c r="E55" s="94" t="s">
        <v>128</v>
      </c>
      <c r="F55" s="93" t="s">
        <v>21</v>
      </c>
      <c r="G55" s="93" t="s">
        <v>70</v>
      </c>
      <c r="H55" s="93" t="s">
        <v>42</v>
      </c>
      <c r="I55" s="95">
        <v>21000000</v>
      </c>
      <c r="J55" s="93" t="s">
        <v>216</v>
      </c>
      <c r="K55" s="93" t="s">
        <v>14</v>
      </c>
    </row>
    <row r="56" spans="1:11">
      <c r="A56" s="93" t="s">
        <v>202</v>
      </c>
      <c r="B56" s="93" t="s">
        <v>149</v>
      </c>
      <c r="C56" s="93" t="s">
        <v>204</v>
      </c>
      <c r="D56" s="93" t="s">
        <v>148</v>
      </c>
      <c r="E56" s="94" t="s">
        <v>128</v>
      </c>
      <c r="F56" s="93" t="s">
        <v>21</v>
      </c>
      <c r="G56" s="93" t="s">
        <v>74</v>
      </c>
      <c r="H56" s="93" t="s">
        <v>42</v>
      </c>
      <c r="I56" s="95">
        <v>21000000</v>
      </c>
      <c r="J56" s="93" t="s">
        <v>216</v>
      </c>
      <c r="K56" s="93" t="s">
        <v>14</v>
      </c>
    </row>
    <row r="57" spans="1:11">
      <c r="A57" s="93" t="s">
        <v>202</v>
      </c>
      <c r="B57" s="93" t="s">
        <v>150</v>
      </c>
      <c r="C57" s="93" t="s">
        <v>204</v>
      </c>
      <c r="D57" s="93" t="s">
        <v>148</v>
      </c>
      <c r="E57" s="94" t="s">
        <v>128</v>
      </c>
      <c r="F57" s="93" t="s">
        <v>21</v>
      </c>
      <c r="G57" s="93" t="s">
        <v>72</v>
      </c>
      <c r="H57" s="93" t="s">
        <v>42</v>
      </c>
      <c r="I57" s="95">
        <v>21000000</v>
      </c>
      <c r="J57" s="93" t="s">
        <v>216</v>
      </c>
      <c r="K57" s="93" t="s">
        <v>14</v>
      </c>
    </row>
    <row r="58" spans="1:11">
      <c r="A58" s="93" t="s">
        <v>202</v>
      </c>
      <c r="B58" s="93" t="s">
        <v>151</v>
      </c>
      <c r="C58" s="93" t="s">
        <v>204</v>
      </c>
      <c r="D58" s="93" t="s">
        <v>152</v>
      </c>
      <c r="E58" s="94" t="s">
        <v>128</v>
      </c>
      <c r="F58" s="93" t="s">
        <v>21</v>
      </c>
      <c r="G58" s="93" t="s">
        <v>74</v>
      </c>
      <c r="H58" s="93" t="s">
        <v>26</v>
      </c>
      <c r="I58" s="95">
        <v>16000000</v>
      </c>
      <c r="J58" s="93" t="s">
        <v>216</v>
      </c>
      <c r="K58" s="93" t="s">
        <v>14</v>
      </c>
    </row>
    <row r="59" spans="1:11">
      <c r="A59" s="93" t="s">
        <v>202</v>
      </c>
      <c r="B59" s="93" t="s">
        <v>153</v>
      </c>
      <c r="C59" s="93" t="s">
        <v>204</v>
      </c>
      <c r="D59" s="93" t="s">
        <v>152</v>
      </c>
      <c r="E59" s="94" t="s">
        <v>128</v>
      </c>
      <c r="F59" s="93" t="s">
        <v>21</v>
      </c>
      <c r="G59" s="93" t="s">
        <v>74</v>
      </c>
      <c r="H59" s="93" t="s">
        <v>42</v>
      </c>
      <c r="I59" s="95">
        <v>21000000</v>
      </c>
      <c r="J59" s="93" t="s">
        <v>216</v>
      </c>
      <c r="K59" s="93" t="s">
        <v>14</v>
      </c>
    </row>
    <row r="60" spans="1:11">
      <c r="A60" s="93" t="s">
        <v>202</v>
      </c>
      <c r="B60" s="93" t="s">
        <v>154</v>
      </c>
      <c r="C60" s="93" t="s">
        <v>204</v>
      </c>
      <c r="D60" s="93" t="s">
        <v>152</v>
      </c>
      <c r="E60" s="94" t="s">
        <v>128</v>
      </c>
      <c r="F60" s="93" t="s">
        <v>21</v>
      </c>
      <c r="G60" s="93" t="s">
        <v>70</v>
      </c>
      <c r="H60" s="93" t="s">
        <v>26</v>
      </c>
      <c r="I60" s="95">
        <v>16000000</v>
      </c>
      <c r="J60" s="93" t="s">
        <v>216</v>
      </c>
      <c r="K60" s="93" t="s">
        <v>14</v>
      </c>
    </row>
    <row r="61" spans="1:11">
      <c r="A61" s="93" t="s">
        <v>202</v>
      </c>
      <c r="B61" s="93" t="s">
        <v>155</v>
      </c>
      <c r="C61" s="93" t="s">
        <v>204</v>
      </c>
      <c r="D61" s="93" t="s">
        <v>152</v>
      </c>
      <c r="E61" s="94" t="s">
        <v>128</v>
      </c>
      <c r="F61" s="93" t="s">
        <v>21</v>
      </c>
      <c r="G61" s="93" t="s">
        <v>72</v>
      </c>
      <c r="H61" s="93" t="s">
        <v>26</v>
      </c>
      <c r="I61" s="95">
        <v>16000000</v>
      </c>
      <c r="J61" s="93" t="s">
        <v>216</v>
      </c>
      <c r="K61" s="93" t="s">
        <v>14</v>
      </c>
    </row>
    <row r="62" spans="1:11">
      <c r="A62" s="93" t="s">
        <v>202</v>
      </c>
      <c r="B62" s="93" t="s">
        <v>156</v>
      </c>
      <c r="C62" s="93" t="s">
        <v>204</v>
      </c>
      <c r="D62" s="93" t="s">
        <v>152</v>
      </c>
      <c r="E62" s="94" t="s">
        <v>128</v>
      </c>
      <c r="F62" s="93" t="s">
        <v>21</v>
      </c>
      <c r="G62" s="93" t="s">
        <v>72</v>
      </c>
      <c r="H62" s="93" t="s">
        <v>42</v>
      </c>
      <c r="I62" s="95">
        <v>21000000</v>
      </c>
      <c r="J62" s="93" t="s">
        <v>216</v>
      </c>
      <c r="K62" s="93" t="s">
        <v>14</v>
      </c>
    </row>
    <row r="63" spans="1:11">
      <c r="A63" s="93" t="s">
        <v>202</v>
      </c>
      <c r="B63" s="93" t="s">
        <v>157</v>
      </c>
      <c r="C63" s="93" t="s">
        <v>204</v>
      </c>
      <c r="D63" s="93" t="s">
        <v>152</v>
      </c>
      <c r="E63" s="94" t="s">
        <v>128</v>
      </c>
      <c r="F63" s="93" t="s">
        <v>21</v>
      </c>
      <c r="G63" s="93" t="s">
        <v>70</v>
      </c>
      <c r="H63" s="93" t="s">
        <v>42</v>
      </c>
      <c r="I63" s="95">
        <v>21000000</v>
      </c>
      <c r="J63" s="93" t="s">
        <v>216</v>
      </c>
      <c r="K63" s="93" t="s">
        <v>14</v>
      </c>
    </row>
    <row r="64" spans="1:11">
      <c r="A64" s="93" t="s">
        <v>202</v>
      </c>
      <c r="B64" s="93" t="s">
        <v>158</v>
      </c>
      <c r="C64" s="93" t="s">
        <v>204</v>
      </c>
      <c r="D64" s="93" t="s">
        <v>159</v>
      </c>
      <c r="E64" s="94" t="s">
        <v>128</v>
      </c>
      <c r="F64" s="93" t="s">
        <v>21</v>
      </c>
      <c r="G64" s="93" t="s">
        <v>70</v>
      </c>
      <c r="H64" s="93" t="s">
        <v>42</v>
      </c>
      <c r="I64" s="95">
        <v>21000000</v>
      </c>
      <c r="J64" s="93" t="s">
        <v>216</v>
      </c>
      <c r="K64" s="93" t="s">
        <v>14</v>
      </c>
    </row>
    <row r="65" spans="1:11">
      <c r="A65" s="93" t="s">
        <v>202</v>
      </c>
      <c r="B65" s="93" t="s">
        <v>160</v>
      </c>
      <c r="C65" s="93" t="s">
        <v>204</v>
      </c>
      <c r="D65" s="93" t="s">
        <v>159</v>
      </c>
      <c r="E65" s="94" t="s">
        <v>128</v>
      </c>
      <c r="F65" s="93" t="s">
        <v>21</v>
      </c>
      <c r="G65" s="93" t="s">
        <v>74</v>
      </c>
      <c r="H65" s="93" t="s">
        <v>26</v>
      </c>
      <c r="I65" s="95">
        <v>16000000</v>
      </c>
      <c r="J65" s="93" t="s">
        <v>216</v>
      </c>
      <c r="K65" s="93" t="s">
        <v>14</v>
      </c>
    </row>
    <row r="66" spans="1:11">
      <c r="A66" s="93" t="s">
        <v>202</v>
      </c>
      <c r="B66" s="93" t="s">
        <v>161</v>
      </c>
      <c r="C66" s="93" t="s">
        <v>204</v>
      </c>
      <c r="D66" s="93" t="s">
        <v>159</v>
      </c>
      <c r="E66" s="94" t="s">
        <v>128</v>
      </c>
      <c r="F66" s="93" t="s">
        <v>21</v>
      </c>
      <c r="G66" s="93" t="s">
        <v>74</v>
      </c>
      <c r="H66" s="93" t="s">
        <v>42</v>
      </c>
      <c r="I66" s="95">
        <v>21000000</v>
      </c>
      <c r="J66" s="93" t="s">
        <v>216</v>
      </c>
      <c r="K66" s="93" t="s">
        <v>14</v>
      </c>
    </row>
    <row r="67" spans="1:11">
      <c r="A67" s="93" t="s">
        <v>202</v>
      </c>
      <c r="B67" s="93" t="s">
        <v>162</v>
      </c>
      <c r="C67" s="93" t="s">
        <v>204</v>
      </c>
      <c r="D67" s="93" t="s">
        <v>159</v>
      </c>
      <c r="E67" s="94" t="s">
        <v>128</v>
      </c>
      <c r="F67" s="93" t="s">
        <v>21</v>
      </c>
      <c r="G67" s="93" t="s">
        <v>72</v>
      </c>
      <c r="H67" s="93" t="s">
        <v>26</v>
      </c>
      <c r="I67" s="95">
        <v>16000000</v>
      </c>
      <c r="J67" s="93" t="s">
        <v>216</v>
      </c>
      <c r="K67" s="93" t="s">
        <v>14</v>
      </c>
    </row>
    <row r="68" spans="1:11">
      <c r="A68" s="93" t="s">
        <v>202</v>
      </c>
      <c r="B68" s="93" t="s">
        <v>163</v>
      </c>
      <c r="C68" s="93" t="s">
        <v>204</v>
      </c>
      <c r="D68" s="93" t="s">
        <v>159</v>
      </c>
      <c r="E68" s="94" t="s">
        <v>128</v>
      </c>
      <c r="F68" s="93" t="s">
        <v>21</v>
      </c>
      <c r="G68" s="93" t="s">
        <v>72</v>
      </c>
      <c r="H68" s="93" t="s">
        <v>42</v>
      </c>
      <c r="I68" s="95">
        <v>21000000</v>
      </c>
      <c r="J68" s="93" t="s">
        <v>216</v>
      </c>
      <c r="K68" s="93" t="s">
        <v>14</v>
      </c>
    </row>
    <row r="69" spans="1:11">
      <c r="A69" s="93" t="s">
        <v>202</v>
      </c>
      <c r="B69" s="93" t="s">
        <v>164</v>
      </c>
      <c r="C69" s="93" t="s">
        <v>204</v>
      </c>
      <c r="D69" s="93" t="s">
        <v>159</v>
      </c>
      <c r="E69" s="94" t="s">
        <v>128</v>
      </c>
      <c r="F69" s="93" t="s">
        <v>21</v>
      </c>
      <c r="G69" s="93" t="s">
        <v>70</v>
      </c>
      <c r="H69" s="93" t="s">
        <v>26</v>
      </c>
      <c r="I69" s="95">
        <v>16000000</v>
      </c>
      <c r="J69" s="93" t="s">
        <v>216</v>
      </c>
      <c r="K69" s="93" t="s">
        <v>14</v>
      </c>
    </row>
  </sheetData>
  <mergeCells count="1">
    <mergeCell ref="A1:K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zoomScaleNormal="100" workbookViewId="0">
      <selection activeCell="A3" sqref="A3:XFD3"/>
    </sheetView>
  </sheetViews>
  <sheetFormatPr baseColWidth="10" defaultRowHeight="14.5"/>
  <cols>
    <col min="1" max="1" width="17.36328125" bestFit="1" customWidth="1"/>
    <col min="2" max="2" width="19.36328125" bestFit="1" customWidth="1"/>
    <col min="3" max="3" width="26.453125" bestFit="1" customWidth="1"/>
    <col min="4" max="4" width="255.6328125" bestFit="1" customWidth="1"/>
    <col min="5" max="5" width="34.90625" bestFit="1" customWidth="1"/>
    <col min="6" max="6" width="10.453125" bestFit="1" customWidth="1"/>
    <col min="7" max="7" width="13.36328125" bestFit="1" customWidth="1"/>
    <col min="8" max="8" width="19" bestFit="1" customWidth="1"/>
    <col min="9" max="9" width="26" bestFit="1" customWidth="1"/>
    <col min="10" max="10" width="47.08984375" bestFit="1" customWidth="1"/>
    <col min="11" max="11" width="18.54296875" bestFit="1" customWidth="1"/>
    <col min="12" max="12" width="12.90625" bestFit="1" customWidth="1"/>
    <col min="13" max="13" width="10.6328125" bestFit="1" customWidth="1"/>
  </cols>
  <sheetData>
    <row r="1" spans="1:13" ht="46.5">
      <c r="A1" s="317" t="s">
        <v>2921</v>
      </c>
      <c r="B1" s="318"/>
      <c r="C1" s="318"/>
      <c r="D1" s="318"/>
      <c r="E1" s="318"/>
      <c r="F1" s="318"/>
      <c r="G1" s="318"/>
      <c r="H1" s="318"/>
      <c r="I1" s="318"/>
      <c r="J1" s="318"/>
      <c r="K1" s="318"/>
      <c r="L1" s="318"/>
      <c r="M1" s="319"/>
    </row>
    <row r="2" spans="1:13" s="105" customFormat="1" ht="15">
      <c r="A2" s="102" t="s">
        <v>1445</v>
      </c>
      <c r="B2" s="103" t="s">
        <v>1430</v>
      </c>
      <c r="C2" s="103" t="s">
        <v>1446</v>
      </c>
      <c r="D2" s="103" t="s">
        <v>4</v>
      </c>
      <c r="E2" s="103" t="s">
        <v>5</v>
      </c>
      <c r="F2" s="103" t="s">
        <v>6</v>
      </c>
      <c r="G2" s="103" t="s">
        <v>7</v>
      </c>
      <c r="H2" s="103" t="s">
        <v>8</v>
      </c>
      <c r="I2" s="103" t="s">
        <v>9</v>
      </c>
      <c r="J2" s="103" t="s">
        <v>1434</v>
      </c>
      <c r="K2" s="103" t="s">
        <v>1432</v>
      </c>
      <c r="L2" s="103" t="s">
        <v>1433</v>
      </c>
      <c r="M2" s="104" t="s">
        <v>3</v>
      </c>
    </row>
    <row r="3" spans="1:13" ht="16">
      <c r="A3" s="106" t="s">
        <v>2058</v>
      </c>
      <c r="B3" s="106" t="s">
        <v>2059</v>
      </c>
      <c r="C3" s="106" t="s">
        <v>2060</v>
      </c>
      <c r="D3" s="106" t="s">
        <v>2762</v>
      </c>
      <c r="E3" s="106" t="s">
        <v>2061</v>
      </c>
      <c r="F3" s="106" t="s">
        <v>16</v>
      </c>
      <c r="G3" s="107" t="s">
        <v>17</v>
      </c>
      <c r="H3" s="107" t="s">
        <v>18</v>
      </c>
      <c r="I3" s="108" t="s">
        <v>15</v>
      </c>
      <c r="J3" s="106" t="s">
        <v>2062</v>
      </c>
      <c r="K3" s="109">
        <v>215236400</v>
      </c>
      <c r="L3" s="107" t="s">
        <v>172</v>
      </c>
      <c r="M3" s="107" t="s">
        <v>14</v>
      </c>
    </row>
    <row r="4" spans="1:13" ht="16">
      <c r="A4" s="106" t="s">
        <v>2058</v>
      </c>
      <c r="B4" s="106" t="s">
        <v>2063</v>
      </c>
      <c r="C4" s="106" t="s">
        <v>2060</v>
      </c>
      <c r="D4" s="106" t="s">
        <v>2763</v>
      </c>
      <c r="E4" s="106" t="s">
        <v>19</v>
      </c>
      <c r="F4" s="106" t="s">
        <v>16</v>
      </c>
      <c r="G4" s="107" t="s">
        <v>17</v>
      </c>
      <c r="H4" s="107" t="s">
        <v>18</v>
      </c>
      <c r="I4" s="108" t="s">
        <v>15</v>
      </c>
      <c r="J4" s="106" t="s">
        <v>2062</v>
      </c>
      <c r="K4" s="109">
        <v>220000</v>
      </c>
      <c r="L4" s="107" t="s">
        <v>172</v>
      </c>
      <c r="M4" s="107" t="s">
        <v>14</v>
      </c>
    </row>
    <row r="5" spans="1:13" ht="16">
      <c r="A5" s="106" t="s">
        <v>2058</v>
      </c>
      <c r="B5" s="106" t="s">
        <v>2064</v>
      </c>
      <c r="C5" s="106" t="s">
        <v>2060</v>
      </c>
      <c r="D5" s="106" t="s">
        <v>2764</v>
      </c>
      <c r="E5" s="106" t="s">
        <v>20</v>
      </c>
      <c r="F5" s="106" t="s">
        <v>16</v>
      </c>
      <c r="G5" s="107" t="s">
        <v>17</v>
      </c>
      <c r="H5" s="107" t="s">
        <v>18</v>
      </c>
      <c r="I5" s="108" t="s">
        <v>15</v>
      </c>
      <c r="J5" s="106" t="s">
        <v>2062</v>
      </c>
      <c r="K5" s="109">
        <v>40000000</v>
      </c>
      <c r="L5" s="107" t="s">
        <v>172</v>
      </c>
      <c r="M5" s="107" t="s">
        <v>14</v>
      </c>
    </row>
    <row r="6" spans="1:13" ht="16">
      <c r="A6" s="106" t="s">
        <v>2058</v>
      </c>
      <c r="B6" s="106" t="s">
        <v>2153</v>
      </c>
      <c r="C6" s="106" t="s">
        <v>2060</v>
      </c>
      <c r="D6" s="106" t="s">
        <v>2765</v>
      </c>
      <c r="E6" s="106" t="s">
        <v>2766</v>
      </c>
      <c r="F6" s="106" t="s">
        <v>16</v>
      </c>
      <c r="G6" s="107" t="s">
        <v>17</v>
      </c>
      <c r="H6" s="107" t="s">
        <v>18</v>
      </c>
      <c r="I6" s="108" t="s">
        <v>15</v>
      </c>
      <c r="J6" s="106" t="s">
        <v>2062</v>
      </c>
      <c r="K6" s="109">
        <v>46122100</v>
      </c>
      <c r="L6" s="107" t="s">
        <v>172</v>
      </c>
      <c r="M6" s="107" t="s">
        <v>14</v>
      </c>
    </row>
    <row r="7" spans="1:13" ht="16">
      <c r="A7" s="106" t="s">
        <v>2058</v>
      </c>
      <c r="B7" s="106" t="s">
        <v>2767</v>
      </c>
      <c r="C7" s="106" t="s">
        <v>2060</v>
      </c>
      <c r="D7" s="106" t="s">
        <v>2768</v>
      </c>
      <c r="E7" s="106" t="s">
        <v>2766</v>
      </c>
      <c r="F7" s="106" t="s">
        <v>16</v>
      </c>
      <c r="G7" s="107" t="s">
        <v>17</v>
      </c>
      <c r="H7" s="107" t="s">
        <v>18</v>
      </c>
      <c r="I7" s="108" t="s">
        <v>15</v>
      </c>
      <c r="J7" s="106" t="s">
        <v>2062</v>
      </c>
      <c r="K7" s="109">
        <v>76870200</v>
      </c>
      <c r="L7" s="107" t="s">
        <v>172</v>
      </c>
      <c r="M7" s="107" t="s">
        <v>14</v>
      </c>
    </row>
    <row r="8" spans="1:13" ht="16">
      <c r="A8" s="106" t="s">
        <v>2058</v>
      </c>
      <c r="B8" s="106" t="s">
        <v>2769</v>
      </c>
      <c r="C8" s="106" t="s">
        <v>2060</v>
      </c>
      <c r="D8" s="106" t="s">
        <v>2770</v>
      </c>
      <c r="E8" s="106" t="s">
        <v>2771</v>
      </c>
      <c r="F8" s="106" t="s">
        <v>16</v>
      </c>
      <c r="G8" s="107" t="s">
        <v>17</v>
      </c>
      <c r="H8" s="107" t="s">
        <v>18</v>
      </c>
      <c r="I8" s="108" t="s">
        <v>15</v>
      </c>
      <c r="J8" s="106" t="s">
        <v>2062</v>
      </c>
      <c r="K8" s="109">
        <v>2535000</v>
      </c>
      <c r="L8" s="107" t="s">
        <v>172</v>
      </c>
      <c r="M8" s="107" t="s">
        <v>14</v>
      </c>
    </row>
    <row r="9" spans="1:13" ht="16">
      <c r="A9" s="106" t="s">
        <v>2058</v>
      </c>
      <c r="B9" s="106" t="s">
        <v>2772</v>
      </c>
      <c r="C9" s="106" t="s">
        <v>2060</v>
      </c>
      <c r="D9" s="106" t="s">
        <v>2773</v>
      </c>
      <c r="E9" s="106" t="s">
        <v>2771</v>
      </c>
      <c r="F9" s="106" t="s">
        <v>16</v>
      </c>
      <c r="G9" s="107" t="s">
        <v>17</v>
      </c>
      <c r="H9" s="107" t="s">
        <v>18</v>
      </c>
      <c r="I9" s="108" t="s">
        <v>15</v>
      </c>
      <c r="J9" s="106" t="s">
        <v>2062</v>
      </c>
      <c r="K9" s="109">
        <v>5069900</v>
      </c>
      <c r="L9" s="107" t="s">
        <v>172</v>
      </c>
      <c r="M9" s="107" t="s">
        <v>14</v>
      </c>
    </row>
    <row r="10" spans="1:13" ht="16">
      <c r="A10" s="106" t="s">
        <v>2058</v>
      </c>
      <c r="B10" s="106" t="s">
        <v>2065</v>
      </c>
      <c r="C10" s="106" t="s">
        <v>2060</v>
      </c>
      <c r="D10" s="106" t="s">
        <v>2774</v>
      </c>
      <c r="E10" s="106" t="s">
        <v>1193</v>
      </c>
      <c r="F10" s="106" t="s">
        <v>21</v>
      </c>
      <c r="G10" s="107" t="s">
        <v>17</v>
      </c>
      <c r="H10" s="107" t="s">
        <v>18</v>
      </c>
      <c r="I10" s="108" t="s">
        <v>2066</v>
      </c>
      <c r="J10" s="106" t="s">
        <v>2062</v>
      </c>
      <c r="K10" s="109">
        <v>8496000</v>
      </c>
      <c r="L10" s="107" t="s">
        <v>172</v>
      </c>
      <c r="M10" s="107" t="s">
        <v>14</v>
      </c>
    </row>
    <row r="11" spans="1:13" ht="16">
      <c r="A11" s="106" t="s">
        <v>2058</v>
      </c>
      <c r="B11" s="106" t="s">
        <v>2067</v>
      </c>
      <c r="C11" s="106" t="s">
        <v>2060</v>
      </c>
      <c r="D11" s="106" t="s">
        <v>2775</v>
      </c>
      <c r="E11" s="106" t="s">
        <v>22</v>
      </c>
      <c r="F11" s="106" t="s">
        <v>21</v>
      </c>
      <c r="G11" s="107" t="s">
        <v>17</v>
      </c>
      <c r="H11" s="107" t="s">
        <v>18</v>
      </c>
      <c r="I11" s="108" t="s">
        <v>2068</v>
      </c>
      <c r="J11" s="106" t="s">
        <v>23</v>
      </c>
      <c r="K11" s="109">
        <v>43047300</v>
      </c>
      <c r="L11" s="107" t="s">
        <v>172</v>
      </c>
      <c r="M11" s="107" t="s">
        <v>14</v>
      </c>
    </row>
    <row r="12" spans="1:13" ht="16">
      <c r="A12" s="106" t="s">
        <v>2058</v>
      </c>
      <c r="B12" s="106" t="s">
        <v>2776</v>
      </c>
      <c r="C12" s="106" t="s">
        <v>2060</v>
      </c>
      <c r="D12" s="106" t="s">
        <v>2777</v>
      </c>
      <c r="E12" s="106" t="s">
        <v>22</v>
      </c>
      <c r="F12" s="106" t="s">
        <v>21</v>
      </c>
      <c r="G12" s="107" t="s">
        <v>17</v>
      </c>
      <c r="H12" s="107" t="s">
        <v>18</v>
      </c>
      <c r="I12" s="108" t="s">
        <v>2068</v>
      </c>
      <c r="J12" s="106" t="s">
        <v>23</v>
      </c>
      <c r="K12" s="109">
        <v>9224500</v>
      </c>
      <c r="L12" s="107" t="s">
        <v>172</v>
      </c>
      <c r="M12" s="107" t="s">
        <v>14</v>
      </c>
    </row>
    <row r="13" spans="1:13" ht="16">
      <c r="A13" s="106" t="s">
        <v>2058</v>
      </c>
      <c r="B13" s="106" t="s">
        <v>2778</v>
      </c>
      <c r="C13" s="106" t="s">
        <v>2060</v>
      </c>
      <c r="D13" s="106" t="s">
        <v>2779</v>
      </c>
      <c r="E13" s="106" t="s">
        <v>22</v>
      </c>
      <c r="F13" s="106" t="s">
        <v>21</v>
      </c>
      <c r="G13" s="107" t="s">
        <v>17</v>
      </c>
      <c r="H13" s="107" t="s">
        <v>18</v>
      </c>
      <c r="I13" s="108" t="s">
        <v>2068</v>
      </c>
      <c r="J13" s="106" t="s">
        <v>23</v>
      </c>
      <c r="K13" s="109">
        <v>15374100</v>
      </c>
      <c r="L13" s="107" t="s">
        <v>172</v>
      </c>
      <c r="M13" s="107" t="s">
        <v>14</v>
      </c>
    </row>
    <row r="14" spans="1:13" ht="16">
      <c r="A14" s="106" t="s">
        <v>2058</v>
      </c>
      <c r="B14" s="106" t="s">
        <v>2088</v>
      </c>
      <c r="C14" s="106" t="s">
        <v>2060</v>
      </c>
      <c r="D14" s="106" t="s">
        <v>2780</v>
      </c>
      <c r="E14" s="106" t="s">
        <v>2061</v>
      </c>
      <c r="F14" s="106" t="s">
        <v>16</v>
      </c>
      <c r="G14" s="107" t="s">
        <v>17</v>
      </c>
      <c r="H14" s="107" t="s">
        <v>18</v>
      </c>
      <c r="I14" s="108" t="s">
        <v>15</v>
      </c>
      <c r="J14" s="106" t="s">
        <v>2062</v>
      </c>
      <c r="K14" s="109">
        <v>147618200</v>
      </c>
      <c r="L14" s="107" t="s">
        <v>172</v>
      </c>
      <c r="M14" s="107" t="s">
        <v>14</v>
      </c>
    </row>
    <row r="15" spans="1:13" ht="16">
      <c r="A15" s="106" t="s">
        <v>2058</v>
      </c>
      <c r="B15" s="106" t="s">
        <v>2089</v>
      </c>
      <c r="C15" s="106" t="s">
        <v>2060</v>
      </c>
      <c r="D15" s="106" t="s">
        <v>2781</v>
      </c>
      <c r="E15" s="106" t="s">
        <v>19</v>
      </c>
      <c r="F15" s="106" t="s">
        <v>16</v>
      </c>
      <c r="G15" s="107" t="s">
        <v>17</v>
      </c>
      <c r="H15" s="107" t="s">
        <v>18</v>
      </c>
      <c r="I15" s="108" t="s">
        <v>15</v>
      </c>
      <c r="J15" s="106" t="s">
        <v>2062</v>
      </c>
      <c r="K15" s="109">
        <v>200000</v>
      </c>
      <c r="L15" s="107" t="s">
        <v>172</v>
      </c>
      <c r="M15" s="107" t="s">
        <v>14</v>
      </c>
    </row>
    <row r="16" spans="1:13" ht="16">
      <c r="A16" s="106" t="s">
        <v>2058</v>
      </c>
      <c r="B16" s="106" t="s">
        <v>2090</v>
      </c>
      <c r="C16" s="106" t="s">
        <v>2060</v>
      </c>
      <c r="D16" s="106" t="s">
        <v>2782</v>
      </c>
      <c r="E16" s="106" t="s">
        <v>20</v>
      </c>
      <c r="F16" s="106" t="s">
        <v>16</v>
      </c>
      <c r="G16" s="107" t="s">
        <v>17</v>
      </c>
      <c r="H16" s="107" t="s">
        <v>18</v>
      </c>
      <c r="I16" s="108" t="s">
        <v>15</v>
      </c>
      <c r="J16" s="106" t="s">
        <v>2062</v>
      </c>
      <c r="K16" s="109">
        <v>40000000</v>
      </c>
      <c r="L16" s="107" t="s">
        <v>172</v>
      </c>
      <c r="M16" s="107" t="s">
        <v>14</v>
      </c>
    </row>
    <row r="17" spans="1:13" ht="16">
      <c r="A17" s="106" t="s">
        <v>2058</v>
      </c>
      <c r="B17" s="106" t="s">
        <v>2091</v>
      </c>
      <c r="C17" s="106" t="s">
        <v>2060</v>
      </c>
      <c r="D17" s="106" t="s">
        <v>2783</v>
      </c>
      <c r="E17" s="106" t="s">
        <v>1193</v>
      </c>
      <c r="F17" s="106" t="s">
        <v>21</v>
      </c>
      <c r="G17" s="107" t="s">
        <v>17</v>
      </c>
      <c r="H17" s="107" t="s">
        <v>18</v>
      </c>
      <c r="I17" s="108" t="s">
        <v>2066</v>
      </c>
      <c r="J17" s="106" t="s">
        <v>2062</v>
      </c>
      <c r="K17" s="109">
        <v>8496000</v>
      </c>
      <c r="L17" s="107" t="s">
        <v>172</v>
      </c>
      <c r="M17" s="107" t="s">
        <v>14</v>
      </c>
    </row>
    <row r="18" spans="1:13" ht="16">
      <c r="A18" s="106" t="s">
        <v>2058</v>
      </c>
      <c r="B18" s="106" t="s">
        <v>2092</v>
      </c>
      <c r="C18" s="106" t="s">
        <v>2060</v>
      </c>
      <c r="D18" s="106" t="s">
        <v>2784</v>
      </c>
      <c r="E18" s="106" t="s">
        <v>22</v>
      </c>
      <c r="F18" s="106" t="s">
        <v>21</v>
      </c>
      <c r="G18" s="107" t="s">
        <v>17</v>
      </c>
      <c r="H18" s="107" t="s">
        <v>18</v>
      </c>
      <c r="I18" s="108" t="s">
        <v>2068</v>
      </c>
      <c r="J18" s="106" t="s">
        <v>23</v>
      </c>
      <c r="K18" s="109">
        <v>29523700</v>
      </c>
      <c r="L18" s="107" t="s">
        <v>172</v>
      </c>
      <c r="M18" s="107" t="s">
        <v>14</v>
      </c>
    </row>
    <row r="19" spans="1:13" ht="16">
      <c r="A19" s="106" t="s">
        <v>2058</v>
      </c>
      <c r="B19" s="106" t="s">
        <v>2785</v>
      </c>
      <c r="C19" s="106" t="s">
        <v>2060</v>
      </c>
      <c r="D19" s="106" t="s">
        <v>2786</v>
      </c>
      <c r="E19" s="106" t="s">
        <v>22</v>
      </c>
      <c r="F19" s="106" t="s">
        <v>21</v>
      </c>
      <c r="G19" s="107" t="s">
        <v>17</v>
      </c>
      <c r="H19" s="107" t="s">
        <v>18</v>
      </c>
      <c r="I19" s="108" t="s">
        <v>2068</v>
      </c>
      <c r="J19" s="106" t="s">
        <v>23</v>
      </c>
      <c r="K19" s="109">
        <v>9224500</v>
      </c>
      <c r="L19" s="107" t="s">
        <v>172</v>
      </c>
      <c r="M19" s="107" t="s">
        <v>14</v>
      </c>
    </row>
    <row r="20" spans="1:13" ht="16">
      <c r="A20" s="106" t="s">
        <v>2058</v>
      </c>
      <c r="B20" s="106" t="s">
        <v>2787</v>
      </c>
      <c r="C20" s="106" t="s">
        <v>2060</v>
      </c>
      <c r="D20" s="106" t="s">
        <v>2788</v>
      </c>
      <c r="E20" s="106" t="s">
        <v>22</v>
      </c>
      <c r="F20" s="106" t="s">
        <v>21</v>
      </c>
      <c r="G20" s="107" t="s">
        <v>17</v>
      </c>
      <c r="H20" s="107" t="s">
        <v>18</v>
      </c>
      <c r="I20" s="108" t="s">
        <v>2068</v>
      </c>
      <c r="J20" s="106" t="s">
        <v>23</v>
      </c>
      <c r="K20" s="109">
        <v>15374100</v>
      </c>
      <c r="L20" s="107" t="s">
        <v>172</v>
      </c>
      <c r="M20" s="107" t="s">
        <v>14</v>
      </c>
    </row>
    <row r="21" spans="1:13" ht="16">
      <c r="A21" s="106" t="s">
        <v>2058</v>
      </c>
      <c r="B21" s="106" t="s">
        <v>2069</v>
      </c>
      <c r="C21" s="106" t="s">
        <v>2060</v>
      </c>
      <c r="D21" s="106" t="s">
        <v>2789</v>
      </c>
      <c r="E21" s="106" t="s">
        <v>2061</v>
      </c>
      <c r="F21" s="106" t="s">
        <v>16</v>
      </c>
      <c r="G21" s="107" t="s">
        <v>17</v>
      </c>
      <c r="H21" s="107" t="s">
        <v>18</v>
      </c>
      <c r="I21" s="108" t="s">
        <v>15</v>
      </c>
      <c r="J21" s="106" t="s">
        <v>24</v>
      </c>
      <c r="K21" s="109">
        <v>13314600</v>
      </c>
      <c r="L21" s="107" t="s">
        <v>173</v>
      </c>
      <c r="M21" s="107" t="s">
        <v>14</v>
      </c>
    </row>
    <row r="22" spans="1:13" ht="16">
      <c r="A22" s="106" t="s">
        <v>2058</v>
      </c>
      <c r="B22" s="106" t="s">
        <v>2070</v>
      </c>
      <c r="C22" s="106" t="s">
        <v>2060</v>
      </c>
      <c r="D22" s="106" t="s">
        <v>2790</v>
      </c>
      <c r="E22" s="106" t="s">
        <v>19</v>
      </c>
      <c r="F22" s="106" t="s">
        <v>16</v>
      </c>
      <c r="G22" s="107" t="s">
        <v>17</v>
      </c>
      <c r="H22" s="107" t="s">
        <v>18</v>
      </c>
      <c r="I22" s="108" t="s">
        <v>15</v>
      </c>
      <c r="J22" s="106" t="s">
        <v>24</v>
      </c>
      <c r="K22" s="109">
        <v>25000</v>
      </c>
      <c r="L22" s="107" t="s">
        <v>173</v>
      </c>
      <c r="M22" s="107" t="s">
        <v>14</v>
      </c>
    </row>
    <row r="23" spans="1:13" ht="16">
      <c r="A23" s="106" t="s">
        <v>2058</v>
      </c>
      <c r="B23" s="106" t="s">
        <v>2071</v>
      </c>
      <c r="C23" s="106" t="s">
        <v>2060</v>
      </c>
      <c r="D23" s="106" t="s">
        <v>2791</v>
      </c>
      <c r="E23" s="106" t="s">
        <v>19</v>
      </c>
      <c r="F23" s="106" t="s">
        <v>16</v>
      </c>
      <c r="G23" s="107" t="s">
        <v>17</v>
      </c>
      <c r="H23" s="107" t="s">
        <v>18</v>
      </c>
      <c r="I23" s="108" t="s">
        <v>15</v>
      </c>
      <c r="J23" s="106" t="s">
        <v>24</v>
      </c>
      <c r="K23" s="109">
        <v>22000</v>
      </c>
      <c r="L23" s="107" t="s">
        <v>173</v>
      </c>
      <c r="M23" s="107" t="s">
        <v>14</v>
      </c>
    </row>
    <row r="24" spans="1:13" ht="16">
      <c r="A24" s="106" t="s">
        <v>2058</v>
      </c>
      <c r="B24" s="106" t="s">
        <v>2072</v>
      </c>
      <c r="C24" s="106" t="s">
        <v>2060</v>
      </c>
      <c r="D24" s="106" t="s">
        <v>2792</v>
      </c>
      <c r="E24" s="106" t="s">
        <v>19</v>
      </c>
      <c r="F24" s="106" t="s">
        <v>16</v>
      </c>
      <c r="G24" s="107" t="s">
        <v>17</v>
      </c>
      <c r="H24" s="107" t="s">
        <v>18</v>
      </c>
      <c r="I24" s="108" t="s">
        <v>15</v>
      </c>
      <c r="J24" s="106" t="s">
        <v>24</v>
      </c>
      <c r="K24" s="109">
        <v>19400</v>
      </c>
      <c r="L24" s="107" t="s">
        <v>173</v>
      </c>
      <c r="M24" s="107" t="s">
        <v>14</v>
      </c>
    </row>
    <row r="25" spans="1:13" ht="16">
      <c r="A25" s="106" t="s">
        <v>2058</v>
      </c>
      <c r="B25" s="106" t="s">
        <v>2073</v>
      </c>
      <c r="C25" s="106" t="s">
        <v>2060</v>
      </c>
      <c r="D25" s="106" t="s">
        <v>2793</v>
      </c>
      <c r="E25" s="106" t="s">
        <v>19</v>
      </c>
      <c r="F25" s="106" t="s">
        <v>16</v>
      </c>
      <c r="G25" s="107" t="s">
        <v>17</v>
      </c>
      <c r="H25" s="107" t="s">
        <v>18</v>
      </c>
      <c r="I25" s="108" t="s">
        <v>15</v>
      </c>
      <c r="J25" s="106" t="s">
        <v>24</v>
      </c>
      <c r="K25" s="109">
        <v>17200</v>
      </c>
      <c r="L25" s="107" t="s">
        <v>173</v>
      </c>
      <c r="M25" s="107" t="s">
        <v>14</v>
      </c>
    </row>
    <row r="26" spans="1:13" ht="16">
      <c r="A26" s="106" t="s">
        <v>2058</v>
      </c>
      <c r="B26" s="106" t="s">
        <v>2074</v>
      </c>
      <c r="C26" s="106" t="s">
        <v>2060</v>
      </c>
      <c r="D26" s="106" t="s">
        <v>2794</v>
      </c>
      <c r="E26" s="106" t="s">
        <v>19</v>
      </c>
      <c r="F26" s="106" t="s">
        <v>16</v>
      </c>
      <c r="G26" s="107" t="s">
        <v>17</v>
      </c>
      <c r="H26" s="107" t="s">
        <v>18</v>
      </c>
      <c r="I26" s="108" t="s">
        <v>15</v>
      </c>
      <c r="J26" s="106" t="s">
        <v>24</v>
      </c>
      <c r="K26" s="109">
        <v>15200</v>
      </c>
      <c r="L26" s="107" t="s">
        <v>173</v>
      </c>
      <c r="M26" s="107" t="s">
        <v>14</v>
      </c>
    </row>
    <row r="27" spans="1:13" ht="16">
      <c r="A27" s="106" t="s">
        <v>2058</v>
      </c>
      <c r="B27" s="106" t="s">
        <v>2075</v>
      </c>
      <c r="C27" s="106" t="s">
        <v>2060</v>
      </c>
      <c r="D27" s="106" t="s">
        <v>2795</v>
      </c>
      <c r="E27" s="106" t="s">
        <v>19</v>
      </c>
      <c r="F27" s="106" t="s">
        <v>16</v>
      </c>
      <c r="G27" s="107" t="s">
        <v>17</v>
      </c>
      <c r="H27" s="107" t="s">
        <v>18</v>
      </c>
      <c r="I27" s="108" t="s">
        <v>15</v>
      </c>
      <c r="J27" s="106" t="s">
        <v>24</v>
      </c>
      <c r="K27" s="109">
        <v>13700</v>
      </c>
      <c r="L27" s="107" t="s">
        <v>173</v>
      </c>
      <c r="M27" s="107" t="s">
        <v>14</v>
      </c>
    </row>
    <row r="28" spans="1:13" ht="16">
      <c r="A28" s="106" t="s">
        <v>2058</v>
      </c>
      <c r="B28" s="106" t="s">
        <v>2076</v>
      </c>
      <c r="C28" s="106" t="s">
        <v>2060</v>
      </c>
      <c r="D28" s="106" t="s">
        <v>2796</v>
      </c>
      <c r="E28" s="106" t="s">
        <v>20</v>
      </c>
      <c r="F28" s="106" t="s">
        <v>16</v>
      </c>
      <c r="G28" s="107" t="s">
        <v>17</v>
      </c>
      <c r="H28" s="107" t="s">
        <v>18</v>
      </c>
      <c r="I28" s="108" t="s">
        <v>15</v>
      </c>
      <c r="J28" s="106" t="s">
        <v>24</v>
      </c>
      <c r="K28" s="109">
        <v>822200</v>
      </c>
      <c r="L28" s="107" t="s">
        <v>173</v>
      </c>
      <c r="M28" s="107" t="s">
        <v>14</v>
      </c>
    </row>
    <row r="29" spans="1:13" ht="16">
      <c r="A29" s="106" t="s">
        <v>2058</v>
      </c>
      <c r="B29" s="106" t="s">
        <v>2077</v>
      </c>
      <c r="C29" s="106" t="s">
        <v>2060</v>
      </c>
      <c r="D29" s="106" t="s">
        <v>2078</v>
      </c>
      <c r="E29" s="106" t="s">
        <v>1193</v>
      </c>
      <c r="F29" s="106" t="s">
        <v>21</v>
      </c>
      <c r="G29" s="107" t="s">
        <v>17</v>
      </c>
      <c r="H29" s="107" t="s">
        <v>26</v>
      </c>
      <c r="I29" s="108" t="s">
        <v>2066</v>
      </c>
      <c r="J29" s="106" t="s">
        <v>2062</v>
      </c>
      <c r="K29" s="109">
        <v>8496000</v>
      </c>
      <c r="L29" s="107" t="s">
        <v>172</v>
      </c>
      <c r="M29" s="107" t="s">
        <v>14</v>
      </c>
    </row>
    <row r="30" spans="1:13" ht="16">
      <c r="A30" s="106" t="s">
        <v>2058</v>
      </c>
      <c r="B30" s="106" t="s">
        <v>2079</v>
      </c>
      <c r="C30" s="106" t="s">
        <v>2060</v>
      </c>
      <c r="D30" s="106" t="s">
        <v>2797</v>
      </c>
      <c r="E30" s="106" t="s">
        <v>27</v>
      </c>
      <c r="F30" s="106" t="s">
        <v>21</v>
      </c>
      <c r="G30" s="107" t="s">
        <v>17</v>
      </c>
      <c r="H30" s="107" t="s">
        <v>18</v>
      </c>
      <c r="I30" s="108" t="s">
        <v>2068</v>
      </c>
      <c r="J30" s="106" t="s">
        <v>28</v>
      </c>
      <c r="K30" s="109">
        <v>1980000</v>
      </c>
      <c r="L30" s="107" t="s">
        <v>172</v>
      </c>
      <c r="M30" s="107" t="s">
        <v>14</v>
      </c>
    </row>
    <row r="31" spans="1:13" ht="16">
      <c r="A31" s="106" t="s">
        <v>2058</v>
      </c>
      <c r="B31" s="106" t="s">
        <v>2421</v>
      </c>
      <c r="C31" s="106" t="s">
        <v>2060</v>
      </c>
      <c r="D31" s="106" t="s">
        <v>2798</v>
      </c>
      <c r="E31" s="106" t="s">
        <v>27</v>
      </c>
      <c r="F31" s="106" t="s">
        <v>21</v>
      </c>
      <c r="G31" s="107" t="s">
        <v>17</v>
      </c>
      <c r="H31" s="107" t="s">
        <v>18</v>
      </c>
      <c r="I31" s="108" t="s">
        <v>2068</v>
      </c>
      <c r="J31" s="106" t="s">
        <v>28</v>
      </c>
      <c r="K31" s="109">
        <v>1032000</v>
      </c>
      <c r="L31" s="107" t="s">
        <v>172</v>
      </c>
      <c r="M31" s="107" t="s">
        <v>14</v>
      </c>
    </row>
    <row r="32" spans="1:13" ht="16">
      <c r="A32" s="106" t="s">
        <v>2058</v>
      </c>
      <c r="B32" s="106" t="s">
        <v>2422</v>
      </c>
      <c r="C32" s="106" t="s">
        <v>2060</v>
      </c>
      <c r="D32" s="106" t="s">
        <v>2799</v>
      </c>
      <c r="E32" s="106" t="s">
        <v>27</v>
      </c>
      <c r="F32" s="106" t="s">
        <v>21</v>
      </c>
      <c r="G32" s="107" t="s">
        <v>17</v>
      </c>
      <c r="H32" s="107" t="s">
        <v>18</v>
      </c>
      <c r="I32" s="108" t="s">
        <v>2068</v>
      </c>
      <c r="J32" s="106" t="s">
        <v>28</v>
      </c>
      <c r="K32" s="109">
        <v>2572000</v>
      </c>
      <c r="L32" s="107" t="s">
        <v>172</v>
      </c>
      <c r="M32" s="107" t="s">
        <v>14</v>
      </c>
    </row>
    <row r="33" spans="1:13" ht="16">
      <c r="A33" s="106" t="s">
        <v>2058</v>
      </c>
      <c r="B33" s="106" t="s">
        <v>2080</v>
      </c>
      <c r="C33" s="106" t="s">
        <v>2060</v>
      </c>
      <c r="D33" s="106" t="s">
        <v>2800</v>
      </c>
      <c r="E33" s="106" t="s">
        <v>2081</v>
      </c>
      <c r="F33" s="106" t="s">
        <v>21</v>
      </c>
      <c r="G33" s="107" t="s">
        <v>17</v>
      </c>
      <c r="H33" s="107" t="s">
        <v>18</v>
      </c>
      <c r="I33" s="108" t="s">
        <v>2066</v>
      </c>
      <c r="J33" s="106" t="s">
        <v>28</v>
      </c>
      <c r="K33" s="109">
        <v>1654900</v>
      </c>
      <c r="L33" s="107" t="s">
        <v>172</v>
      </c>
      <c r="M33" s="107" t="s">
        <v>14</v>
      </c>
    </row>
    <row r="34" spans="1:13" ht="16">
      <c r="A34" s="106" t="s">
        <v>2058</v>
      </c>
      <c r="B34" s="106" t="s">
        <v>2082</v>
      </c>
      <c r="C34" s="106" t="s">
        <v>2060</v>
      </c>
      <c r="D34" s="106" t="s">
        <v>2801</v>
      </c>
      <c r="E34" s="106" t="s">
        <v>2083</v>
      </c>
      <c r="F34" s="106" t="s">
        <v>21</v>
      </c>
      <c r="G34" s="107" t="s">
        <v>17</v>
      </c>
      <c r="H34" s="107" t="s">
        <v>18</v>
      </c>
      <c r="I34" s="108" t="s">
        <v>2084</v>
      </c>
      <c r="J34" s="106" t="s">
        <v>28</v>
      </c>
      <c r="K34" s="109">
        <v>1654900</v>
      </c>
      <c r="L34" s="107" t="s">
        <v>172</v>
      </c>
      <c r="M34" s="107" t="s">
        <v>14</v>
      </c>
    </row>
    <row r="35" spans="1:13" ht="16">
      <c r="A35" s="106" t="s">
        <v>2058</v>
      </c>
      <c r="B35" s="106" t="s">
        <v>2085</v>
      </c>
      <c r="C35" s="106" t="s">
        <v>2060</v>
      </c>
      <c r="D35" s="106" t="s">
        <v>2802</v>
      </c>
      <c r="E35" s="106" t="s">
        <v>2083</v>
      </c>
      <c r="F35" s="106" t="s">
        <v>21</v>
      </c>
      <c r="G35" s="107" t="s">
        <v>17</v>
      </c>
      <c r="H35" s="107" t="s">
        <v>18</v>
      </c>
      <c r="I35" s="108" t="s">
        <v>2084</v>
      </c>
      <c r="J35" s="106" t="s">
        <v>28</v>
      </c>
      <c r="K35" s="109">
        <v>1654900</v>
      </c>
      <c r="L35" s="107" t="s">
        <v>172</v>
      </c>
      <c r="M35" s="107" t="s">
        <v>14</v>
      </c>
    </row>
    <row r="36" spans="1:13" ht="16">
      <c r="A36" s="106" t="s">
        <v>2058</v>
      </c>
      <c r="B36" s="106" t="s">
        <v>2086</v>
      </c>
      <c r="C36" s="106" t="s">
        <v>2060</v>
      </c>
      <c r="D36" s="106" t="s">
        <v>2803</v>
      </c>
      <c r="E36" s="106" t="s">
        <v>29</v>
      </c>
      <c r="F36" s="106" t="s">
        <v>21</v>
      </c>
      <c r="G36" s="107" t="s">
        <v>17</v>
      </c>
      <c r="H36" s="107" t="s">
        <v>18</v>
      </c>
      <c r="I36" s="108" t="s">
        <v>2068</v>
      </c>
      <c r="J36" s="106" t="s">
        <v>2062</v>
      </c>
      <c r="K36" s="109">
        <v>354000</v>
      </c>
      <c r="L36" s="107" t="s">
        <v>172</v>
      </c>
      <c r="M36" s="107" t="s">
        <v>14</v>
      </c>
    </row>
    <row r="37" spans="1:13" ht="16">
      <c r="A37" s="106" t="s">
        <v>2058</v>
      </c>
      <c r="B37" s="106" t="s">
        <v>2087</v>
      </c>
      <c r="C37" s="106" t="s">
        <v>2060</v>
      </c>
      <c r="D37" s="106" t="s">
        <v>2804</v>
      </c>
      <c r="E37" s="106" t="s">
        <v>29</v>
      </c>
      <c r="F37" s="106" t="s">
        <v>21</v>
      </c>
      <c r="G37" s="107" t="s">
        <v>17</v>
      </c>
      <c r="H37" s="107" t="s">
        <v>18</v>
      </c>
      <c r="I37" s="108" t="s">
        <v>2068</v>
      </c>
      <c r="J37" s="106" t="s">
        <v>2062</v>
      </c>
      <c r="K37" s="109">
        <v>258000</v>
      </c>
      <c r="L37" s="107" t="s">
        <v>172</v>
      </c>
      <c r="M37" s="107" t="s">
        <v>14</v>
      </c>
    </row>
    <row r="38" spans="1:13" ht="16">
      <c r="A38" s="106" t="s">
        <v>2058</v>
      </c>
      <c r="B38" s="106" t="s">
        <v>2093</v>
      </c>
      <c r="C38" s="106" t="s">
        <v>2060</v>
      </c>
      <c r="D38" s="106" t="s">
        <v>2805</v>
      </c>
      <c r="E38" s="106" t="s">
        <v>2061</v>
      </c>
      <c r="F38" s="106" t="s">
        <v>16</v>
      </c>
      <c r="G38" s="107" t="s">
        <v>17</v>
      </c>
      <c r="H38" s="107" t="s">
        <v>18</v>
      </c>
      <c r="I38" s="108" t="s">
        <v>15</v>
      </c>
      <c r="J38" s="106" t="s">
        <v>24</v>
      </c>
      <c r="K38" s="109">
        <v>7557300</v>
      </c>
      <c r="L38" s="107" t="s">
        <v>173</v>
      </c>
      <c r="M38" s="107" t="s">
        <v>14</v>
      </c>
    </row>
    <row r="39" spans="1:13" ht="16">
      <c r="A39" s="106" t="s">
        <v>2058</v>
      </c>
      <c r="B39" s="106" t="s">
        <v>2094</v>
      </c>
      <c r="C39" s="106" t="s">
        <v>2060</v>
      </c>
      <c r="D39" s="106" t="s">
        <v>2806</v>
      </c>
      <c r="E39" s="106" t="s">
        <v>19</v>
      </c>
      <c r="F39" s="106" t="s">
        <v>16</v>
      </c>
      <c r="G39" s="107" t="s">
        <v>17</v>
      </c>
      <c r="H39" s="107" t="s">
        <v>18</v>
      </c>
      <c r="I39" s="108" t="s">
        <v>15</v>
      </c>
      <c r="J39" s="106" t="s">
        <v>24</v>
      </c>
      <c r="K39" s="109">
        <v>23000</v>
      </c>
      <c r="L39" s="107" t="s">
        <v>173</v>
      </c>
      <c r="M39" s="107" t="s">
        <v>14</v>
      </c>
    </row>
    <row r="40" spans="1:13" ht="16">
      <c r="A40" s="106" t="s">
        <v>2058</v>
      </c>
      <c r="B40" s="106" t="s">
        <v>2095</v>
      </c>
      <c r="C40" s="106" t="s">
        <v>2060</v>
      </c>
      <c r="D40" s="106" t="s">
        <v>2807</v>
      </c>
      <c r="E40" s="106" t="s">
        <v>19</v>
      </c>
      <c r="F40" s="106" t="s">
        <v>16</v>
      </c>
      <c r="G40" s="107" t="s">
        <v>17</v>
      </c>
      <c r="H40" s="107" t="s">
        <v>18</v>
      </c>
      <c r="I40" s="108" t="s">
        <v>15</v>
      </c>
      <c r="J40" s="106" t="s">
        <v>24</v>
      </c>
      <c r="K40" s="109">
        <v>21500</v>
      </c>
      <c r="L40" s="107" t="s">
        <v>173</v>
      </c>
      <c r="M40" s="107" t="s">
        <v>14</v>
      </c>
    </row>
    <row r="41" spans="1:13" ht="16">
      <c r="A41" s="106" t="s">
        <v>2058</v>
      </c>
      <c r="B41" s="106" t="s">
        <v>2096</v>
      </c>
      <c r="C41" s="106" t="s">
        <v>2060</v>
      </c>
      <c r="D41" s="106" t="s">
        <v>2808</v>
      </c>
      <c r="E41" s="106" t="s">
        <v>19</v>
      </c>
      <c r="F41" s="106" t="s">
        <v>16</v>
      </c>
      <c r="G41" s="107" t="s">
        <v>17</v>
      </c>
      <c r="H41" s="107" t="s">
        <v>18</v>
      </c>
      <c r="I41" s="108" t="s">
        <v>15</v>
      </c>
      <c r="J41" s="106" t="s">
        <v>24</v>
      </c>
      <c r="K41" s="109">
        <v>18700</v>
      </c>
      <c r="L41" s="107" t="s">
        <v>173</v>
      </c>
      <c r="M41" s="107" t="s">
        <v>14</v>
      </c>
    </row>
    <row r="42" spans="1:13" ht="16">
      <c r="A42" s="106" t="s">
        <v>2058</v>
      </c>
      <c r="B42" s="106" t="s">
        <v>2097</v>
      </c>
      <c r="C42" s="106" t="s">
        <v>2060</v>
      </c>
      <c r="D42" s="106" t="s">
        <v>2809</v>
      </c>
      <c r="E42" s="106" t="s">
        <v>19</v>
      </c>
      <c r="F42" s="106" t="s">
        <v>16</v>
      </c>
      <c r="G42" s="107" t="s">
        <v>17</v>
      </c>
      <c r="H42" s="107" t="s">
        <v>18</v>
      </c>
      <c r="I42" s="108" t="s">
        <v>15</v>
      </c>
      <c r="J42" s="106" t="s">
        <v>24</v>
      </c>
      <c r="K42" s="109">
        <v>16600</v>
      </c>
      <c r="L42" s="107" t="s">
        <v>173</v>
      </c>
      <c r="M42" s="107" t="s">
        <v>14</v>
      </c>
    </row>
    <row r="43" spans="1:13" ht="16">
      <c r="A43" s="106" t="s">
        <v>2058</v>
      </c>
      <c r="B43" s="106" t="s">
        <v>2098</v>
      </c>
      <c r="C43" s="106" t="s">
        <v>2060</v>
      </c>
      <c r="D43" s="106" t="s">
        <v>2810</v>
      </c>
      <c r="E43" s="106" t="s">
        <v>19</v>
      </c>
      <c r="F43" s="106" t="s">
        <v>16</v>
      </c>
      <c r="G43" s="107" t="s">
        <v>17</v>
      </c>
      <c r="H43" s="107" t="s">
        <v>18</v>
      </c>
      <c r="I43" s="108" t="s">
        <v>15</v>
      </c>
      <c r="J43" s="106" t="s">
        <v>24</v>
      </c>
      <c r="K43" s="109">
        <v>14700</v>
      </c>
      <c r="L43" s="107" t="s">
        <v>173</v>
      </c>
      <c r="M43" s="107" t="s">
        <v>14</v>
      </c>
    </row>
    <row r="44" spans="1:13" ht="16">
      <c r="A44" s="106" t="s">
        <v>2058</v>
      </c>
      <c r="B44" s="106" t="s">
        <v>2099</v>
      </c>
      <c r="C44" s="106" t="s">
        <v>2060</v>
      </c>
      <c r="D44" s="106" t="s">
        <v>2811</v>
      </c>
      <c r="E44" s="106" t="s">
        <v>19</v>
      </c>
      <c r="F44" s="106" t="s">
        <v>16</v>
      </c>
      <c r="G44" s="107" t="s">
        <v>17</v>
      </c>
      <c r="H44" s="107" t="s">
        <v>18</v>
      </c>
      <c r="I44" s="108" t="s">
        <v>15</v>
      </c>
      <c r="J44" s="106" t="s">
        <v>24</v>
      </c>
      <c r="K44" s="109">
        <v>13200</v>
      </c>
      <c r="L44" s="107" t="s">
        <v>173</v>
      </c>
      <c r="M44" s="107" t="s">
        <v>14</v>
      </c>
    </row>
    <row r="45" spans="1:13" ht="16">
      <c r="A45" s="106" t="s">
        <v>2058</v>
      </c>
      <c r="B45" s="106" t="s">
        <v>2100</v>
      </c>
      <c r="C45" s="106" t="s">
        <v>2060</v>
      </c>
      <c r="D45" s="106" t="s">
        <v>2812</v>
      </c>
      <c r="E45" s="106" t="s">
        <v>20</v>
      </c>
      <c r="F45" s="106" t="s">
        <v>16</v>
      </c>
      <c r="G45" s="107" t="s">
        <v>17</v>
      </c>
      <c r="H45" s="107" t="s">
        <v>18</v>
      </c>
      <c r="I45" s="108" t="s">
        <v>15</v>
      </c>
      <c r="J45" s="106" t="s">
        <v>24</v>
      </c>
      <c r="K45" s="109">
        <v>822200</v>
      </c>
      <c r="L45" s="107" t="s">
        <v>173</v>
      </c>
      <c r="M45" s="107" t="s">
        <v>14</v>
      </c>
    </row>
    <row r="46" spans="1:13" ht="16">
      <c r="A46" s="106" t="s">
        <v>2058</v>
      </c>
      <c r="B46" s="106" t="s">
        <v>2423</v>
      </c>
      <c r="C46" s="106" t="s">
        <v>2060</v>
      </c>
      <c r="D46" s="106" t="s">
        <v>2813</v>
      </c>
      <c r="E46" s="106" t="s">
        <v>25</v>
      </c>
      <c r="F46" s="106" t="s">
        <v>16</v>
      </c>
      <c r="G46" s="107" t="s">
        <v>17</v>
      </c>
      <c r="H46" s="107" t="s">
        <v>18</v>
      </c>
      <c r="I46" s="108" t="s">
        <v>15</v>
      </c>
      <c r="J46" s="106" t="s">
        <v>24</v>
      </c>
      <c r="K46" s="109">
        <v>26524200</v>
      </c>
      <c r="L46" s="107" t="s">
        <v>173</v>
      </c>
      <c r="M46" s="107" t="s">
        <v>14</v>
      </c>
    </row>
    <row r="47" spans="1:13" ht="16">
      <c r="A47" s="106" t="s">
        <v>2058</v>
      </c>
      <c r="B47" s="106" t="s">
        <v>2101</v>
      </c>
      <c r="C47" s="106" t="s">
        <v>2060</v>
      </c>
      <c r="D47" s="106" t="s">
        <v>2814</v>
      </c>
      <c r="E47" s="106" t="s">
        <v>2815</v>
      </c>
      <c r="F47" s="106" t="s">
        <v>21</v>
      </c>
      <c r="G47" s="107" t="s">
        <v>17</v>
      </c>
      <c r="H47" s="107" t="s">
        <v>26</v>
      </c>
      <c r="I47" s="108" t="s">
        <v>2066</v>
      </c>
      <c r="J47" s="106" t="s">
        <v>2062</v>
      </c>
      <c r="K47" s="109">
        <v>14160000</v>
      </c>
      <c r="L47" s="107" t="s">
        <v>172</v>
      </c>
      <c r="M47" s="107" t="s">
        <v>14</v>
      </c>
    </row>
    <row r="48" spans="1:13" ht="16">
      <c r="A48" s="106" t="s">
        <v>2058</v>
      </c>
      <c r="B48" s="106" t="s">
        <v>2102</v>
      </c>
      <c r="C48" s="106" t="s">
        <v>2060</v>
      </c>
      <c r="D48" s="106" t="s">
        <v>2816</v>
      </c>
      <c r="E48" s="106" t="s">
        <v>27</v>
      </c>
      <c r="F48" s="106" t="s">
        <v>21</v>
      </c>
      <c r="G48" s="107" t="s">
        <v>17</v>
      </c>
      <c r="H48" s="107" t="s">
        <v>18</v>
      </c>
      <c r="I48" s="108" t="s">
        <v>2068</v>
      </c>
      <c r="J48" s="106" t="s">
        <v>28</v>
      </c>
      <c r="K48" s="109">
        <v>1980000</v>
      </c>
      <c r="L48" s="107" t="s">
        <v>172</v>
      </c>
      <c r="M48" s="107" t="s">
        <v>14</v>
      </c>
    </row>
    <row r="49" spans="1:13" ht="16">
      <c r="A49" s="106" t="s">
        <v>2058</v>
      </c>
      <c r="B49" s="106" t="s">
        <v>2424</v>
      </c>
      <c r="C49" s="106" t="s">
        <v>2060</v>
      </c>
      <c r="D49" s="106" t="s">
        <v>2817</v>
      </c>
      <c r="E49" s="106" t="s">
        <v>27</v>
      </c>
      <c r="F49" s="106" t="s">
        <v>21</v>
      </c>
      <c r="G49" s="107" t="s">
        <v>17</v>
      </c>
      <c r="H49" s="107" t="s">
        <v>18</v>
      </c>
      <c r="I49" s="108" t="s">
        <v>2068</v>
      </c>
      <c r="J49" s="106" t="s">
        <v>28</v>
      </c>
      <c r="K49" s="109">
        <v>1032000</v>
      </c>
      <c r="L49" s="107" t="s">
        <v>172</v>
      </c>
      <c r="M49" s="107" t="s">
        <v>14</v>
      </c>
    </row>
    <row r="50" spans="1:13" ht="16">
      <c r="A50" s="106" t="s">
        <v>2058</v>
      </c>
      <c r="B50" s="106" t="s">
        <v>2425</v>
      </c>
      <c r="C50" s="106" t="s">
        <v>2060</v>
      </c>
      <c r="D50" s="106" t="s">
        <v>2818</v>
      </c>
      <c r="E50" s="106" t="s">
        <v>27</v>
      </c>
      <c r="F50" s="106" t="s">
        <v>21</v>
      </c>
      <c r="G50" s="107" t="s">
        <v>17</v>
      </c>
      <c r="H50" s="107" t="s">
        <v>18</v>
      </c>
      <c r="I50" s="108" t="s">
        <v>2068</v>
      </c>
      <c r="J50" s="106" t="s">
        <v>28</v>
      </c>
      <c r="K50" s="109">
        <v>2572000</v>
      </c>
      <c r="L50" s="107" t="s">
        <v>172</v>
      </c>
      <c r="M50" s="107" t="s">
        <v>14</v>
      </c>
    </row>
    <row r="51" spans="1:13" ht="16">
      <c r="A51" s="106" t="s">
        <v>2058</v>
      </c>
      <c r="B51" s="106" t="s">
        <v>2103</v>
      </c>
      <c r="C51" s="106" t="s">
        <v>2060</v>
      </c>
      <c r="D51" s="106" t="s">
        <v>2819</v>
      </c>
      <c r="E51" s="106" t="s">
        <v>2081</v>
      </c>
      <c r="F51" s="106" t="s">
        <v>21</v>
      </c>
      <c r="G51" s="107" t="s">
        <v>17</v>
      </c>
      <c r="H51" s="107" t="s">
        <v>18</v>
      </c>
      <c r="I51" s="108" t="s">
        <v>2066</v>
      </c>
      <c r="J51" s="106" t="s">
        <v>28</v>
      </c>
      <c r="K51" s="109">
        <v>1654900</v>
      </c>
      <c r="L51" s="107" t="s">
        <v>172</v>
      </c>
      <c r="M51" s="107" t="s">
        <v>14</v>
      </c>
    </row>
    <row r="52" spans="1:13" ht="16">
      <c r="A52" s="106" t="s">
        <v>2058</v>
      </c>
      <c r="B52" s="106" t="s">
        <v>2104</v>
      </c>
      <c r="C52" s="106" t="s">
        <v>2060</v>
      </c>
      <c r="D52" s="106" t="s">
        <v>2820</v>
      </c>
      <c r="E52" s="106" t="s">
        <v>2081</v>
      </c>
      <c r="F52" s="106" t="s">
        <v>21</v>
      </c>
      <c r="G52" s="107" t="s">
        <v>17</v>
      </c>
      <c r="H52" s="107" t="s">
        <v>18</v>
      </c>
      <c r="I52" s="108" t="s">
        <v>2084</v>
      </c>
      <c r="J52" s="106" t="s">
        <v>28</v>
      </c>
      <c r="K52" s="109">
        <v>1654900</v>
      </c>
      <c r="L52" s="107" t="s">
        <v>172</v>
      </c>
      <c r="M52" s="107" t="s">
        <v>14</v>
      </c>
    </row>
    <row r="53" spans="1:13" ht="16">
      <c r="A53" s="106" t="s">
        <v>2058</v>
      </c>
      <c r="B53" s="106" t="s">
        <v>2105</v>
      </c>
      <c r="C53" s="106" t="s">
        <v>2060</v>
      </c>
      <c r="D53" s="106" t="s">
        <v>2821</v>
      </c>
      <c r="E53" s="106" t="s">
        <v>2081</v>
      </c>
      <c r="F53" s="106" t="s">
        <v>21</v>
      </c>
      <c r="G53" s="107" t="s">
        <v>17</v>
      </c>
      <c r="H53" s="107" t="s">
        <v>18</v>
      </c>
      <c r="I53" s="108" t="s">
        <v>2084</v>
      </c>
      <c r="J53" s="106" t="s">
        <v>28</v>
      </c>
      <c r="K53" s="109">
        <v>1654900</v>
      </c>
      <c r="L53" s="107" t="s">
        <v>172</v>
      </c>
      <c r="M53" s="107" t="s">
        <v>14</v>
      </c>
    </row>
    <row r="54" spans="1:13" ht="16">
      <c r="A54" s="106" t="s">
        <v>2058</v>
      </c>
      <c r="B54" s="106" t="s">
        <v>2106</v>
      </c>
      <c r="C54" s="106" t="s">
        <v>2060</v>
      </c>
      <c r="D54" s="106" t="s">
        <v>2822</v>
      </c>
      <c r="E54" s="106" t="s">
        <v>29</v>
      </c>
      <c r="F54" s="106" t="s">
        <v>21</v>
      </c>
      <c r="G54" s="107" t="s">
        <v>17</v>
      </c>
      <c r="H54" s="107" t="s">
        <v>18</v>
      </c>
      <c r="I54" s="108" t="s">
        <v>2068</v>
      </c>
      <c r="J54" s="106" t="s">
        <v>2062</v>
      </c>
      <c r="K54" s="109">
        <v>258000</v>
      </c>
      <c r="L54" s="107" t="s">
        <v>172</v>
      </c>
      <c r="M54" s="107" t="s">
        <v>14</v>
      </c>
    </row>
    <row r="55" spans="1:13" ht="16">
      <c r="A55" s="106" t="s">
        <v>2058</v>
      </c>
      <c r="B55" s="106" t="s">
        <v>2107</v>
      </c>
      <c r="C55" s="106" t="s">
        <v>2060</v>
      </c>
      <c r="D55" s="106" t="s">
        <v>2823</v>
      </c>
      <c r="E55" s="106" t="s">
        <v>29</v>
      </c>
      <c r="F55" s="106" t="s">
        <v>21</v>
      </c>
      <c r="G55" s="107" t="s">
        <v>17</v>
      </c>
      <c r="H55" s="107" t="s">
        <v>18</v>
      </c>
      <c r="I55" s="108" t="s">
        <v>2068</v>
      </c>
      <c r="J55" s="106" t="s">
        <v>2062</v>
      </c>
      <c r="K55" s="109">
        <v>258000</v>
      </c>
      <c r="L55" s="107" t="s">
        <v>172</v>
      </c>
      <c r="M55" s="107" t="s">
        <v>14</v>
      </c>
    </row>
    <row r="56" spans="1:13" ht="16">
      <c r="A56" s="106" t="s">
        <v>2058</v>
      </c>
      <c r="B56" s="106" t="s">
        <v>2108</v>
      </c>
      <c r="C56" s="106" t="s">
        <v>2060</v>
      </c>
      <c r="D56" s="106" t="s">
        <v>2824</v>
      </c>
      <c r="E56" s="106" t="s">
        <v>30</v>
      </c>
      <c r="F56" s="106" t="s">
        <v>16</v>
      </c>
      <c r="G56" s="107" t="s">
        <v>17</v>
      </c>
      <c r="H56" s="107" t="s">
        <v>18</v>
      </c>
      <c r="I56" s="108" t="s">
        <v>15</v>
      </c>
      <c r="J56" s="106" t="s">
        <v>2062</v>
      </c>
      <c r="K56" s="109">
        <v>410000000</v>
      </c>
      <c r="L56" s="107" t="s">
        <v>172</v>
      </c>
      <c r="M56" s="107" t="s">
        <v>14</v>
      </c>
    </row>
    <row r="57" spans="1:13" ht="16">
      <c r="A57" s="106" t="s">
        <v>2058</v>
      </c>
      <c r="B57" s="106" t="s">
        <v>2109</v>
      </c>
      <c r="C57" s="106" t="s">
        <v>2060</v>
      </c>
      <c r="D57" s="106" t="s">
        <v>2825</v>
      </c>
      <c r="E57" s="106" t="s">
        <v>31</v>
      </c>
      <c r="F57" s="106" t="s">
        <v>16</v>
      </c>
      <c r="G57" s="107" t="s">
        <v>17</v>
      </c>
      <c r="H57" s="107" t="s">
        <v>18</v>
      </c>
      <c r="I57" s="108" t="s">
        <v>15</v>
      </c>
      <c r="J57" s="106" t="s">
        <v>2062</v>
      </c>
      <c r="K57" s="109">
        <v>124332000</v>
      </c>
      <c r="L57" s="107" t="s">
        <v>172</v>
      </c>
      <c r="M57" s="107" t="s">
        <v>14</v>
      </c>
    </row>
    <row r="58" spans="1:13" ht="16">
      <c r="A58" s="106" t="s">
        <v>2058</v>
      </c>
      <c r="B58" s="106" t="s">
        <v>2110</v>
      </c>
      <c r="C58" s="106" t="s">
        <v>2060</v>
      </c>
      <c r="D58" s="106" t="s">
        <v>2826</v>
      </c>
      <c r="E58" s="106" t="s">
        <v>31</v>
      </c>
      <c r="F58" s="106" t="s">
        <v>16</v>
      </c>
      <c r="G58" s="107" t="s">
        <v>17</v>
      </c>
      <c r="H58" s="107" t="s">
        <v>18</v>
      </c>
      <c r="I58" s="108" t="s">
        <v>15</v>
      </c>
      <c r="J58" s="106" t="s">
        <v>2062</v>
      </c>
      <c r="K58" s="109">
        <v>124332000</v>
      </c>
      <c r="L58" s="107" t="s">
        <v>172</v>
      </c>
      <c r="M58" s="107" t="s">
        <v>14</v>
      </c>
    </row>
    <row r="59" spans="1:13" ht="16">
      <c r="A59" s="106" t="s">
        <v>2058</v>
      </c>
      <c r="B59" s="106" t="s">
        <v>2111</v>
      </c>
      <c r="C59" s="106" t="s">
        <v>2060</v>
      </c>
      <c r="D59" s="106" t="s">
        <v>2827</v>
      </c>
      <c r="E59" s="106" t="s">
        <v>31</v>
      </c>
      <c r="F59" s="106" t="s">
        <v>16</v>
      </c>
      <c r="G59" s="107" t="s">
        <v>17</v>
      </c>
      <c r="H59" s="107" t="s">
        <v>18</v>
      </c>
      <c r="I59" s="108" t="s">
        <v>15</v>
      </c>
      <c r="J59" s="106" t="s">
        <v>2062</v>
      </c>
      <c r="K59" s="109">
        <v>70000000</v>
      </c>
      <c r="L59" s="107" t="s">
        <v>172</v>
      </c>
      <c r="M59" s="107" t="s">
        <v>14</v>
      </c>
    </row>
    <row r="60" spans="1:13" ht="16">
      <c r="A60" s="106" t="s">
        <v>2058</v>
      </c>
      <c r="B60" s="106" t="s">
        <v>2112</v>
      </c>
      <c r="C60" s="106" t="s">
        <v>2060</v>
      </c>
      <c r="D60" s="106" t="s">
        <v>2828</v>
      </c>
      <c r="E60" s="106" t="s">
        <v>31</v>
      </c>
      <c r="F60" s="106" t="s">
        <v>16</v>
      </c>
      <c r="G60" s="107" t="s">
        <v>17</v>
      </c>
      <c r="H60" s="107" t="s">
        <v>18</v>
      </c>
      <c r="I60" s="108" t="s">
        <v>15</v>
      </c>
      <c r="J60" s="106" t="s">
        <v>2062</v>
      </c>
      <c r="K60" s="109">
        <v>124332000</v>
      </c>
      <c r="L60" s="107" t="s">
        <v>172</v>
      </c>
      <c r="M60" s="107" t="s">
        <v>14</v>
      </c>
    </row>
    <row r="61" spans="1:13" ht="16">
      <c r="A61" s="106" t="s">
        <v>2058</v>
      </c>
      <c r="B61" s="106" t="s">
        <v>2113</v>
      </c>
      <c r="C61" s="106" t="s">
        <v>2060</v>
      </c>
      <c r="D61" s="106" t="s">
        <v>2829</v>
      </c>
      <c r="E61" s="106" t="s">
        <v>20</v>
      </c>
      <c r="F61" s="106" t="s">
        <v>16</v>
      </c>
      <c r="G61" s="107" t="s">
        <v>17</v>
      </c>
      <c r="H61" s="107" t="s">
        <v>18</v>
      </c>
      <c r="I61" s="108" t="s">
        <v>15</v>
      </c>
      <c r="J61" s="106" t="s">
        <v>2062</v>
      </c>
      <c r="K61" s="109">
        <v>40000000</v>
      </c>
      <c r="L61" s="107" t="s">
        <v>172</v>
      </c>
      <c r="M61" s="107" t="s">
        <v>14</v>
      </c>
    </row>
    <row r="62" spans="1:13" ht="16">
      <c r="A62" s="106" t="s">
        <v>2058</v>
      </c>
      <c r="B62" s="106" t="s">
        <v>2114</v>
      </c>
      <c r="C62" s="106" t="s">
        <v>2060</v>
      </c>
      <c r="D62" s="106" t="s">
        <v>2830</v>
      </c>
      <c r="E62" s="106" t="s">
        <v>32</v>
      </c>
      <c r="F62" s="106" t="s">
        <v>16</v>
      </c>
      <c r="G62" s="107" t="s">
        <v>17</v>
      </c>
      <c r="H62" s="107" t="s">
        <v>18</v>
      </c>
      <c r="I62" s="108" t="s">
        <v>15</v>
      </c>
      <c r="J62" s="106" t="s">
        <v>2062</v>
      </c>
      <c r="K62" s="109">
        <v>5000000</v>
      </c>
      <c r="L62" s="107" t="s">
        <v>172</v>
      </c>
      <c r="M62" s="107" t="s">
        <v>14</v>
      </c>
    </row>
    <row r="63" spans="1:13" ht="16">
      <c r="A63" s="106" t="s">
        <v>2058</v>
      </c>
      <c r="B63" s="106" t="s">
        <v>2117</v>
      </c>
      <c r="C63" s="106" t="s">
        <v>2060</v>
      </c>
      <c r="D63" s="106" t="s">
        <v>2831</v>
      </c>
      <c r="E63" s="106" t="s">
        <v>2118</v>
      </c>
      <c r="F63" s="106" t="s">
        <v>16</v>
      </c>
      <c r="G63" s="107" t="s">
        <v>17</v>
      </c>
      <c r="H63" s="107" t="s">
        <v>18</v>
      </c>
      <c r="I63" s="108" t="s">
        <v>15</v>
      </c>
      <c r="J63" s="106" t="s">
        <v>2062</v>
      </c>
      <c r="K63" s="109">
        <v>615000000</v>
      </c>
      <c r="L63" s="107" t="s">
        <v>172</v>
      </c>
      <c r="M63" s="107" t="s">
        <v>14</v>
      </c>
    </row>
    <row r="64" spans="1:13" ht="16">
      <c r="A64" s="106" t="s">
        <v>2058</v>
      </c>
      <c r="B64" s="106" t="s">
        <v>2426</v>
      </c>
      <c r="C64" s="106" t="s">
        <v>2060</v>
      </c>
      <c r="D64" s="106" t="s">
        <v>2832</v>
      </c>
      <c r="E64" s="106" t="s">
        <v>31</v>
      </c>
      <c r="F64" s="106" t="s">
        <v>16</v>
      </c>
      <c r="G64" s="107" t="s">
        <v>17</v>
      </c>
      <c r="H64" s="107" t="s">
        <v>18</v>
      </c>
      <c r="I64" s="108" t="s">
        <v>15</v>
      </c>
      <c r="J64" s="106" t="s">
        <v>28</v>
      </c>
      <c r="K64" s="109">
        <v>124332000</v>
      </c>
      <c r="L64" s="107" t="s">
        <v>172</v>
      </c>
      <c r="M64" s="107" t="s">
        <v>14</v>
      </c>
    </row>
    <row r="65" spans="1:13" ht="16">
      <c r="A65" s="106" t="s">
        <v>2058</v>
      </c>
      <c r="B65" s="106" t="s">
        <v>2427</v>
      </c>
      <c r="C65" s="106" t="s">
        <v>2060</v>
      </c>
      <c r="D65" s="106" t="s">
        <v>2833</v>
      </c>
      <c r="E65" s="106" t="s">
        <v>31</v>
      </c>
      <c r="F65" s="106" t="s">
        <v>16</v>
      </c>
      <c r="G65" s="107" t="s">
        <v>17</v>
      </c>
      <c r="H65" s="107" t="s">
        <v>18</v>
      </c>
      <c r="I65" s="108" t="s">
        <v>15</v>
      </c>
      <c r="J65" s="106" t="s">
        <v>28</v>
      </c>
      <c r="K65" s="109">
        <v>124332000</v>
      </c>
      <c r="L65" s="107" t="s">
        <v>172</v>
      </c>
      <c r="M65" s="107" t="s">
        <v>14</v>
      </c>
    </row>
    <row r="66" spans="1:13" ht="16">
      <c r="A66" s="106" t="s">
        <v>2058</v>
      </c>
      <c r="B66" s="106" t="s">
        <v>2428</v>
      </c>
      <c r="C66" s="106" t="s">
        <v>2060</v>
      </c>
      <c r="D66" s="106" t="s">
        <v>2834</v>
      </c>
      <c r="E66" s="106" t="s">
        <v>20</v>
      </c>
      <c r="F66" s="106" t="s">
        <v>16</v>
      </c>
      <c r="G66" s="107" t="s">
        <v>17</v>
      </c>
      <c r="H66" s="107" t="s">
        <v>18</v>
      </c>
      <c r="I66" s="108" t="s">
        <v>15</v>
      </c>
      <c r="J66" s="106" t="s">
        <v>28</v>
      </c>
      <c r="K66" s="109">
        <v>40000000</v>
      </c>
      <c r="L66" s="107" t="s">
        <v>172</v>
      </c>
      <c r="M66" s="107" t="s">
        <v>14</v>
      </c>
    </row>
    <row r="67" spans="1:13" ht="16">
      <c r="A67" s="106" t="s">
        <v>2058</v>
      </c>
      <c r="B67" s="106" t="s">
        <v>2429</v>
      </c>
      <c r="C67" s="106" t="s">
        <v>2060</v>
      </c>
      <c r="D67" s="106" t="s">
        <v>2835</v>
      </c>
      <c r="E67" s="106" t="s">
        <v>25</v>
      </c>
      <c r="F67" s="106" t="s">
        <v>16</v>
      </c>
      <c r="G67" s="107" t="s">
        <v>17</v>
      </c>
      <c r="H67" s="107" t="s">
        <v>18</v>
      </c>
      <c r="I67" s="108" t="s">
        <v>15</v>
      </c>
      <c r="J67" s="106" t="s">
        <v>28</v>
      </c>
      <c r="K67" s="109">
        <v>7584300</v>
      </c>
      <c r="L67" s="107" t="s">
        <v>172</v>
      </c>
      <c r="M67" s="107" t="s">
        <v>14</v>
      </c>
    </row>
    <row r="68" spans="1:13" ht="16">
      <c r="A68" s="106" t="s">
        <v>2058</v>
      </c>
      <c r="B68" s="106" t="s">
        <v>2836</v>
      </c>
      <c r="C68" s="106" t="s">
        <v>2060</v>
      </c>
      <c r="D68" s="106" t="s">
        <v>2837</v>
      </c>
      <c r="E68" s="106" t="s">
        <v>2771</v>
      </c>
      <c r="F68" s="106" t="s">
        <v>16</v>
      </c>
      <c r="G68" s="107" t="s">
        <v>17</v>
      </c>
      <c r="H68" s="107" t="s">
        <v>18</v>
      </c>
      <c r="I68" s="108" t="s">
        <v>15</v>
      </c>
      <c r="J68" s="106" t="s">
        <v>2062</v>
      </c>
      <c r="K68" s="109">
        <v>2535000</v>
      </c>
      <c r="L68" s="107" t="s">
        <v>172</v>
      </c>
      <c r="M68" s="107" t="s">
        <v>14</v>
      </c>
    </row>
    <row r="69" spans="1:13" ht="16">
      <c r="A69" s="106" t="s">
        <v>2058</v>
      </c>
      <c r="B69" s="106" t="s">
        <v>2838</v>
      </c>
      <c r="C69" s="106" t="s">
        <v>2060</v>
      </c>
      <c r="D69" s="106" t="s">
        <v>2839</v>
      </c>
      <c r="E69" s="106" t="s">
        <v>2771</v>
      </c>
      <c r="F69" s="106" t="s">
        <v>16</v>
      </c>
      <c r="G69" s="107" t="s">
        <v>17</v>
      </c>
      <c r="H69" s="107" t="s">
        <v>18</v>
      </c>
      <c r="I69" s="108" t="s">
        <v>15</v>
      </c>
      <c r="J69" s="106" t="s">
        <v>2062</v>
      </c>
      <c r="K69" s="109">
        <v>5069900</v>
      </c>
      <c r="L69" s="107" t="s">
        <v>172</v>
      </c>
      <c r="M69" s="107" t="s">
        <v>14</v>
      </c>
    </row>
    <row r="70" spans="1:13" ht="16">
      <c r="A70" s="106" t="s">
        <v>2058</v>
      </c>
      <c r="B70" s="106" t="s">
        <v>2115</v>
      </c>
      <c r="C70" s="106" t="s">
        <v>2060</v>
      </c>
      <c r="D70" s="106" t="s">
        <v>2840</v>
      </c>
      <c r="E70" s="106" t="s">
        <v>2815</v>
      </c>
      <c r="F70" s="106" t="s">
        <v>21</v>
      </c>
      <c r="G70" s="107" t="s">
        <v>17</v>
      </c>
      <c r="H70" s="107" t="s">
        <v>18</v>
      </c>
      <c r="I70" s="108" t="s">
        <v>2066</v>
      </c>
      <c r="J70" s="106" t="s">
        <v>2062</v>
      </c>
      <c r="K70" s="109">
        <v>14160000</v>
      </c>
      <c r="L70" s="107" t="s">
        <v>172</v>
      </c>
      <c r="M70" s="107" t="s">
        <v>14</v>
      </c>
    </row>
    <row r="71" spans="1:13" ht="16">
      <c r="A71" s="106" t="s">
        <v>2058</v>
      </c>
      <c r="B71" s="106" t="s">
        <v>2116</v>
      </c>
      <c r="C71" s="106" t="s">
        <v>2060</v>
      </c>
      <c r="D71" s="106" t="s">
        <v>2841</v>
      </c>
      <c r="E71" s="106" t="s">
        <v>22</v>
      </c>
      <c r="F71" s="106" t="s">
        <v>21</v>
      </c>
      <c r="G71" s="107" t="s">
        <v>17</v>
      </c>
      <c r="H71" s="107" t="s">
        <v>18</v>
      </c>
      <c r="I71" s="108" t="s">
        <v>2068</v>
      </c>
      <c r="J71" s="106" t="s">
        <v>23</v>
      </c>
      <c r="K71" s="109">
        <v>248456800</v>
      </c>
      <c r="L71" s="107" t="s">
        <v>172</v>
      </c>
      <c r="M71" s="107" t="s">
        <v>14</v>
      </c>
    </row>
    <row r="72" spans="1:13" ht="16">
      <c r="A72" s="106" t="s">
        <v>2058</v>
      </c>
      <c r="B72" s="106" t="s">
        <v>2430</v>
      </c>
      <c r="C72" s="106" t="s">
        <v>2060</v>
      </c>
      <c r="D72" s="108" t="s">
        <v>2842</v>
      </c>
      <c r="E72" s="106" t="s">
        <v>2843</v>
      </c>
      <c r="F72" s="106" t="s">
        <v>21</v>
      </c>
      <c r="G72" s="106" t="s">
        <v>17</v>
      </c>
      <c r="H72" s="106" t="s">
        <v>18</v>
      </c>
      <c r="I72" s="108" t="s">
        <v>2066</v>
      </c>
      <c r="J72" s="106" t="s">
        <v>2062</v>
      </c>
      <c r="K72" s="109">
        <v>28320000</v>
      </c>
      <c r="L72" s="107" t="s">
        <v>172</v>
      </c>
      <c r="M72" s="107" t="s">
        <v>14</v>
      </c>
    </row>
    <row r="73" spans="1:13" ht="16">
      <c r="A73" s="106" t="s">
        <v>2058</v>
      </c>
      <c r="B73" s="106" t="s">
        <v>2119</v>
      </c>
      <c r="C73" s="106" t="s">
        <v>2060</v>
      </c>
      <c r="D73" s="108" t="s">
        <v>2844</v>
      </c>
      <c r="E73" s="106" t="s">
        <v>30</v>
      </c>
      <c r="F73" s="106" t="s">
        <v>16</v>
      </c>
      <c r="G73" s="106" t="s">
        <v>17</v>
      </c>
      <c r="H73" s="106" t="s">
        <v>18</v>
      </c>
      <c r="I73" s="108" t="s">
        <v>15</v>
      </c>
      <c r="J73" s="106" t="s">
        <v>24</v>
      </c>
      <c r="K73" s="109">
        <v>19167900</v>
      </c>
      <c r="L73" s="107" t="s">
        <v>173</v>
      </c>
      <c r="M73" s="107" t="s">
        <v>14</v>
      </c>
    </row>
    <row r="74" spans="1:13" ht="16">
      <c r="A74" s="106" t="s">
        <v>2058</v>
      </c>
      <c r="B74" s="106" t="s">
        <v>2120</v>
      </c>
      <c r="C74" s="106" t="s">
        <v>2060</v>
      </c>
      <c r="D74" s="108" t="s">
        <v>2845</v>
      </c>
      <c r="E74" s="106" t="s">
        <v>25</v>
      </c>
      <c r="F74" s="106" t="s">
        <v>16</v>
      </c>
      <c r="G74" s="106" t="s">
        <v>17</v>
      </c>
      <c r="H74" s="106" t="s">
        <v>18</v>
      </c>
      <c r="I74" s="108" t="s">
        <v>15</v>
      </c>
      <c r="J74" s="106" t="s">
        <v>24</v>
      </c>
      <c r="K74" s="109">
        <v>5500000</v>
      </c>
      <c r="L74" s="107" t="s">
        <v>173</v>
      </c>
      <c r="M74" s="107" t="s">
        <v>14</v>
      </c>
    </row>
    <row r="75" spans="1:13" ht="16">
      <c r="A75" s="106" t="s">
        <v>2058</v>
      </c>
      <c r="B75" s="106" t="s">
        <v>2121</v>
      </c>
      <c r="C75" s="106" t="s">
        <v>2060</v>
      </c>
      <c r="D75" s="108" t="s">
        <v>2846</v>
      </c>
      <c r="E75" s="106" t="s">
        <v>25</v>
      </c>
      <c r="F75" s="106" t="s">
        <v>16</v>
      </c>
      <c r="G75" s="106" t="s">
        <v>17</v>
      </c>
      <c r="H75" s="106" t="s">
        <v>18</v>
      </c>
      <c r="I75" s="108" t="s">
        <v>15</v>
      </c>
      <c r="J75" s="106" t="s">
        <v>24</v>
      </c>
      <c r="K75" s="109">
        <v>5500000</v>
      </c>
      <c r="L75" s="107" t="s">
        <v>173</v>
      </c>
      <c r="M75" s="107" t="s">
        <v>14</v>
      </c>
    </row>
    <row r="76" spans="1:13" ht="16">
      <c r="A76" s="106" t="s">
        <v>2058</v>
      </c>
      <c r="B76" s="106" t="s">
        <v>2122</v>
      </c>
      <c r="C76" s="106" t="s">
        <v>2060</v>
      </c>
      <c r="D76" s="108" t="s">
        <v>2847</v>
      </c>
      <c r="E76" s="106" t="s">
        <v>25</v>
      </c>
      <c r="F76" s="106" t="s">
        <v>16</v>
      </c>
      <c r="G76" s="106" t="s">
        <v>17</v>
      </c>
      <c r="H76" s="106" t="s">
        <v>18</v>
      </c>
      <c r="I76" s="108" t="s">
        <v>15</v>
      </c>
      <c r="J76" s="106" t="s">
        <v>24</v>
      </c>
      <c r="K76" s="109">
        <v>3000000</v>
      </c>
      <c r="L76" s="107" t="s">
        <v>173</v>
      </c>
      <c r="M76" s="107" t="s">
        <v>14</v>
      </c>
    </row>
    <row r="77" spans="1:13" ht="16">
      <c r="A77" s="106" t="s">
        <v>2058</v>
      </c>
      <c r="B77" s="106" t="s">
        <v>2123</v>
      </c>
      <c r="C77" s="106" t="s">
        <v>2060</v>
      </c>
      <c r="D77" s="108" t="s">
        <v>2848</v>
      </c>
      <c r="E77" s="106" t="s">
        <v>25</v>
      </c>
      <c r="F77" s="106" t="s">
        <v>16</v>
      </c>
      <c r="G77" s="106" t="s">
        <v>17</v>
      </c>
      <c r="H77" s="106" t="s">
        <v>18</v>
      </c>
      <c r="I77" s="108" t="s">
        <v>15</v>
      </c>
      <c r="J77" s="106" t="s">
        <v>24</v>
      </c>
      <c r="K77" s="109">
        <v>4973300</v>
      </c>
      <c r="L77" s="107" t="s">
        <v>173</v>
      </c>
      <c r="M77" s="107" t="s">
        <v>14</v>
      </c>
    </row>
    <row r="78" spans="1:13" ht="16">
      <c r="A78" s="106" t="s">
        <v>2058</v>
      </c>
      <c r="B78" s="106" t="s">
        <v>2124</v>
      </c>
      <c r="C78" s="106" t="s">
        <v>2060</v>
      </c>
      <c r="D78" s="108" t="s">
        <v>2849</v>
      </c>
      <c r="E78" s="106" t="s">
        <v>20</v>
      </c>
      <c r="F78" s="106" t="s">
        <v>16</v>
      </c>
      <c r="G78" s="106" t="s">
        <v>17</v>
      </c>
      <c r="H78" s="106" t="s">
        <v>18</v>
      </c>
      <c r="I78" s="108" t="s">
        <v>15</v>
      </c>
      <c r="J78" s="106" t="s">
        <v>24</v>
      </c>
      <c r="K78" s="109">
        <v>822200</v>
      </c>
      <c r="L78" s="107" t="s">
        <v>173</v>
      </c>
      <c r="M78" s="107" t="s">
        <v>14</v>
      </c>
    </row>
    <row r="79" spans="1:13" ht="16">
      <c r="A79" s="106" t="s">
        <v>2058</v>
      </c>
      <c r="B79" s="106" t="s">
        <v>2125</v>
      </c>
      <c r="C79" s="106" t="s">
        <v>2060</v>
      </c>
      <c r="D79" s="108" t="s">
        <v>2850</v>
      </c>
      <c r="E79" s="106" t="s">
        <v>32</v>
      </c>
      <c r="F79" s="106" t="s">
        <v>16</v>
      </c>
      <c r="G79" s="106" t="s">
        <v>17</v>
      </c>
      <c r="H79" s="106" t="s">
        <v>18</v>
      </c>
      <c r="I79" s="108" t="s">
        <v>15</v>
      </c>
      <c r="J79" s="106" t="s">
        <v>24</v>
      </c>
      <c r="K79" s="109">
        <v>639000</v>
      </c>
      <c r="L79" s="107" t="s">
        <v>173</v>
      </c>
      <c r="M79" s="107" t="s">
        <v>14</v>
      </c>
    </row>
    <row r="80" spans="1:13" ht="16">
      <c r="A80" s="106" t="s">
        <v>2058</v>
      </c>
      <c r="B80" s="106" t="s">
        <v>2127</v>
      </c>
      <c r="C80" s="106" t="s">
        <v>2060</v>
      </c>
      <c r="D80" s="108" t="s">
        <v>2851</v>
      </c>
      <c r="E80" s="106" t="s">
        <v>1130</v>
      </c>
      <c r="F80" s="106" t="s">
        <v>16</v>
      </c>
      <c r="G80" s="106" t="s">
        <v>17</v>
      </c>
      <c r="H80" s="106" t="s">
        <v>18</v>
      </c>
      <c r="I80" s="108" t="s">
        <v>15</v>
      </c>
      <c r="J80" s="106" t="s">
        <v>24</v>
      </c>
      <c r="K80" s="109">
        <v>44000000</v>
      </c>
      <c r="L80" s="107" t="s">
        <v>173</v>
      </c>
      <c r="M80" s="107" t="s">
        <v>14</v>
      </c>
    </row>
    <row r="81" spans="1:13" ht="16">
      <c r="A81" s="106" t="s">
        <v>2058</v>
      </c>
      <c r="B81" s="106" t="s">
        <v>2431</v>
      </c>
      <c r="C81" s="106" t="s">
        <v>2060</v>
      </c>
      <c r="D81" s="108" t="s">
        <v>2852</v>
      </c>
      <c r="E81" s="106" t="s">
        <v>31</v>
      </c>
      <c r="F81" s="106" t="s">
        <v>16</v>
      </c>
      <c r="G81" s="106" t="s">
        <v>17</v>
      </c>
      <c r="H81" s="106" t="s">
        <v>18</v>
      </c>
      <c r="I81" s="108" t="s">
        <v>15</v>
      </c>
      <c r="J81" s="106" t="s">
        <v>33</v>
      </c>
      <c r="K81" s="109">
        <v>4973300</v>
      </c>
      <c r="L81" s="107" t="s">
        <v>173</v>
      </c>
      <c r="M81" s="107" t="s">
        <v>14</v>
      </c>
    </row>
    <row r="82" spans="1:13" ht="16">
      <c r="A82" s="106" t="s">
        <v>2058</v>
      </c>
      <c r="B82" s="106" t="s">
        <v>2432</v>
      </c>
      <c r="C82" s="106" t="s">
        <v>2060</v>
      </c>
      <c r="D82" s="108" t="s">
        <v>2853</v>
      </c>
      <c r="E82" s="106" t="s">
        <v>31</v>
      </c>
      <c r="F82" s="106" t="s">
        <v>16</v>
      </c>
      <c r="G82" s="106" t="s">
        <v>17</v>
      </c>
      <c r="H82" s="106" t="s">
        <v>18</v>
      </c>
      <c r="I82" s="108" t="s">
        <v>15</v>
      </c>
      <c r="J82" s="106" t="s">
        <v>33</v>
      </c>
      <c r="K82" s="109">
        <v>4973300</v>
      </c>
      <c r="L82" s="107" t="s">
        <v>173</v>
      </c>
      <c r="M82" s="107" t="s">
        <v>14</v>
      </c>
    </row>
    <row r="83" spans="1:13" ht="16">
      <c r="A83" s="106" t="s">
        <v>2058</v>
      </c>
      <c r="B83" s="106" t="s">
        <v>2433</v>
      </c>
      <c r="C83" s="106" t="s">
        <v>2060</v>
      </c>
      <c r="D83" s="108" t="s">
        <v>2854</v>
      </c>
      <c r="E83" s="106" t="s">
        <v>19</v>
      </c>
      <c r="F83" s="106" t="s">
        <v>16</v>
      </c>
      <c r="G83" s="106" t="s">
        <v>17</v>
      </c>
      <c r="H83" s="106" t="s">
        <v>18</v>
      </c>
      <c r="I83" s="108" t="s">
        <v>15</v>
      </c>
      <c r="J83" s="106" t="s">
        <v>33</v>
      </c>
      <c r="K83" s="109">
        <v>621700</v>
      </c>
      <c r="L83" s="107" t="s">
        <v>173</v>
      </c>
      <c r="M83" s="107" t="s">
        <v>14</v>
      </c>
    </row>
    <row r="84" spans="1:13" ht="16">
      <c r="A84" s="106" t="s">
        <v>2058</v>
      </c>
      <c r="B84" s="106" t="s">
        <v>2434</v>
      </c>
      <c r="C84" s="106" t="s">
        <v>2060</v>
      </c>
      <c r="D84" s="108" t="s">
        <v>2855</v>
      </c>
      <c r="E84" s="106" t="s">
        <v>32</v>
      </c>
      <c r="F84" s="106" t="s">
        <v>16</v>
      </c>
      <c r="G84" s="106" t="s">
        <v>17</v>
      </c>
      <c r="H84" s="106" t="s">
        <v>18</v>
      </c>
      <c r="I84" s="108" t="s">
        <v>15</v>
      </c>
      <c r="J84" s="106" t="s">
        <v>33</v>
      </c>
      <c r="K84" s="109">
        <v>342000</v>
      </c>
      <c r="L84" s="107" t="s">
        <v>173</v>
      </c>
      <c r="M84" s="107" t="s">
        <v>14</v>
      </c>
    </row>
    <row r="85" spans="1:13" ht="16">
      <c r="A85" s="106" t="s">
        <v>2058</v>
      </c>
      <c r="B85" s="106" t="s">
        <v>2126</v>
      </c>
      <c r="C85" s="106" t="s">
        <v>2060</v>
      </c>
      <c r="D85" s="108" t="s">
        <v>2856</v>
      </c>
      <c r="E85" s="106" t="s">
        <v>2815</v>
      </c>
      <c r="F85" s="106" t="s">
        <v>21</v>
      </c>
      <c r="G85" s="106" t="s">
        <v>17</v>
      </c>
      <c r="H85" s="106" t="s">
        <v>26</v>
      </c>
      <c r="I85" s="108" t="s">
        <v>2066</v>
      </c>
      <c r="J85" s="106" t="s">
        <v>2062</v>
      </c>
      <c r="K85" s="109">
        <v>14160000</v>
      </c>
      <c r="L85" s="107" t="s">
        <v>172</v>
      </c>
      <c r="M85" s="107" t="s">
        <v>14</v>
      </c>
    </row>
    <row r="86" spans="1:13" ht="16">
      <c r="A86" s="106" t="s">
        <v>2058</v>
      </c>
      <c r="B86" s="106" t="s">
        <v>2435</v>
      </c>
      <c r="C86" s="106" t="s">
        <v>2060</v>
      </c>
      <c r="D86" s="108" t="s">
        <v>2857</v>
      </c>
      <c r="E86" s="106" t="s">
        <v>2843</v>
      </c>
      <c r="F86" s="106" t="s">
        <v>21</v>
      </c>
      <c r="G86" s="106" t="s">
        <v>17</v>
      </c>
      <c r="H86" s="106" t="s">
        <v>26</v>
      </c>
      <c r="I86" s="108" t="s">
        <v>2066</v>
      </c>
      <c r="J86" s="106" t="s">
        <v>2062</v>
      </c>
      <c r="K86" s="109">
        <v>28320000</v>
      </c>
      <c r="L86" s="107" t="s">
        <v>172</v>
      </c>
      <c r="M86" s="107" t="s">
        <v>14</v>
      </c>
    </row>
    <row r="87" spans="1:13" ht="16">
      <c r="A87" s="106" t="s">
        <v>2058</v>
      </c>
      <c r="B87" s="106" t="s">
        <v>2128</v>
      </c>
      <c r="C87" s="106" t="s">
        <v>2060</v>
      </c>
      <c r="D87" s="108" t="s">
        <v>2858</v>
      </c>
      <c r="E87" s="106" t="s">
        <v>27</v>
      </c>
      <c r="F87" s="106" t="s">
        <v>21</v>
      </c>
      <c r="G87" s="106" t="s">
        <v>17</v>
      </c>
      <c r="H87" s="106" t="s">
        <v>18</v>
      </c>
      <c r="I87" s="108" t="s">
        <v>2068</v>
      </c>
      <c r="J87" s="106" t="s">
        <v>28</v>
      </c>
      <c r="K87" s="109">
        <v>1980000</v>
      </c>
      <c r="L87" s="107" t="s">
        <v>172</v>
      </c>
      <c r="M87" s="107" t="s">
        <v>14</v>
      </c>
    </row>
    <row r="88" spans="1:13" ht="16">
      <c r="A88" s="106" t="s">
        <v>2058</v>
      </c>
      <c r="B88" s="106" t="s">
        <v>2436</v>
      </c>
      <c r="C88" s="106" t="s">
        <v>2060</v>
      </c>
      <c r="D88" s="108" t="s">
        <v>2859</v>
      </c>
      <c r="E88" s="106" t="s">
        <v>27</v>
      </c>
      <c r="F88" s="106" t="s">
        <v>21</v>
      </c>
      <c r="G88" s="106" t="s">
        <v>17</v>
      </c>
      <c r="H88" s="106" t="s">
        <v>18</v>
      </c>
      <c r="I88" s="108" t="s">
        <v>2068</v>
      </c>
      <c r="J88" s="106" t="s">
        <v>28</v>
      </c>
      <c r="K88" s="109">
        <v>1032000</v>
      </c>
      <c r="L88" s="107" t="s">
        <v>172</v>
      </c>
      <c r="M88" s="107" t="s">
        <v>14</v>
      </c>
    </row>
    <row r="89" spans="1:13" ht="16">
      <c r="A89" s="106" t="s">
        <v>2058</v>
      </c>
      <c r="B89" s="106" t="s">
        <v>2437</v>
      </c>
      <c r="C89" s="106" t="s">
        <v>2060</v>
      </c>
      <c r="D89" s="108" t="s">
        <v>2860</v>
      </c>
      <c r="E89" s="106" t="s">
        <v>27</v>
      </c>
      <c r="F89" s="106" t="s">
        <v>21</v>
      </c>
      <c r="G89" s="106" t="s">
        <v>17</v>
      </c>
      <c r="H89" s="106" t="s">
        <v>18</v>
      </c>
      <c r="I89" s="108" t="s">
        <v>2068</v>
      </c>
      <c r="J89" s="106" t="s">
        <v>28</v>
      </c>
      <c r="K89" s="109">
        <v>2572000</v>
      </c>
      <c r="L89" s="107" t="s">
        <v>172</v>
      </c>
      <c r="M89" s="107" t="s">
        <v>14</v>
      </c>
    </row>
    <row r="90" spans="1:13" ht="16">
      <c r="A90" s="106" t="s">
        <v>2058</v>
      </c>
      <c r="B90" s="106" t="s">
        <v>2129</v>
      </c>
      <c r="C90" s="106" t="s">
        <v>2060</v>
      </c>
      <c r="D90" s="108" t="s">
        <v>2861</v>
      </c>
      <c r="E90" s="106" t="s">
        <v>2130</v>
      </c>
      <c r="F90" s="106" t="s">
        <v>21</v>
      </c>
      <c r="G90" s="106" t="s">
        <v>17</v>
      </c>
      <c r="H90" s="106" t="s">
        <v>18</v>
      </c>
      <c r="I90" s="108" t="s">
        <v>2066</v>
      </c>
      <c r="J90" s="106" t="s">
        <v>28</v>
      </c>
      <c r="K90" s="109">
        <v>1654900</v>
      </c>
      <c r="L90" s="107" t="s">
        <v>172</v>
      </c>
      <c r="M90" s="107" t="s">
        <v>14</v>
      </c>
    </row>
    <row r="91" spans="1:13" ht="16">
      <c r="A91" s="106" t="s">
        <v>2058</v>
      </c>
      <c r="B91" s="106" t="s">
        <v>2131</v>
      </c>
      <c r="C91" s="106" t="s">
        <v>2060</v>
      </c>
      <c r="D91" s="108" t="s">
        <v>2862</v>
      </c>
      <c r="E91" s="106" t="s">
        <v>2130</v>
      </c>
      <c r="F91" s="106" t="s">
        <v>21</v>
      </c>
      <c r="G91" s="106" t="s">
        <v>17</v>
      </c>
      <c r="H91" s="106" t="s">
        <v>18</v>
      </c>
      <c r="I91" s="108" t="s">
        <v>2084</v>
      </c>
      <c r="J91" s="106" t="s">
        <v>28</v>
      </c>
      <c r="K91" s="109">
        <v>1654900</v>
      </c>
      <c r="L91" s="107" t="s">
        <v>172</v>
      </c>
      <c r="M91" s="107" t="s">
        <v>14</v>
      </c>
    </row>
    <row r="92" spans="1:13" ht="16">
      <c r="A92" s="106" t="s">
        <v>2058</v>
      </c>
      <c r="B92" s="106" t="s">
        <v>2132</v>
      </c>
      <c r="C92" s="106" t="s">
        <v>2060</v>
      </c>
      <c r="D92" s="108" t="s">
        <v>2863</v>
      </c>
      <c r="E92" s="106" t="s">
        <v>2130</v>
      </c>
      <c r="F92" s="106" t="s">
        <v>21</v>
      </c>
      <c r="G92" s="106" t="s">
        <v>17</v>
      </c>
      <c r="H92" s="106" t="s">
        <v>18</v>
      </c>
      <c r="I92" s="108" t="s">
        <v>2084</v>
      </c>
      <c r="J92" s="106" t="s">
        <v>28</v>
      </c>
      <c r="K92" s="109">
        <v>1654900</v>
      </c>
      <c r="L92" s="107" t="s">
        <v>172</v>
      </c>
      <c r="M92" s="107" t="s">
        <v>14</v>
      </c>
    </row>
    <row r="93" spans="1:13" ht="16">
      <c r="A93" s="106" t="s">
        <v>2058</v>
      </c>
      <c r="B93" s="106" t="s">
        <v>2133</v>
      </c>
      <c r="C93" s="106" t="s">
        <v>2060</v>
      </c>
      <c r="D93" s="108" t="s">
        <v>2864</v>
      </c>
      <c r="E93" s="106" t="s">
        <v>29</v>
      </c>
      <c r="F93" s="106" t="s">
        <v>21</v>
      </c>
      <c r="G93" s="106" t="s">
        <v>17</v>
      </c>
      <c r="H93" s="106" t="s">
        <v>18</v>
      </c>
      <c r="I93" s="108" t="s">
        <v>2068</v>
      </c>
      <c r="J93" s="106" t="s">
        <v>2062</v>
      </c>
      <c r="K93" s="109">
        <v>258000</v>
      </c>
      <c r="L93" s="107" t="s">
        <v>172</v>
      </c>
      <c r="M93" s="107" t="s">
        <v>14</v>
      </c>
    </row>
    <row r="94" spans="1:13" ht="16">
      <c r="A94" s="106" t="s">
        <v>2058</v>
      </c>
      <c r="B94" s="106" t="s">
        <v>2134</v>
      </c>
      <c r="C94" s="106" t="s">
        <v>2060</v>
      </c>
      <c r="D94" s="108" t="s">
        <v>2865</v>
      </c>
      <c r="E94" s="106" t="s">
        <v>29</v>
      </c>
      <c r="F94" s="106" t="s">
        <v>21</v>
      </c>
      <c r="G94" s="106" t="s">
        <v>17</v>
      </c>
      <c r="H94" s="106" t="s">
        <v>18</v>
      </c>
      <c r="I94" s="108" t="s">
        <v>2068</v>
      </c>
      <c r="J94" s="106" t="s">
        <v>2062</v>
      </c>
      <c r="K94" s="109">
        <v>258000</v>
      </c>
      <c r="L94" s="107" t="s">
        <v>172</v>
      </c>
      <c r="M94" s="107" t="s">
        <v>14</v>
      </c>
    </row>
    <row r="95" spans="1:13" ht="16">
      <c r="A95" s="106" t="s">
        <v>2058</v>
      </c>
      <c r="B95" s="106" t="s">
        <v>2135</v>
      </c>
      <c r="C95" s="106" t="s">
        <v>2060</v>
      </c>
      <c r="D95" s="108" t="s">
        <v>2866</v>
      </c>
      <c r="E95" s="106" t="s">
        <v>34</v>
      </c>
      <c r="F95" s="106" t="s">
        <v>16</v>
      </c>
      <c r="G95" s="106" t="s">
        <v>17</v>
      </c>
      <c r="H95" s="106" t="s">
        <v>18</v>
      </c>
      <c r="I95" s="108" t="s">
        <v>15</v>
      </c>
      <c r="J95" s="106" t="s">
        <v>2062</v>
      </c>
      <c r="K95" s="109">
        <v>540960000</v>
      </c>
      <c r="L95" s="107" t="s">
        <v>172</v>
      </c>
      <c r="M95" s="107" t="s">
        <v>14</v>
      </c>
    </row>
    <row r="96" spans="1:13" ht="16">
      <c r="A96" s="106" t="s">
        <v>2058</v>
      </c>
      <c r="B96" s="106" t="s">
        <v>2136</v>
      </c>
      <c r="C96" s="106" t="s">
        <v>2060</v>
      </c>
      <c r="D96" s="108" t="s">
        <v>2867</v>
      </c>
      <c r="E96" s="106" t="s">
        <v>2868</v>
      </c>
      <c r="F96" s="106" t="s">
        <v>16</v>
      </c>
      <c r="G96" s="106" t="s">
        <v>17</v>
      </c>
      <c r="H96" s="106" t="s">
        <v>18</v>
      </c>
      <c r="I96" s="108" t="s">
        <v>15</v>
      </c>
      <c r="J96" s="106" t="s">
        <v>2062</v>
      </c>
      <c r="K96" s="109">
        <v>13353000</v>
      </c>
      <c r="L96" s="107" t="s">
        <v>172</v>
      </c>
      <c r="M96" s="107" t="s">
        <v>14</v>
      </c>
    </row>
    <row r="97" spans="1:13" ht="16">
      <c r="A97" s="106" t="s">
        <v>2058</v>
      </c>
      <c r="B97" s="106" t="s">
        <v>2137</v>
      </c>
      <c r="C97" s="106" t="s">
        <v>2060</v>
      </c>
      <c r="D97" s="108" t="s">
        <v>2869</v>
      </c>
      <c r="E97" s="106" t="s">
        <v>2870</v>
      </c>
      <c r="F97" s="106" t="s">
        <v>16</v>
      </c>
      <c r="G97" s="106" t="s">
        <v>17</v>
      </c>
      <c r="H97" s="106" t="s">
        <v>18</v>
      </c>
      <c r="I97" s="108" t="s">
        <v>15</v>
      </c>
      <c r="J97" s="106" t="s">
        <v>2062</v>
      </c>
      <c r="K97" s="109">
        <v>769970000</v>
      </c>
      <c r="L97" s="107" t="s">
        <v>172</v>
      </c>
      <c r="M97" s="107" t="s">
        <v>14</v>
      </c>
    </row>
    <row r="98" spans="1:13" ht="16">
      <c r="A98" s="106" t="s">
        <v>2058</v>
      </c>
      <c r="B98" s="106" t="s">
        <v>2138</v>
      </c>
      <c r="C98" s="106" t="s">
        <v>2060</v>
      </c>
      <c r="D98" s="108" t="s">
        <v>2871</v>
      </c>
      <c r="E98" s="106" t="s">
        <v>2870</v>
      </c>
      <c r="F98" s="106" t="s">
        <v>16</v>
      </c>
      <c r="G98" s="106" t="s">
        <v>17</v>
      </c>
      <c r="H98" s="106" t="s">
        <v>18</v>
      </c>
      <c r="I98" s="108" t="s">
        <v>15</v>
      </c>
      <c r="J98" s="106" t="s">
        <v>2062</v>
      </c>
      <c r="K98" s="109">
        <v>713770000</v>
      </c>
      <c r="L98" s="107" t="s">
        <v>172</v>
      </c>
      <c r="M98" s="107" t="s">
        <v>14</v>
      </c>
    </row>
    <row r="99" spans="1:13" ht="16">
      <c r="A99" s="106" t="s">
        <v>2058</v>
      </c>
      <c r="B99" s="106" t="s">
        <v>2152</v>
      </c>
      <c r="C99" s="106" t="s">
        <v>2060</v>
      </c>
      <c r="D99" s="108" t="s">
        <v>2872</v>
      </c>
      <c r="E99" s="106" t="s">
        <v>34</v>
      </c>
      <c r="F99" s="106" t="s">
        <v>16</v>
      </c>
      <c r="G99" s="106" t="s">
        <v>17</v>
      </c>
      <c r="H99" s="106" t="s">
        <v>18</v>
      </c>
      <c r="I99" s="108" t="s">
        <v>15</v>
      </c>
      <c r="J99" s="106" t="s">
        <v>2062</v>
      </c>
      <c r="K99" s="109">
        <v>130000000</v>
      </c>
      <c r="L99" s="107" t="s">
        <v>172</v>
      </c>
      <c r="M99" s="107" t="s">
        <v>14</v>
      </c>
    </row>
    <row r="100" spans="1:13" ht="16">
      <c r="A100" s="106" t="s">
        <v>2058</v>
      </c>
      <c r="B100" s="106" t="s">
        <v>2873</v>
      </c>
      <c r="C100" s="106" t="s">
        <v>2060</v>
      </c>
      <c r="D100" s="108" t="s">
        <v>2874</v>
      </c>
      <c r="E100" s="106" t="s">
        <v>2870</v>
      </c>
      <c r="F100" s="106" t="s">
        <v>16</v>
      </c>
      <c r="G100" s="106" t="s">
        <v>17</v>
      </c>
      <c r="H100" s="106" t="s">
        <v>18</v>
      </c>
      <c r="I100" s="108" t="s">
        <v>15</v>
      </c>
      <c r="J100" s="106" t="s">
        <v>2062</v>
      </c>
      <c r="K100" s="109">
        <v>397610000</v>
      </c>
      <c r="L100" s="107" t="s">
        <v>172</v>
      </c>
      <c r="M100" s="107" t="s">
        <v>14</v>
      </c>
    </row>
    <row r="101" spans="1:13" ht="16">
      <c r="A101" s="106" t="s">
        <v>2058</v>
      </c>
      <c r="B101" s="106" t="s">
        <v>2875</v>
      </c>
      <c r="C101" s="106" t="s">
        <v>2060</v>
      </c>
      <c r="D101" s="108" t="s">
        <v>2876</v>
      </c>
      <c r="E101" s="106" t="s">
        <v>2877</v>
      </c>
      <c r="F101" s="106" t="s">
        <v>16</v>
      </c>
      <c r="G101" s="106" t="s">
        <v>17</v>
      </c>
      <c r="H101" s="106" t="s">
        <v>18</v>
      </c>
      <c r="I101" s="108" t="s">
        <v>15</v>
      </c>
      <c r="J101" s="106" t="s">
        <v>2062</v>
      </c>
      <c r="K101" s="109">
        <v>150000</v>
      </c>
      <c r="L101" s="107" t="s">
        <v>172</v>
      </c>
      <c r="M101" s="107" t="s">
        <v>14</v>
      </c>
    </row>
    <row r="102" spans="1:13" ht="16">
      <c r="A102" s="106" t="s">
        <v>2058</v>
      </c>
      <c r="B102" s="106" t="s">
        <v>2878</v>
      </c>
      <c r="C102" s="106" t="s">
        <v>2060</v>
      </c>
      <c r="D102" s="108" t="s">
        <v>2879</v>
      </c>
      <c r="E102" s="106" t="s">
        <v>2877</v>
      </c>
      <c r="F102" s="106" t="s">
        <v>16</v>
      </c>
      <c r="G102" s="106" t="s">
        <v>17</v>
      </c>
      <c r="H102" s="106" t="s">
        <v>18</v>
      </c>
      <c r="I102" s="108" t="s">
        <v>15</v>
      </c>
      <c r="J102" s="106" t="s">
        <v>2062</v>
      </c>
      <c r="K102" s="109">
        <v>1200000</v>
      </c>
      <c r="L102" s="107" t="s">
        <v>172</v>
      </c>
      <c r="M102" s="107" t="s">
        <v>14</v>
      </c>
    </row>
    <row r="103" spans="1:13" ht="16">
      <c r="A103" s="106" t="s">
        <v>2058</v>
      </c>
      <c r="B103" s="106" t="s">
        <v>2880</v>
      </c>
      <c r="C103" s="106" t="s">
        <v>2060</v>
      </c>
      <c r="D103" s="108" t="s">
        <v>2881</v>
      </c>
      <c r="E103" s="106" t="s">
        <v>2877</v>
      </c>
      <c r="F103" s="106" t="s">
        <v>16</v>
      </c>
      <c r="G103" s="106" t="s">
        <v>17</v>
      </c>
      <c r="H103" s="106" t="s">
        <v>18</v>
      </c>
      <c r="I103" s="108" t="s">
        <v>15</v>
      </c>
      <c r="J103" s="106" t="s">
        <v>2062</v>
      </c>
      <c r="K103" s="109">
        <v>7920000</v>
      </c>
      <c r="L103" s="107" t="s">
        <v>172</v>
      </c>
      <c r="M103" s="107" t="s">
        <v>14</v>
      </c>
    </row>
    <row r="104" spans="1:13" ht="16">
      <c r="A104" s="106" t="s">
        <v>2058</v>
      </c>
      <c r="B104" s="106" t="s">
        <v>2882</v>
      </c>
      <c r="C104" s="106" t="s">
        <v>2060</v>
      </c>
      <c r="D104" s="108" t="s">
        <v>2883</v>
      </c>
      <c r="E104" s="106" t="s">
        <v>2877</v>
      </c>
      <c r="F104" s="106" t="s">
        <v>16</v>
      </c>
      <c r="G104" s="106" t="s">
        <v>17</v>
      </c>
      <c r="H104" s="106" t="s">
        <v>18</v>
      </c>
      <c r="I104" s="108" t="s">
        <v>15</v>
      </c>
      <c r="J104" s="106" t="s">
        <v>2062</v>
      </c>
      <c r="K104" s="109">
        <v>362300</v>
      </c>
      <c r="L104" s="107" t="s">
        <v>172</v>
      </c>
      <c r="M104" s="107" t="s">
        <v>14</v>
      </c>
    </row>
    <row r="105" spans="1:13" ht="16">
      <c r="A105" s="106" t="s">
        <v>2058</v>
      </c>
      <c r="B105" s="106" t="s">
        <v>2139</v>
      </c>
      <c r="C105" s="106" t="s">
        <v>2060</v>
      </c>
      <c r="D105" s="108" t="s">
        <v>2884</v>
      </c>
      <c r="E105" s="106" t="s">
        <v>22</v>
      </c>
      <c r="F105" s="106" t="s">
        <v>21</v>
      </c>
      <c r="G105" s="106" t="s">
        <v>17</v>
      </c>
      <c r="H105" s="106" t="s">
        <v>18</v>
      </c>
      <c r="I105" s="108" t="s">
        <v>2068</v>
      </c>
      <c r="J105" s="106" t="s">
        <v>23</v>
      </c>
      <c r="K105" s="109">
        <v>108192000</v>
      </c>
      <c r="L105" s="107" t="s">
        <v>172</v>
      </c>
      <c r="M105" s="107" t="s">
        <v>14</v>
      </c>
    </row>
    <row r="106" spans="1:13" ht="16">
      <c r="A106" s="106" t="s">
        <v>2058</v>
      </c>
      <c r="B106" s="106" t="s">
        <v>2140</v>
      </c>
      <c r="C106" s="106" t="s">
        <v>2060</v>
      </c>
      <c r="D106" s="108" t="s">
        <v>2885</v>
      </c>
      <c r="E106" s="106" t="s">
        <v>2886</v>
      </c>
      <c r="F106" s="106" t="s">
        <v>16</v>
      </c>
      <c r="G106" s="106" t="s">
        <v>17</v>
      </c>
      <c r="H106" s="106" t="s">
        <v>18</v>
      </c>
      <c r="I106" s="108" t="s">
        <v>15</v>
      </c>
      <c r="J106" s="106" t="s">
        <v>24</v>
      </c>
      <c r="K106" s="109">
        <v>36940000</v>
      </c>
      <c r="L106" s="107" t="s">
        <v>173</v>
      </c>
      <c r="M106" s="107" t="s">
        <v>14</v>
      </c>
    </row>
    <row r="107" spans="1:13" ht="16">
      <c r="A107" s="106" t="s">
        <v>2058</v>
      </c>
      <c r="B107" s="106" t="s">
        <v>2141</v>
      </c>
      <c r="C107" s="106" t="s">
        <v>2060</v>
      </c>
      <c r="D107" s="108" t="s">
        <v>2887</v>
      </c>
      <c r="E107" s="106" t="s">
        <v>2888</v>
      </c>
      <c r="F107" s="106" t="s">
        <v>16</v>
      </c>
      <c r="G107" s="106" t="s">
        <v>17</v>
      </c>
      <c r="H107" s="106" t="s">
        <v>18</v>
      </c>
      <c r="I107" s="108" t="s">
        <v>15</v>
      </c>
      <c r="J107" s="106" t="s">
        <v>24</v>
      </c>
      <c r="K107" s="109">
        <v>6865300</v>
      </c>
      <c r="L107" s="107" t="s">
        <v>173</v>
      </c>
      <c r="M107" s="107" t="s">
        <v>14</v>
      </c>
    </row>
    <row r="108" spans="1:13" ht="16">
      <c r="A108" s="106" t="s">
        <v>2058</v>
      </c>
      <c r="B108" s="106" t="s">
        <v>2142</v>
      </c>
      <c r="C108" s="106" t="s">
        <v>2060</v>
      </c>
      <c r="D108" s="108" t="s">
        <v>2889</v>
      </c>
      <c r="E108" s="106" t="s">
        <v>2890</v>
      </c>
      <c r="F108" s="106" t="s">
        <v>16</v>
      </c>
      <c r="G108" s="106" t="s">
        <v>17</v>
      </c>
      <c r="H108" s="106" t="s">
        <v>18</v>
      </c>
      <c r="I108" s="108" t="s">
        <v>15</v>
      </c>
      <c r="J108" s="106" t="s">
        <v>24</v>
      </c>
      <c r="K108" s="109">
        <v>44050800</v>
      </c>
      <c r="L108" s="107" t="s">
        <v>173</v>
      </c>
      <c r="M108" s="107" t="s">
        <v>14</v>
      </c>
    </row>
    <row r="109" spans="1:13" ht="16">
      <c r="A109" s="106" t="s">
        <v>2058</v>
      </c>
      <c r="B109" s="106" t="s">
        <v>2143</v>
      </c>
      <c r="C109" s="106" t="s">
        <v>2060</v>
      </c>
      <c r="D109" s="108" t="s">
        <v>2891</v>
      </c>
      <c r="E109" s="106" t="s">
        <v>25</v>
      </c>
      <c r="F109" s="106" t="s">
        <v>16</v>
      </c>
      <c r="G109" s="106" t="s">
        <v>17</v>
      </c>
      <c r="H109" s="106" t="s">
        <v>18</v>
      </c>
      <c r="I109" s="108" t="s">
        <v>15</v>
      </c>
      <c r="J109" s="106" t="s">
        <v>24</v>
      </c>
      <c r="K109" s="109">
        <v>307900</v>
      </c>
      <c r="L109" s="107" t="s">
        <v>173</v>
      </c>
      <c r="M109" s="107" t="s">
        <v>14</v>
      </c>
    </row>
    <row r="110" spans="1:13" ht="16">
      <c r="A110" s="106" t="s">
        <v>2058</v>
      </c>
      <c r="B110" s="106" t="s">
        <v>2892</v>
      </c>
      <c r="C110" s="106" t="s">
        <v>2060</v>
      </c>
      <c r="D110" s="108" t="s">
        <v>2893</v>
      </c>
      <c r="E110" s="106" t="s">
        <v>2888</v>
      </c>
      <c r="F110" s="106" t="s">
        <v>16</v>
      </c>
      <c r="G110" s="106" t="s">
        <v>17</v>
      </c>
      <c r="H110" s="106" t="s">
        <v>18</v>
      </c>
      <c r="I110" s="108" t="s">
        <v>15</v>
      </c>
      <c r="J110" s="106" t="s">
        <v>24</v>
      </c>
      <c r="K110" s="109">
        <v>40972000</v>
      </c>
      <c r="L110" s="107" t="s">
        <v>173</v>
      </c>
      <c r="M110" s="107" t="s">
        <v>14</v>
      </c>
    </row>
    <row r="111" spans="1:13" ht="16">
      <c r="A111" s="106" t="s">
        <v>2058</v>
      </c>
      <c r="B111" s="106" t="s">
        <v>2894</v>
      </c>
      <c r="C111" s="106" t="s">
        <v>2060</v>
      </c>
      <c r="D111" s="108" t="s">
        <v>2895</v>
      </c>
      <c r="E111" s="106" t="s">
        <v>2888</v>
      </c>
      <c r="F111" s="106" t="s">
        <v>16</v>
      </c>
      <c r="G111" s="106" t="s">
        <v>17</v>
      </c>
      <c r="H111" s="106" t="s">
        <v>18</v>
      </c>
      <c r="I111" s="108" t="s">
        <v>15</v>
      </c>
      <c r="J111" s="106" t="s">
        <v>24</v>
      </c>
      <c r="K111" s="109">
        <v>28900000</v>
      </c>
      <c r="L111" s="107" t="s">
        <v>173</v>
      </c>
      <c r="M111" s="107" t="s">
        <v>14</v>
      </c>
    </row>
    <row r="112" spans="1:13" ht="16">
      <c r="A112" s="106" t="s">
        <v>2058</v>
      </c>
      <c r="B112" s="106" t="s">
        <v>2896</v>
      </c>
      <c r="C112" s="106" t="s">
        <v>2060</v>
      </c>
      <c r="D112" s="108" t="s">
        <v>2897</v>
      </c>
      <c r="E112" s="106" t="s">
        <v>2898</v>
      </c>
      <c r="F112" s="106" t="s">
        <v>16</v>
      </c>
      <c r="G112" s="106" t="s">
        <v>17</v>
      </c>
      <c r="H112" s="106" t="s">
        <v>18</v>
      </c>
      <c r="I112" s="108" t="s">
        <v>15</v>
      </c>
      <c r="J112" s="106" t="s">
        <v>24</v>
      </c>
      <c r="K112" s="109">
        <v>3100000</v>
      </c>
      <c r="L112" s="107" t="s">
        <v>172</v>
      </c>
      <c r="M112" s="107" t="s">
        <v>14</v>
      </c>
    </row>
    <row r="113" spans="1:13" ht="16">
      <c r="A113" s="106" t="s">
        <v>2058</v>
      </c>
      <c r="B113" s="106" t="s">
        <v>2899</v>
      </c>
      <c r="C113" s="106" t="s">
        <v>2060</v>
      </c>
      <c r="D113" s="108" t="s">
        <v>2900</v>
      </c>
      <c r="E113" s="106" t="s">
        <v>2898</v>
      </c>
      <c r="F113" s="106" t="s">
        <v>16</v>
      </c>
      <c r="G113" s="106" t="s">
        <v>17</v>
      </c>
      <c r="H113" s="106" t="s">
        <v>18</v>
      </c>
      <c r="I113" s="108" t="s">
        <v>15</v>
      </c>
      <c r="J113" s="106" t="s">
        <v>24</v>
      </c>
      <c r="K113" s="109">
        <v>4200000</v>
      </c>
      <c r="L113" s="107" t="s">
        <v>172</v>
      </c>
      <c r="M113" s="107" t="s">
        <v>14</v>
      </c>
    </row>
    <row r="114" spans="1:13" ht="16">
      <c r="A114" s="106" t="s">
        <v>2058</v>
      </c>
      <c r="B114" s="106" t="s">
        <v>2901</v>
      </c>
      <c r="C114" s="106" t="s">
        <v>2060</v>
      </c>
      <c r="D114" s="108" t="s">
        <v>2902</v>
      </c>
      <c r="E114" s="106" t="s">
        <v>2888</v>
      </c>
      <c r="F114" s="106" t="s">
        <v>16</v>
      </c>
      <c r="G114" s="106" t="s">
        <v>17</v>
      </c>
      <c r="H114" s="106" t="s">
        <v>18</v>
      </c>
      <c r="I114" s="108" t="s">
        <v>15</v>
      </c>
      <c r="J114" s="106" t="s">
        <v>24</v>
      </c>
      <c r="K114" s="109">
        <v>14287100</v>
      </c>
      <c r="L114" s="107" t="s">
        <v>173</v>
      </c>
      <c r="M114" s="107" t="s">
        <v>14</v>
      </c>
    </row>
    <row r="115" spans="1:13" ht="16">
      <c r="A115" s="106" t="s">
        <v>2058</v>
      </c>
      <c r="B115" s="106" t="s">
        <v>2903</v>
      </c>
      <c r="C115" s="106" t="s">
        <v>2060</v>
      </c>
      <c r="D115" s="108" t="s">
        <v>2904</v>
      </c>
      <c r="E115" s="106" t="s">
        <v>2888</v>
      </c>
      <c r="F115" s="106" t="s">
        <v>16</v>
      </c>
      <c r="G115" s="106" t="s">
        <v>17</v>
      </c>
      <c r="H115" s="106" t="s">
        <v>18</v>
      </c>
      <c r="I115" s="108" t="s">
        <v>15</v>
      </c>
      <c r="J115" s="106" t="s">
        <v>24</v>
      </c>
      <c r="K115" s="109">
        <v>22367000</v>
      </c>
      <c r="L115" s="107" t="s">
        <v>173</v>
      </c>
      <c r="M115" s="107" t="s">
        <v>14</v>
      </c>
    </row>
    <row r="116" spans="1:13" ht="16">
      <c r="A116" s="106" t="s">
        <v>2058</v>
      </c>
      <c r="B116" s="106" t="s">
        <v>2144</v>
      </c>
      <c r="C116" s="106" t="s">
        <v>2060</v>
      </c>
      <c r="D116" s="108" t="s">
        <v>2905</v>
      </c>
      <c r="E116" s="106" t="s">
        <v>27</v>
      </c>
      <c r="F116" s="106" t="s">
        <v>21</v>
      </c>
      <c r="G116" s="106" t="s">
        <v>17</v>
      </c>
      <c r="H116" s="106" t="s">
        <v>18</v>
      </c>
      <c r="I116" s="108" t="s">
        <v>2068</v>
      </c>
      <c r="J116" s="106" t="s">
        <v>28</v>
      </c>
      <c r="K116" s="109">
        <v>1980000</v>
      </c>
      <c r="L116" s="107" t="s">
        <v>172</v>
      </c>
      <c r="M116" s="107" t="s">
        <v>14</v>
      </c>
    </row>
    <row r="117" spans="1:13" ht="16">
      <c r="A117" s="106" t="s">
        <v>2058</v>
      </c>
      <c r="B117" s="106" t="s">
        <v>2438</v>
      </c>
      <c r="C117" s="106" t="s">
        <v>2060</v>
      </c>
      <c r="D117" s="108" t="s">
        <v>2906</v>
      </c>
      <c r="E117" s="106" t="s">
        <v>27</v>
      </c>
      <c r="F117" s="106" t="s">
        <v>21</v>
      </c>
      <c r="G117" s="106" t="s">
        <v>17</v>
      </c>
      <c r="H117" s="106" t="s">
        <v>18</v>
      </c>
      <c r="I117" s="108" t="s">
        <v>2068</v>
      </c>
      <c r="J117" s="106" t="s">
        <v>28</v>
      </c>
      <c r="K117" s="109">
        <v>1032000</v>
      </c>
      <c r="L117" s="107" t="s">
        <v>172</v>
      </c>
      <c r="M117" s="107" t="s">
        <v>14</v>
      </c>
    </row>
    <row r="118" spans="1:13" ht="16">
      <c r="A118" s="106" t="s">
        <v>2058</v>
      </c>
      <c r="B118" s="106" t="s">
        <v>2439</v>
      </c>
      <c r="C118" s="106" t="s">
        <v>2060</v>
      </c>
      <c r="D118" s="108" t="s">
        <v>2907</v>
      </c>
      <c r="E118" s="106" t="s">
        <v>27</v>
      </c>
      <c r="F118" s="106" t="s">
        <v>21</v>
      </c>
      <c r="G118" s="106" t="s">
        <v>17</v>
      </c>
      <c r="H118" s="106" t="s">
        <v>18</v>
      </c>
      <c r="I118" s="108" t="s">
        <v>2068</v>
      </c>
      <c r="J118" s="106" t="s">
        <v>28</v>
      </c>
      <c r="K118" s="109">
        <v>2572000</v>
      </c>
      <c r="L118" s="107" t="s">
        <v>172</v>
      </c>
      <c r="M118" s="107" t="s">
        <v>14</v>
      </c>
    </row>
    <row r="119" spans="1:13" ht="16">
      <c r="A119" s="106" t="s">
        <v>2058</v>
      </c>
      <c r="B119" s="106" t="s">
        <v>2145</v>
      </c>
      <c r="C119" s="106" t="s">
        <v>2060</v>
      </c>
      <c r="D119" s="108" t="s">
        <v>2908</v>
      </c>
      <c r="E119" s="106" t="s">
        <v>2130</v>
      </c>
      <c r="F119" s="106" t="s">
        <v>21</v>
      </c>
      <c r="G119" s="106" t="s">
        <v>17</v>
      </c>
      <c r="H119" s="106" t="s">
        <v>18</v>
      </c>
      <c r="I119" s="108" t="s">
        <v>2066</v>
      </c>
      <c r="J119" s="106" t="s">
        <v>28</v>
      </c>
      <c r="K119" s="109">
        <v>1654900</v>
      </c>
      <c r="L119" s="107" t="s">
        <v>172</v>
      </c>
      <c r="M119" s="107" t="s">
        <v>14</v>
      </c>
    </row>
    <row r="120" spans="1:13" ht="16">
      <c r="A120" s="106" t="s">
        <v>2058</v>
      </c>
      <c r="B120" s="106" t="s">
        <v>2146</v>
      </c>
      <c r="C120" s="106" t="s">
        <v>2060</v>
      </c>
      <c r="D120" s="108" t="s">
        <v>2909</v>
      </c>
      <c r="E120" s="106" t="s">
        <v>2130</v>
      </c>
      <c r="F120" s="106" t="s">
        <v>21</v>
      </c>
      <c r="G120" s="106" t="s">
        <v>17</v>
      </c>
      <c r="H120" s="106" t="s">
        <v>18</v>
      </c>
      <c r="I120" s="108" t="s">
        <v>2084</v>
      </c>
      <c r="J120" s="106" t="s">
        <v>28</v>
      </c>
      <c r="K120" s="109">
        <v>1654900</v>
      </c>
      <c r="L120" s="107" t="s">
        <v>172</v>
      </c>
      <c r="M120" s="107" t="s">
        <v>14</v>
      </c>
    </row>
    <row r="121" spans="1:13" ht="16">
      <c r="A121" s="106" t="s">
        <v>2058</v>
      </c>
      <c r="B121" s="106" t="s">
        <v>2147</v>
      </c>
      <c r="C121" s="106" t="s">
        <v>2060</v>
      </c>
      <c r="D121" s="108" t="s">
        <v>2910</v>
      </c>
      <c r="E121" s="106" t="s">
        <v>2130</v>
      </c>
      <c r="F121" s="106" t="s">
        <v>21</v>
      </c>
      <c r="G121" s="106" t="s">
        <v>17</v>
      </c>
      <c r="H121" s="106" t="s">
        <v>18</v>
      </c>
      <c r="I121" s="108" t="s">
        <v>2084</v>
      </c>
      <c r="J121" s="106" t="s">
        <v>28</v>
      </c>
      <c r="K121" s="109">
        <v>1654900</v>
      </c>
      <c r="L121" s="107" t="s">
        <v>172</v>
      </c>
      <c r="M121" s="107" t="s">
        <v>14</v>
      </c>
    </row>
    <row r="122" spans="1:13" ht="16">
      <c r="A122" s="106" t="s">
        <v>2058</v>
      </c>
      <c r="B122" s="106" t="s">
        <v>2148</v>
      </c>
      <c r="C122" s="106" t="s">
        <v>2060</v>
      </c>
      <c r="D122" s="108" t="s">
        <v>2911</v>
      </c>
      <c r="E122" s="106" t="s">
        <v>29</v>
      </c>
      <c r="F122" s="106" t="s">
        <v>21</v>
      </c>
      <c r="G122" s="106" t="s">
        <v>17</v>
      </c>
      <c r="H122" s="106" t="s">
        <v>18</v>
      </c>
      <c r="I122" s="108" t="s">
        <v>2068</v>
      </c>
      <c r="J122" s="106" t="s">
        <v>2062</v>
      </c>
      <c r="K122" s="109">
        <v>258000</v>
      </c>
      <c r="L122" s="107" t="s">
        <v>172</v>
      </c>
      <c r="M122" s="107" t="s">
        <v>14</v>
      </c>
    </row>
    <row r="123" spans="1:13" ht="16">
      <c r="A123" s="106" t="s">
        <v>2058</v>
      </c>
      <c r="B123" s="106" t="s">
        <v>2149</v>
      </c>
      <c r="C123" s="106" t="s">
        <v>2060</v>
      </c>
      <c r="D123" s="108" t="s">
        <v>2912</v>
      </c>
      <c r="E123" s="106" t="s">
        <v>29</v>
      </c>
      <c r="F123" s="106" t="s">
        <v>21</v>
      </c>
      <c r="G123" s="106" t="s">
        <v>17</v>
      </c>
      <c r="H123" s="106" t="s">
        <v>18</v>
      </c>
      <c r="I123" s="108" t="s">
        <v>2068</v>
      </c>
      <c r="J123" s="106" t="s">
        <v>2062</v>
      </c>
      <c r="K123" s="109">
        <v>258000</v>
      </c>
      <c r="L123" s="107" t="s">
        <v>172</v>
      </c>
      <c r="M123" s="107" t="s">
        <v>14</v>
      </c>
    </row>
    <row r="124" spans="1:13" ht="16">
      <c r="A124" s="106" t="s">
        <v>2058</v>
      </c>
      <c r="B124" s="106" t="s">
        <v>2151</v>
      </c>
      <c r="C124" s="106" t="s">
        <v>2060</v>
      </c>
      <c r="D124" s="108" t="s">
        <v>2913</v>
      </c>
      <c r="E124" s="106" t="s">
        <v>2815</v>
      </c>
      <c r="F124" s="106" t="s">
        <v>21</v>
      </c>
      <c r="G124" s="106" t="s">
        <v>17</v>
      </c>
      <c r="H124" s="106" t="s">
        <v>26</v>
      </c>
      <c r="I124" s="108" t="s">
        <v>2066</v>
      </c>
      <c r="J124" s="106" t="s">
        <v>2062</v>
      </c>
      <c r="K124" s="109">
        <v>14160000</v>
      </c>
      <c r="L124" s="107" t="s">
        <v>172</v>
      </c>
      <c r="M124" s="107" t="s">
        <v>14</v>
      </c>
    </row>
    <row r="125" spans="1:13" ht="16">
      <c r="A125" s="106" t="s">
        <v>2058</v>
      </c>
      <c r="B125" s="106" t="s">
        <v>2150</v>
      </c>
      <c r="C125" s="106" t="s">
        <v>2060</v>
      </c>
      <c r="D125" s="108" t="s">
        <v>2914</v>
      </c>
      <c r="E125" s="106" t="s">
        <v>2815</v>
      </c>
      <c r="F125" s="106" t="s">
        <v>21</v>
      </c>
      <c r="G125" s="106" t="s">
        <v>17</v>
      </c>
      <c r="H125" s="106" t="s">
        <v>18</v>
      </c>
      <c r="I125" s="108" t="s">
        <v>2066</v>
      </c>
      <c r="J125" s="106" t="s">
        <v>2062</v>
      </c>
      <c r="K125" s="109">
        <v>14160000</v>
      </c>
      <c r="L125" s="107" t="s">
        <v>172</v>
      </c>
      <c r="M125" s="107" t="s">
        <v>14</v>
      </c>
    </row>
    <row r="126" spans="1:13" ht="16">
      <c r="A126" s="106" t="s">
        <v>2058</v>
      </c>
      <c r="B126" s="106" t="s">
        <v>2915</v>
      </c>
      <c r="C126" s="106" t="s">
        <v>2060</v>
      </c>
      <c r="D126" s="108" t="s">
        <v>2916</v>
      </c>
      <c r="E126" s="106" t="s">
        <v>2870</v>
      </c>
      <c r="F126" s="106" t="s">
        <v>21</v>
      </c>
      <c r="G126" s="106" t="s">
        <v>17</v>
      </c>
      <c r="H126" s="106" t="s">
        <v>18</v>
      </c>
      <c r="I126" s="108" t="s">
        <v>2068</v>
      </c>
      <c r="J126" s="106" t="s">
        <v>2062</v>
      </c>
      <c r="K126" s="109">
        <v>153994000</v>
      </c>
      <c r="L126" s="107" t="s">
        <v>172</v>
      </c>
      <c r="M126" s="107" t="s">
        <v>14</v>
      </c>
    </row>
    <row r="127" spans="1:13" ht="16">
      <c r="A127" s="106" t="s">
        <v>2058</v>
      </c>
      <c r="B127" s="106" t="s">
        <v>2917</v>
      </c>
      <c r="C127" s="106" t="s">
        <v>2060</v>
      </c>
      <c r="D127" s="108" t="s">
        <v>2918</v>
      </c>
      <c r="E127" s="106" t="s">
        <v>2870</v>
      </c>
      <c r="F127" s="106" t="s">
        <v>21</v>
      </c>
      <c r="G127" s="106" t="s">
        <v>17</v>
      </c>
      <c r="H127" s="106" t="s">
        <v>18</v>
      </c>
      <c r="I127" s="108" t="s">
        <v>2068</v>
      </c>
      <c r="J127" s="106" t="s">
        <v>2062</v>
      </c>
      <c r="K127" s="109">
        <v>142754000</v>
      </c>
      <c r="L127" s="107" t="s">
        <v>172</v>
      </c>
      <c r="M127" s="107" t="s">
        <v>14</v>
      </c>
    </row>
    <row r="128" spans="1:13" ht="16">
      <c r="A128" s="106" t="s">
        <v>2058</v>
      </c>
      <c r="B128" s="106" t="s">
        <v>2919</v>
      </c>
      <c r="C128" s="106" t="s">
        <v>2060</v>
      </c>
      <c r="D128" s="108" t="s">
        <v>2920</v>
      </c>
      <c r="E128" s="106" t="s">
        <v>2870</v>
      </c>
      <c r="F128" s="106" t="s">
        <v>21</v>
      </c>
      <c r="G128" s="106" t="s">
        <v>17</v>
      </c>
      <c r="H128" s="106" t="s">
        <v>18</v>
      </c>
      <c r="I128" s="108" t="s">
        <v>2068</v>
      </c>
      <c r="J128" s="106" t="s">
        <v>2062</v>
      </c>
      <c r="K128" s="109">
        <v>79522000</v>
      </c>
      <c r="L128" s="107" t="s">
        <v>172</v>
      </c>
      <c r="M128" s="107" t="s">
        <v>14</v>
      </c>
    </row>
  </sheetData>
  <mergeCells count="1">
    <mergeCell ref="A1:M1"/>
  </mergeCells>
  <dataValidations count="2">
    <dataValidation type="list" allowBlank="1" showInputMessage="1" showErrorMessage="1" sqref="M3:M128">
      <formula1>"COP,USD"</formula1>
    </dataValidation>
    <dataValidation type="list" allowBlank="1" showInputMessage="1" showErrorMessage="1" sqref="L3">
      <formula1>"Sí,No"</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workbookViewId="0">
      <selection activeCell="D17" sqref="D17"/>
    </sheetView>
  </sheetViews>
  <sheetFormatPr baseColWidth="10" defaultColWidth="14.08984375" defaultRowHeight="14"/>
  <cols>
    <col min="1" max="1" width="12.36328125" style="112" bestFit="1" customWidth="1"/>
    <col min="2" max="2" width="41.453125" style="113" bestFit="1" customWidth="1"/>
    <col min="3" max="3" width="16.36328125" style="114" bestFit="1" customWidth="1"/>
    <col min="4" max="4" width="78" style="112" bestFit="1" customWidth="1"/>
    <col min="5" max="5" width="73.36328125" style="112" bestFit="1" customWidth="1"/>
    <col min="6" max="6" width="9.453125" style="112" bestFit="1" customWidth="1"/>
    <col min="7" max="7" width="12" style="114" bestFit="1" customWidth="1"/>
    <col min="8" max="8" width="16.453125" style="114" bestFit="1" customWidth="1"/>
    <col min="9" max="9" width="21.54296875" style="114" bestFit="1" customWidth="1"/>
    <col min="10" max="10" width="23.6328125" style="112" bestFit="1" customWidth="1"/>
    <col min="11" max="11" width="46.08984375" style="112" bestFit="1" customWidth="1"/>
    <col min="12" max="12" width="15.08984375" style="115" bestFit="1" customWidth="1"/>
    <col min="13" max="13" width="4.36328125" style="114" bestFit="1" customWidth="1"/>
    <col min="14" max="14" width="10" style="114" bestFit="1" customWidth="1"/>
    <col min="15" max="15" width="16.08984375" style="112" bestFit="1" customWidth="1"/>
    <col min="16" max="16" width="93" style="112" bestFit="1" customWidth="1"/>
    <col min="17" max="16384" width="14.08984375" style="112"/>
  </cols>
  <sheetData>
    <row r="1" spans="1:15" s="7" customFormat="1" ht="46.5">
      <c r="A1" s="320" t="s">
        <v>439</v>
      </c>
      <c r="B1" s="320"/>
      <c r="C1" s="320"/>
      <c r="D1" s="320"/>
      <c r="E1" s="320"/>
      <c r="F1" s="320"/>
      <c r="G1" s="320"/>
      <c r="H1" s="320"/>
      <c r="I1" s="320"/>
      <c r="J1" s="320"/>
      <c r="K1" s="320"/>
      <c r="L1" s="320"/>
      <c r="M1" s="320"/>
      <c r="N1" s="320"/>
    </row>
    <row r="2" spans="1:15" ht="15.5">
      <c r="A2" s="117" t="s">
        <v>0</v>
      </c>
      <c r="B2" s="117" t="s">
        <v>1</v>
      </c>
      <c r="C2" s="117" t="s">
        <v>2</v>
      </c>
      <c r="D2" s="117" t="s">
        <v>4</v>
      </c>
      <c r="E2" s="117" t="s">
        <v>5</v>
      </c>
      <c r="F2" s="117" t="s">
        <v>6</v>
      </c>
      <c r="G2" s="118" t="s">
        <v>7</v>
      </c>
      <c r="H2" s="118" t="s">
        <v>8</v>
      </c>
      <c r="I2" s="118" t="s">
        <v>9</v>
      </c>
      <c r="J2" s="117" t="s">
        <v>10</v>
      </c>
      <c r="K2" s="117" t="s">
        <v>11</v>
      </c>
      <c r="L2" s="119" t="s">
        <v>12</v>
      </c>
      <c r="M2" s="120" t="s">
        <v>13</v>
      </c>
      <c r="N2" s="121" t="s">
        <v>3</v>
      </c>
    </row>
    <row r="3" spans="1:15">
      <c r="A3" s="122" t="s">
        <v>439</v>
      </c>
      <c r="B3" s="123" t="s">
        <v>440</v>
      </c>
      <c r="C3" s="124" t="s">
        <v>441</v>
      </c>
      <c r="D3" s="123" t="s">
        <v>442</v>
      </c>
      <c r="E3" s="123" t="s">
        <v>438</v>
      </c>
      <c r="F3" s="123" t="s">
        <v>16</v>
      </c>
      <c r="G3" s="124" t="s">
        <v>17</v>
      </c>
      <c r="H3" s="124" t="s">
        <v>443</v>
      </c>
      <c r="I3" s="124" t="s">
        <v>15</v>
      </c>
      <c r="J3" s="123" t="str">
        <f t="shared" ref="J3:J66" si="0">+B3</f>
        <v>IF-SEARCH-02-500K</v>
      </c>
      <c r="K3" s="123" t="s">
        <v>444</v>
      </c>
      <c r="L3" s="125">
        <v>24999999.999999959</v>
      </c>
      <c r="M3" s="124" t="s">
        <v>402</v>
      </c>
      <c r="N3" s="122" t="s">
        <v>14</v>
      </c>
      <c r="O3" s="116"/>
    </row>
    <row r="4" spans="1:15">
      <c r="A4" s="122" t="s">
        <v>439</v>
      </c>
      <c r="B4" s="123" t="s">
        <v>445</v>
      </c>
      <c r="C4" s="124" t="s">
        <v>441</v>
      </c>
      <c r="D4" s="123" t="s">
        <v>446</v>
      </c>
      <c r="E4" s="123" t="s">
        <v>438</v>
      </c>
      <c r="F4" s="123" t="s">
        <v>16</v>
      </c>
      <c r="G4" s="124" t="s">
        <v>17</v>
      </c>
      <c r="H4" s="124" t="s">
        <v>443</v>
      </c>
      <c r="I4" s="124" t="s">
        <v>15</v>
      </c>
      <c r="J4" s="123" t="str">
        <f t="shared" si="0"/>
        <v>IF-SEARCH-02-1M</v>
      </c>
      <c r="K4" s="123" t="s">
        <v>444</v>
      </c>
      <c r="L4" s="125">
        <v>30000000</v>
      </c>
      <c r="M4" s="124" t="s">
        <v>402</v>
      </c>
      <c r="N4" s="122" t="s">
        <v>14</v>
      </c>
      <c r="O4" s="116"/>
    </row>
    <row r="5" spans="1:15">
      <c r="A5" s="122" t="s">
        <v>439</v>
      </c>
      <c r="B5" s="123" t="s">
        <v>447</v>
      </c>
      <c r="C5" s="124" t="s">
        <v>441</v>
      </c>
      <c r="D5" s="123" t="s">
        <v>448</v>
      </c>
      <c r="E5" s="123" t="s">
        <v>438</v>
      </c>
      <c r="F5" s="123" t="s">
        <v>16</v>
      </c>
      <c r="G5" s="124" t="s">
        <v>17</v>
      </c>
      <c r="H5" s="124" t="s">
        <v>443</v>
      </c>
      <c r="I5" s="124" t="s">
        <v>15</v>
      </c>
      <c r="J5" s="123" t="str">
        <f t="shared" si="0"/>
        <v>IF-SEARCH-02-2M</v>
      </c>
      <c r="K5" s="123" t="s">
        <v>444</v>
      </c>
      <c r="L5" s="125">
        <v>35000000</v>
      </c>
      <c r="M5" s="124" t="s">
        <v>402</v>
      </c>
      <c r="N5" s="122" t="s">
        <v>14</v>
      </c>
      <c r="O5" s="116"/>
    </row>
    <row r="6" spans="1:15">
      <c r="A6" s="122" t="s">
        <v>439</v>
      </c>
      <c r="B6" s="122" t="s">
        <v>449</v>
      </c>
      <c r="C6" s="124" t="s">
        <v>441</v>
      </c>
      <c r="D6" s="123" t="s">
        <v>450</v>
      </c>
      <c r="E6" s="123" t="s">
        <v>438</v>
      </c>
      <c r="F6" s="123" t="s">
        <v>16</v>
      </c>
      <c r="G6" s="124" t="s">
        <v>17</v>
      </c>
      <c r="H6" s="124" t="s">
        <v>443</v>
      </c>
      <c r="I6" s="124" t="s">
        <v>15</v>
      </c>
      <c r="J6" s="123" t="str">
        <f t="shared" si="0"/>
        <v>IF-SEARCH-02-5M</v>
      </c>
      <c r="K6" s="123" t="s">
        <v>444</v>
      </c>
      <c r="L6" s="125">
        <v>40000000</v>
      </c>
      <c r="M6" s="124" t="s">
        <v>402</v>
      </c>
      <c r="N6" s="122" t="s">
        <v>14</v>
      </c>
      <c r="O6" s="116"/>
    </row>
    <row r="7" spans="1:15">
      <c r="A7" s="122" t="s">
        <v>439</v>
      </c>
      <c r="B7" s="122" t="s">
        <v>451</v>
      </c>
      <c r="C7" s="124" t="s">
        <v>441</v>
      </c>
      <c r="D7" s="123" t="s">
        <v>452</v>
      </c>
      <c r="E7" s="123" t="s">
        <v>438</v>
      </c>
      <c r="F7" s="123" t="s">
        <v>16</v>
      </c>
      <c r="G7" s="124" t="s">
        <v>17</v>
      </c>
      <c r="H7" s="124" t="s">
        <v>443</v>
      </c>
      <c r="I7" s="124" t="s">
        <v>15</v>
      </c>
      <c r="J7" s="123" t="str">
        <f t="shared" si="0"/>
        <v>IF-SEARCH-02-10M</v>
      </c>
      <c r="K7" s="123" t="s">
        <v>444</v>
      </c>
      <c r="L7" s="125">
        <v>45000000</v>
      </c>
      <c r="M7" s="124" t="s">
        <v>402</v>
      </c>
      <c r="N7" s="122" t="s">
        <v>14</v>
      </c>
      <c r="O7" s="116"/>
    </row>
    <row r="8" spans="1:15">
      <c r="A8" s="122" t="s">
        <v>439</v>
      </c>
      <c r="B8" s="122" t="s">
        <v>453</v>
      </c>
      <c r="C8" s="124" t="s">
        <v>441</v>
      </c>
      <c r="D8" s="123" t="s">
        <v>454</v>
      </c>
      <c r="E8" s="123" t="s">
        <v>438</v>
      </c>
      <c r="F8" s="123" t="s">
        <v>16</v>
      </c>
      <c r="G8" s="124" t="s">
        <v>17</v>
      </c>
      <c r="H8" s="124" t="s">
        <v>443</v>
      </c>
      <c r="I8" s="124" t="s">
        <v>15</v>
      </c>
      <c r="J8" s="123" t="str">
        <f t="shared" si="0"/>
        <v>IF-SEARCH-04-500K</v>
      </c>
      <c r="K8" s="123" t="s">
        <v>444</v>
      </c>
      <c r="L8" s="125">
        <v>30000000</v>
      </c>
      <c r="M8" s="124" t="s">
        <v>402</v>
      </c>
      <c r="N8" s="122" t="s">
        <v>14</v>
      </c>
      <c r="O8" s="116"/>
    </row>
    <row r="9" spans="1:15">
      <c r="A9" s="122" t="s">
        <v>439</v>
      </c>
      <c r="B9" s="122" t="s">
        <v>455</v>
      </c>
      <c r="C9" s="124" t="s">
        <v>441</v>
      </c>
      <c r="D9" s="123" t="s">
        <v>456</v>
      </c>
      <c r="E9" s="123" t="s">
        <v>438</v>
      </c>
      <c r="F9" s="123" t="s">
        <v>16</v>
      </c>
      <c r="G9" s="124" t="s">
        <v>17</v>
      </c>
      <c r="H9" s="124" t="s">
        <v>443</v>
      </c>
      <c r="I9" s="124" t="s">
        <v>15</v>
      </c>
      <c r="J9" s="123" t="str">
        <f t="shared" si="0"/>
        <v>IF-SEARCH-04-1M</v>
      </c>
      <c r="K9" s="123" t="s">
        <v>444</v>
      </c>
      <c r="L9" s="125">
        <v>35000000</v>
      </c>
      <c r="M9" s="124" t="s">
        <v>402</v>
      </c>
      <c r="N9" s="122" t="s">
        <v>14</v>
      </c>
      <c r="O9" s="116"/>
    </row>
    <row r="10" spans="1:15">
      <c r="A10" s="122" t="s">
        <v>439</v>
      </c>
      <c r="B10" s="122" t="s">
        <v>457</v>
      </c>
      <c r="C10" s="124" t="s">
        <v>441</v>
      </c>
      <c r="D10" s="123" t="s">
        <v>458</v>
      </c>
      <c r="E10" s="123" t="s">
        <v>438</v>
      </c>
      <c r="F10" s="123" t="s">
        <v>16</v>
      </c>
      <c r="G10" s="124" t="s">
        <v>17</v>
      </c>
      <c r="H10" s="124" t="s">
        <v>443</v>
      </c>
      <c r="I10" s="124" t="s">
        <v>15</v>
      </c>
      <c r="J10" s="123" t="str">
        <f t="shared" si="0"/>
        <v>IF-SEARCH-04-2M</v>
      </c>
      <c r="K10" s="123" t="s">
        <v>444</v>
      </c>
      <c r="L10" s="125">
        <v>39000000</v>
      </c>
      <c r="M10" s="124" t="s">
        <v>402</v>
      </c>
      <c r="N10" s="122" t="s">
        <v>14</v>
      </c>
      <c r="O10" s="116"/>
    </row>
    <row r="11" spans="1:15">
      <c r="A11" s="122" t="s">
        <v>439</v>
      </c>
      <c r="B11" s="122" t="s">
        <v>459</v>
      </c>
      <c r="C11" s="124" t="s">
        <v>441</v>
      </c>
      <c r="D11" s="123" t="s">
        <v>460</v>
      </c>
      <c r="E11" s="123" t="s">
        <v>438</v>
      </c>
      <c r="F11" s="123" t="s">
        <v>16</v>
      </c>
      <c r="G11" s="124" t="s">
        <v>17</v>
      </c>
      <c r="H11" s="124" t="s">
        <v>443</v>
      </c>
      <c r="I11" s="124" t="s">
        <v>15</v>
      </c>
      <c r="J11" s="123" t="str">
        <f t="shared" si="0"/>
        <v>IF-SEARCH-04-5M</v>
      </c>
      <c r="K11" s="123" t="s">
        <v>444</v>
      </c>
      <c r="L11" s="125">
        <v>43000000</v>
      </c>
      <c r="M11" s="124" t="s">
        <v>402</v>
      </c>
      <c r="N11" s="122" t="s">
        <v>14</v>
      </c>
      <c r="O11" s="116"/>
    </row>
    <row r="12" spans="1:15">
      <c r="A12" s="122" t="s">
        <v>439</v>
      </c>
      <c r="B12" s="122" t="s">
        <v>461</v>
      </c>
      <c r="C12" s="124" t="s">
        <v>441</v>
      </c>
      <c r="D12" s="123" t="s">
        <v>462</v>
      </c>
      <c r="E12" s="123" t="s">
        <v>438</v>
      </c>
      <c r="F12" s="123" t="s">
        <v>16</v>
      </c>
      <c r="G12" s="124" t="s">
        <v>17</v>
      </c>
      <c r="H12" s="124" t="s">
        <v>443</v>
      </c>
      <c r="I12" s="124" t="s">
        <v>15</v>
      </c>
      <c r="J12" s="123" t="str">
        <f t="shared" si="0"/>
        <v>IF-SEARCH-04-10M</v>
      </c>
      <c r="K12" s="123" t="s">
        <v>444</v>
      </c>
      <c r="L12" s="125">
        <v>46999999.999999993</v>
      </c>
      <c r="M12" s="124" t="s">
        <v>402</v>
      </c>
      <c r="N12" s="122" t="s">
        <v>14</v>
      </c>
      <c r="O12" s="116"/>
    </row>
    <row r="13" spans="1:15">
      <c r="A13" s="122" t="s">
        <v>439</v>
      </c>
      <c r="B13" s="122" t="s">
        <v>463</v>
      </c>
      <c r="C13" s="124" t="s">
        <v>441</v>
      </c>
      <c r="D13" s="123" t="s">
        <v>464</v>
      </c>
      <c r="E13" s="123" t="s">
        <v>438</v>
      </c>
      <c r="F13" s="123" t="s">
        <v>16</v>
      </c>
      <c r="G13" s="124" t="s">
        <v>17</v>
      </c>
      <c r="H13" s="124" t="s">
        <v>443</v>
      </c>
      <c r="I13" s="124" t="s">
        <v>15</v>
      </c>
      <c r="J13" s="123" t="str">
        <f t="shared" si="0"/>
        <v>IF-SEARCH-06-500K</v>
      </c>
      <c r="K13" s="123" t="s">
        <v>444</v>
      </c>
      <c r="L13" s="125">
        <v>34000000</v>
      </c>
      <c r="M13" s="124" t="s">
        <v>402</v>
      </c>
      <c r="N13" s="122" t="s">
        <v>14</v>
      </c>
      <c r="O13" s="116"/>
    </row>
    <row r="14" spans="1:15">
      <c r="A14" s="122" t="s">
        <v>439</v>
      </c>
      <c r="B14" s="122" t="s">
        <v>465</v>
      </c>
      <c r="C14" s="124" t="s">
        <v>441</v>
      </c>
      <c r="D14" s="123" t="s">
        <v>466</v>
      </c>
      <c r="E14" s="123" t="s">
        <v>438</v>
      </c>
      <c r="F14" s="123" t="s">
        <v>16</v>
      </c>
      <c r="G14" s="124" t="s">
        <v>17</v>
      </c>
      <c r="H14" s="124" t="s">
        <v>443</v>
      </c>
      <c r="I14" s="124" t="s">
        <v>15</v>
      </c>
      <c r="J14" s="123" t="str">
        <f t="shared" si="0"/>
        <v>IF-SEARCH-06-1M</v>
      </c>
      <c r="K14" s="123" t="s">
        <v>444</v>
      </c>
      <c r="L14" s="125">
        <v>39000000</v>
      </c>
      <c r="M14" s="124" t="s">
        <v>402</v>
      </c>
      <c r="N14" s="122" t="s">
        <v>14</v>
      </c>
      <c r="O14" s="116"/>
    </row>
    <row r="15" spans="1:15">
      <c r="A15" s="122" t="s">
        <v>439</v>
      </c>
      <c r="B15" s="122" t="s">
        <v>467</v>
      </c>
      <c r="C15" s="124" t="s">
        <v>441</v>
      </c>
      <c r="D15" s="123" t="s">
        <v>468</v>
      </c>
      <c r="E15" s="123" t="s">
        <v>438</v>
      </c>
      <c r="F15" s="123" t="s">
        <v>16</v>
      </c>
      <c r="G15" s="124" t="s">
        <v>17</v>
      </c>
      <c r="H15" s="124" t="s">
        <v>443</v>
      </c>
      <c r="I15" s="124" t="s">
        <v>15</v>
      </c>
      <c r="J15" s="123" t="str">
        <f t="shared" si="0"/>
        <v>IF-SEARCH-06-2M</v>
      </c>
      <c r="K15" s="123" t="s">
        <v>444</v>
      </c>
      <c r="L15" s="125">
        <v>43000000</v>
      </c>
      <c r="M15" s="124" t="s">
        <v>402</v>
      </c>
      <c r="N15" s="122" t="s">
        <v>14</v>
      </c>
      <c r="O15" s="116"/>
    </row>
    <row r="16" spans="1:15">
      <c r="A16" s="122" t="s">
        <v>439</v>
      </c>
      <c r="B16" s="122" t="s">
        <v>469</v>
      </c>
      <c r="C16" s="124" t="s">
        <v>441</v>
      </c>
      <c r="D16" s="123" t="s">
        <v>470</v>
      </c>
      <c r="E16" s="123" t="s">
        <v>438</v>
      </c>
      <c r="F16" s="123" t="s">
        <v>16</v>
      </c>
      <c r="G16" s="124" t="s">
        <v>17</v>
      </c>
      <c r="H16" s="124" t="s">
        <v>443</v>
      </c>
      <c r="I16" s="124" t="s">
        <v>15</v>
      </c>
      <c r="J16" s="123" t="str">
        <f t="shared" si="0"/>
        <v>IF-SEARCH-06-5M</v>
      </c>
      <c r="K16" s="123" t="s">
        <v>444</v>
      </c>
      <c r="L16" s="125">
        <v>46999999.999999993</v>
      </c>
      <c r="M16" s="124" t="s">
        <v>402</v>
      </c>
      <c r="N16" s="122" t="s">
        <v>14</v>
      </c>
      <c r="O16" s="116"/>
    </row>
    <row r="17" spans="1:15">
      <c r="A17" s="122" t="s">
        <v>439</v>
      </c>
      <c r="B17" s="122" t="s">
        <v>471</v>
      </c>
      <c r="C17" s="124" t="s">
        <v>441</v>
      </c>
      <c r="D17" s="123" t="s">
        <v>472</v>
      </c>
      <c r="E17" s="123" t="s">
        <v>438</v>
      </c>
      <c r="F17" s="123" t="s">
        <v>16</v>
      </c>
      <c r="G17" s="124" t="s">
        <v>17</v>
      </c>
      <c r="H17" s="124" t="s">
        <v>443</v>
      </c>
      <c r="I17" s="124" t="s">
        <v>15</v>
      </c>
      <c r="J17" s="123" t="str">
        <f t="shared" si="0"/>
        <v>IF-SEARCH-06-10M</v>
      </c>
      <c r="K17" s="123" t="s">
        <v>444</v>
      </c>
      <c r="L17" s="125">
        <v>51000000</v>
      </c>
      <c r="M17" s="124" t="s">
        <v>402</v>
      </c>
      <c r="N17" s="122" t="s">
        <v>14</v>
      </c>
      <c r="O17" s="116"/>
    </row>
    <row r="18" spans="1:15">
      <c r="A18" s="122" t="s">
        <v>439</v>
      </c>
      <c r="B18" s="122" t="s">
        <v>473</v>
      </c>
      <c r="C18" s="124" t="s">
        <v>441</v>
      </c>
      <c r="D18" s="123" t="s">
        <v>474</v>
      </c>
      <c r="E18" s="123" t="s">
        <v>438</v>
      </c>
      <c r="F18" s="123" t="s">
        <v>16</v>
      </c>
      <c r="G18" s="124" t="s">
        <v>17</v>
      </c>
      <c r="H18" s="124" t="s">
        <v>443</v>
      </c>
      <c r="I18" s="124" t="s">
        <v>15</v>
      </c>
      <c r="J18" s="123" t="str">
        <f t="shared" si="0"/>
        <v>IF-SEARCH-08-1M</v>
      </c>
      <c r="K18" s="123" t="s">
        <v>444</v>
      </c>
      <c r="L18" s="125">
        <v>40999999.999999993</v>
      </c>
      <c r="M18" s="124" t="s">
        <v>402</v>
      </c>
      <c r="N18" s="122" t="s">
        <v>14</v>
      </c>
      <c r="O18" s="116"/>
    </row>
    <row r="19" spans="1:15">
      <c r="A19" s="122" t="s">
        <v>439</v>
      </c>
      <c r="B19" s="122" t="s">
        <v>475</v>
      </c>
      <c r="C19" s="124" t="s">
        <v>441</v>
      </c>
      <c r="D19" s="123" t="s">
        <v>476</v>
      </c>
      <c r="E19" s="123" t="s">
        <v>438</v>
      </c>
      <c r="F19" s="123" t="s">
        <v>16</v>
      </c>
      <c r="G19" s="124" t="s">
        <v>17</v>
      </c>
      <c r="H19" s="124" t="s">
        <v>443</v>
      </c>
      <c r="I19" s="124" t="s">
        <v>15</v>
      </c>
      <c r="J19" s="123" t="str">
        <f t="shared" si="0"/>
        <v>IF-SEARCH-08-2M</v>
      </c>
      <c r="K19" s="123" t="s">
        <v>444</v>
      </c>
      <c r="L19" s="125">
        <v>43999999.999999993</v>
      </c>
      <c r="M19" s="124" t="s">
        <v>402</v>
      </c>
      <c r="N19" s="122" t="s">
        <v>14</v>
      </c>
      <c r="O19" s="116"/>
    </row>
    <row r="20" spans="1:15">
      <c r="A20" s="122" t="s">
        <v>439</v>
      </c>
      <c r="B20" s="122" t="s">
        <v>477</v>
      </c>
      <c r="C20" s="124" t="s">
        <v>441</v>
      </c>
      <c r="D20" s="123" t="s">
        <v>478</v>
      </c>
      <c r="E20" s="123" t="s">
        <v>438</v>
      </c>
      <c r="F20" s="123" t="s">
        <v>16</v>
      </c>
      <c r="G20" s="124" t="s">
        <v>17</v>
      </c>
      <c r="H20" s="124" t="s">
        <v>443</v>
      </c>
      <c r="I20" s="124" t="s">
        <v>15</v>
      </c>
      <c r="J20" s="123" t="str">
        <f t="shared" si="0"/>
        <v>IF-SEARCH-08-5M</v>
      </c>
      <c r="K20" s="123" t="s">
        <v>444</v>
      </c>
      <c r="L20" s="125">
        <v>46999999.999999993</v>
      </c>
      <c r="M20" s="124" t="s">
        <v>402</v>
      </c>
      <c r="N20" s="122" t="s">
        <v>14</v>
      </c>
      <c r="O20" s="116"/>
    </row>
    <row r="21" spans="1:15">
      <c r="A21" s="122" t="s">
        <v>439</v>
      </c>
      <c r="B21" s="122" t="s">
        <v>479</v>
      </c>
      <c r="C21" s="124" t="s">
        <v>441</v>
      </c>
      <c r="D21" s="123" t="s">
        <v>480</v>
      </c>
      <c r="E21" s="123" t="s">
        <v>438</v>
      </c>
      <c r="F21" s="123" t="s">
        <v>16</v>
      </c>
      <c r="G21" s="124" t="s">
        <v>17</v>
      </c>
      <c r="H21" s="124" t="s">
        <v>443</v>
      </c>
      <c r="I21" s="124" t="s">
        <v>15</v>
      </c>
      <c r="J21" s="123" t="str">
        <f t="shared" si="0"/>
        <v>IF-SEARCH-08-10M</v>
      </c>
      <c r="K21" s="123" t="s">
        <v>444</v>
      </c>
      <c r="L21" s="125">
        <v>49999999.999999993</v>
      </c>
      <c r="M21" s="124" t="s">
        <v>402</v>
      </c>
      <c r="N21" s="122" t="s">
        <v>14</v>
      </c>
      <c r="O21" s="116"/>
    </row>
    <row r="22" spans="1:15">
      <c r="A22" s="122" t="s">
        <v>439</v>
      </c>
      <c r="B22" s="122" t="s">
        <v>481</v>
      </c>
      <c r="C22" s="124" t="s">
        <v>441</v>
      </c>
      <c r="D22" s="123" t="s">
        <v>482</v>
      </c>
      <c r="E22" s="123" t="s">
        <v>438</v>
      </c>
      <c r="F22" s="123" t="s">
        <v>16</v>
      </c>
      <c r="G22" s="124" t="s">
        <v>17</v>
      </c>
      <c r="H22" s="124" t="s">
        <v>443</v>
      </c>
      <c r="I22" s="124" t="s">
        <v>15</v>
      </c>
      <c r="J22" s="123" t="str">
        <f t="shared" si="0"/>
        <v>IF-SEARCH-08-20M</v>
      </c>
      <c r="K22" s="123" t="s">
        <v>444</v>
      </c>
      <c r="L22" s="125">
        <v>55000000</v>
      </c>
      <c r="M22" s="124" t="s">
        <v>402</v>
      </c>
      <c r="N22" s="122" t="s">
        <v>14</v>
      </c>
      <c r="O22" s="116"/>
    </row>
    <row r="23" spans="1:15">
      <c r="A23" s="122" t="s">
        <v>439</v>
      </c>
      <c r="B23" s="122" t="s">
        <v>483</v>
      </c>
      <c r="C23" s="124" t="s">
        <v>441</v>
      </c>
      <c r="D23" s="123" t="s">
        <v>484</v>
      </c>
      <c r="E23" s="123" t="s">
        <v>438</v>
      </c>
      <c r="F23" s="123" t="s">
        <v>16</v>
      </c>
      <c r="G23" s="124" t="s">
        <v>17</v>
      </c>
      <c r="H23" s="124" t="s">
        <v>443</v>
      </c>
      <c r="I23" s="124" t="s">
        <v>15</v>
      </c>
      <c r="J23" s="123" t="str">
        <f t="shared" si="0"/>
        <v>IF-SEARCH-10-2M</v>
      </c>
      <c r="K23" s="123" t="s">
        <v>444</v>
      </c>
      <c r="L23" s="125">
        <v>46999999.999999993</v>
      </c>
      <c r="M23" s="124" t="s">
        <v>402</v>
      </c>
      <c r="N23" s="122" t="s">
        <v>14</v>
      </c>
      <c r="O23" s="116"/>
    </row>
    <row r="24" spans="1:15">
      <c r="A24" s="122" t="s">
        <v>439</v>
      </c>
      <c r="B24" s="122" t="s">
        <v>485</v>
      </c>
      <c r="C24" s="124" t="s">
        <v>441</v>
      </c>
      <c r="D24" s="123" t="s">
        <v>486</v>
      </c>
      <c r="E24" s="123" t="s">
        <v>438</v>
      </c>
      <c r="F24" s="123" t="s">
        <v>16</v>
      </c>
      <c r="G24" s="124" t="s">
        <v>17</v>
      </c>
      <c r="H24" s="124" t="s">
        <v>443</v>
      </c>
      <c r="I24" s="124" t="s">
        <v>15</v>
      </c>
      <c r="J24" s="123" t="str">
        <f t="shared" si="0"/>
        <v>IF-SEARCH-10-5M</v>
      </c>
      <c r="K24" s="123" t="s">
        <v>444</v>
      </c>
      <c r="L24" s="125">
        <v>49999999.999999993</v>
      </c>
      <c r="M24" s="124" t="s">
        <v>402</v>
      </c>
      <c r="N24" s="122" t="s">
        <v>14</v>
      </c>
      <c r="O24" s="116"/>
    </row>
    <row r="25" spans="1:15">
      <c r="A25" s="122" t="s">
        <v>439</v>
      </c>
      <c r="B25" s="122" t="s">
        <v>487</v>
      </c>
      <c r="C25" s="124" t="s">
        <v>441</v>
      </c>
      <c r="D25" s="123" t="s">
        <v>488</v>
      </c>
      <c r="E25" s="123" t="s">
        <v>438</v>
      </c>
      <c r="F25" s="123" t="s">
        <v>16</v>
      </c>
      <c r="G25" s="124" t="s">
        <v>17</v>
      </c>
      <c r="H25" s="124" t="s">
        <v>443</v>
      </c>
      <c r="I25" s="124" t="s">
        <v>15</v>
      </c>
      <c r="J25" s="123" t="str">
        <f t="shared" si="0"/>
        <v>IF-SEARCH-10-10M</v>
      </c>
      <c r="K25" s="123" t="s">
        <v>444</v>
      </c>
      <c r="L25" s="125">
        <v>52999999.999999993</v>
      </c>
      <c r="M25" s="124" t="s">
        <v>402</v>
      </c>
      <c r="N25" s="122" t="s">
        <v>14</v>
      </c>
      <c r="O25" s="116"/>
    </row>
    <row r="26" spans="1:15">
      <c r="A26" s="122" t="s">
        <v>439</v>
      </c>
      <c r="B26" s="122" t="s">
        <v>489</v>
      </c>
      <c r="C26" s="124" t="s">
        <v>441</v>
      </c>
      <c r="D26" s="123" t="s">
        <v>490</v>
      </c>
      <c r="E26" s="123" t="s">
        <v>438</v>
      </c>
      <c r="F26" s="123" t="s">
        <v>16</v>
      </c>
      <c r="G26" s="124" t="s">
        <v>17</v>
      </c>
      <c r="H26" s="124" t="s">
        <v>443</v>
      </c>
      <c r="I26" s="124" t="s">
        <v>15</v>
      </c>
      <c r="J26" s="123" t="str">
        <f t="shared" si="0"/>
        <v>IF-SEARCH-10-20M</v>
      </c>
      <c r="K26" s="123" t="s">
        <v>444</v>
      </c>
      <c r="L26" s="125">
        <v>55999999.999999993</v>
      </c>
      <c r="M26" s="124" t="s">
        <v>402</v>
      </c>
      <c r="N26" s="122" t="s">
        <v>14</v>
      </c>
      <c r="O26" s="116"/>
    </row>
    <row r="27" spans="1:15">
      <c r="A27" s="122" t="s">
        <v>439</v>
      </c>
      <c r="B27" s="122" t="s">
        <v>491</v>
      </c>
      <c r="C27" s="124" t="s">
        <v>441</v>
      </c>
      <c r="D27" s="123" t="s">
        <v>492</v>
      </c>
      <c r="E27" s="123" t="s">
        <v>438</v>
      </c>
      <c r="F27" s="123" t="s">
        <v>16</v>
      </c>
      <c r="G27" s="124" t="s">
        <v>17</v>
      </c>
      <c r="H27" s="124" t="s">
        <v>443</v>
      </c>
      <c r="I27" s="124" t="s">
        <v>15</v>
      </c>
      <c r="J27" s="123" t="str">
        <f t="shared" si="0"/>
        <v>IF-SEARCH-10-50M</v>
      </c>
      <c r="K27" s="123" t="s">
        <v>444</v>
      </c>
      <c r="L27" s="125">
        <v>58999999.999999993</v>
      </c>
      <c r="M27" s="124" t="s">
        <v>402</v>
      </c>
      <c r="N27" s="122" t="s">
        <v>14</v>
      </c>
      <c r="O27" s="116"/>
    </row>
    <row r="28" spans="1:15">
      <c r="A28" s="122" t="s">
        <v>439</v>
      </c>
      <c r="B28" s="122" t="s">
        <v>493</v>
      </c>
      <c r="C28" s="124" t="s">
        <v>441</v>
      </c>
      <c r="D28" s="123" t="s">
        <v>494</v>
      </c>
      <c r="E28" s="123" t="s">
        <v>438</v>
      </c>
      <c r="F28" s="123" t="s">
        <v>16</v>
      </c>
      <c r="G28" s="124" t="s">
        <v>17</v>
      </c>
      <c r="H28" s="124" t="s">
        <v>443</v>
      </c>
      <c r="I28" s="124" t="s">
        <v>15</v>
      </c>
      <c r="J28" s="123" t="str">
        <f t="shared" si="0"/>
        <v xml:space="preserve">IF-INFORMATION </v>
      </c>
      <c r="K28" s="123" t="s">
        <v>444</v>
      </c>
      <c r="L28" s="125">
        <v>9600000</v>
      </c>
      <c r="M28" s="124" t="s">
        <v>402</v>
      </c>
      <c r="N28" s="122" t="s">
        <v>14</v>
      </c>
      <c r="O28" s="116"/>
    </row>
    <row r="29" spans="1:15">
      <c r="A29" s="122" t="s">
        <v>439</v>
      </c>
      <c r="B29" s="122" t="s">
        <v>495</v>
      </c>
      <c r="C29" s="124" t="s">
        <v>441</v>
      </c>
      <c r="D29" s="123" t="s">
        <v>496</v>
      </c>
      <c r="E29" s="123" t="s">
        <v>438</v>
      </c>
      <c r="F29" s="123" t="s">
        <v>16</v>
      </c>
      <c r="G29" s="124" t="s">
        <v>17</v>
      </c>
      <c r="H29" s="124" t="s">
        <v>443</v>
      </c>
      <c r="I29" s="124" t="s">
        <v>15</v>
      </c>
      <c r="J29" s="123" t="str">
        <f t="shared" si="0"/>
        <v>IF-ANALYTICS-05-12</v>
      </c>
      <c r="K29" s="123" t="s">
        <v>444</v>
      </c>
      <c r="L29" s="125">
        <v>22500000</v>
      </c>
      <c r="M29" s="124" t="s">
        <v>402</v>
      </c>
      <c r="N29" s="122" t="s">
        <v>14</v>
      </c>
      <c r="O29" s="116"/>
    </row>
    <row r="30" spans="1:15">
      <c r="A30" s="122" t="s">
        <v>439</v>
      </c>
      <c r="B30" s="122" t="s">
        <v>497</v>
      </c>
      <c r="C30" s="124" t="s">
        <v>441</v>
      </c>
      <c r="D30" s="123" t="s">
        <v>498</v>
      </c>
      <c r="E30" s="123" t="s">
        <v>438</v>
      </c>
      <c r="F30" s="123" t="s">
        <v>16</v>
      </c>
      <c r="G30" s="124" t="s">
        <v>17</v>
      </c>
      <c r="H30" s="124" t="s">
        <v>443</v>
      </c>
      <c r="I30" s="124" t="s">
        <v>15</v>
      </c>
      <c r="J30" s="123" t="str">
        <f t="shared" si="0"/>
        <v>IF-ANALYTICS-10-12</v>
      </c>
      <c r="K30" s="123" t="s">
        <v>444</v>
      </c>
      <c r="L30" s="125">
        <v>25800000</v>
      </c>
      <c r="M30" s="124" t="s">
        <v>402</v>
      </c>
      <c r="N30" s="122" t="s">
        <v>14</v>
      </c>
      <c r="O30" s="116"/>
    </row>
    <row r="31" spans="1:15">
      <c r="A31" s="122" t="s">
        <v>439</v>
      </c>
      <c r="B31" s="122" t="s">
        <v>499</v>
      </c>
      <c r="C31" s="124" t="s">
        <v>441</v>
      </c>
      <c r="D31" s="123" t="s">
        <v>500</v>
      </c>
      <c r="E31" s="123" t="s">
        <v>438</v>
      </c>
      <c r="F31" s="123" t="s">
        <v>16</v>
      </c>
      <c r="G31" s="124" t="s">
        <v>17</v>
      </c>
      <c r="H31" s="124" t="s">
        <v>443</v>
      </c>
      <c r="I31" s="124" t="s">
        <v>15</v>
      </c>
      <c r="J31" s="123" t="str">
        <f t="shared" si="0"/>
        <v>IF-ANALYTICS-15-12</v>
      </c>
      <c r="K31" s="123" t="s">
        <v>444</v>
      </c>
      <c r="L31" s="125">
        <v>29199999.999999996</v>
      </c>
      <c r="M31" s="124" t="s">
        <v>402</v>
      </c>
      <c r="N31" s="122" t="s">
        <v>14</v>
      </c>
      <c r="O31" s="116"/>
    </row>
    <row r="32" spans="1:15">
      <c r="A32" s="122" t="s">
        <v>439</v>
      </c>
      <c r="B32" s="122" t="s">
        <v>501</v>
      </c>
      <c r="C32" s="124" t="s">
        <v>441</v>
      </c>
      <c r="D32" s="123" t="s">
        <v>502</v>
      </c>
      <c r="E32" s="123" t="s">
        <v>438</v>
      </c>
      <c r="F32" s="123" t="s">
        <v>16</v>
      </c>
      <c r="G32" s="124" t="s">
        <v>17</v>
      </c>
      <c r="H32" s="124" t="s">
        <v>443</v>
      </c>
      <c r="I32" s="124" t="s">
        <v>15</v>
      </c>
      <c r="J32" s="123" t="str">
        <f t="shared" si="0"/>
        <v>IF-ANALYTICS-20-12</v>
      </c>
      <c r="K32" s="123" t="s">
        <v>444</v>
      </c>
      <c r="L32" s="125">
        <v>32700000</v>
      </c>
      <c r="M32" s="124" t="s">
        <v>402</v>
      </c>
      <c r="N32" s="122" t="s">
        <v>14</v>
      </c>
      <c r="O32" s="116"/>
    </row>
    <row r="33" spans="1:15">
      <c r="A33" s="122" t="s">
        <v>439</v>
      </c>
      <c r="B33" s="122" t="s">
        <v>503</v>
      </c>
      <c r="C33" s="124" t="s">
        <v>441</v>
      </c>
      <c r="D33" s="123" t="s">
        <v>504</v>
      </c>
      <c r="E33" s="123" t="s">
        <v>438</v>
      </c>
      <c r="F33" s="123" t="s">
        <v>16</v>
      </c>
      <c r="G33" s="124" t="s">
        <v>17</v>
      </c>
      <c r="H33" s="124" t="s">
        <v>443</v>
      </c>
      <c r="I33" s="124" t="s">
        <v>15</v>
      </c>
      <c r="J33" s="123" t="str">
        <f t="shared" si="0"/>
        <v>IF-ANALYTICS-25-12</v>
      </c>
      <c r="K33" s="123" t="s">
        <v>444</v>
      </c>
      <c r="L33" s="125">
        <v>36100000</v>
      </c>
      <c r="M33" s="124" t="s">
        <v>402</v>
      </c>
      <c r="N33" s="122" t="s">
        <v>14</v>
      </c>
      <c r="O33" s="116"/>
    </row>
    <row r="34" spans="1:15">
      <c r="A34" s="122" t="s">
        <v>439</v>
      </c>
      <c r="B34" s="122" t="s">
        <v>505</v>
      </c>
      <c r="C34" s="124" t="s">
        <v>441</v>
      </c>
      <c r="D34" s="123" t="s">
        <v>506</v>
      </c>
      <c r="E34" s="123" t="s">
        <v>438</v>
      </c>
      <c r="F34" s="123" t="s">
        <v>16</v>
      </c>
      <c r="G34" s="124" t="s">
        <v>17</v>
      </c>
      <c r="H34" s="124" t="s">
        <v>443</v>
      </c>
      <c r="I34" s="124" t="s">
        <v>15</v>
      </c>
      <c r="J34" s="123" t="str">
        <f t="shared" si="0"/>
        <v>IF-ANALYTICS-05-24</v>
      </c>
      <c r="K34" s="123" t="s">
        <v>444</v>
      </c>
      <c r="L34" s="125">
        <v>39300000</v>
      </c>
      <c r="M34" s="124" t="s">
        <v>402</v>
      </c>
      <c r="N34" s="122" t="s">
        <v>14</v>
      </c>
      <c r="O34" s="116"/>
    </row>
    <row r="35" spans="1:15">
      <c r="A35" s="122" t="s">
        <v>439</v>
      </c>
      <c r="B35" s="122" t="s">
        <v>507</v>
      </c>
      <c r="C35" s="124" t="s">
        <v>441</v>
      </c>
      <c r="D35" s="123" t="s">
        <v>508</v>
      </c>
      <c r="E35" s="123" t="s">
        <v>438</v>
      </c>
      <c r="F35" s="123" t="s">
        <v>16</v>
      </c>
      <c r="G35" s="124" t="s">
        <v>17</v>
      </c>
      <c r="H35" s="124" t="s">
        <v>443</v>
      </c>
      <c r="I35" s="124" t="s">
        <v>15</v>
      </c>
      <c r="J35" s="123" t="str">
        <f t="shared" si="0"/>
        <v>IF-ANALYTICS-10-24</v>
      </c>
      <c r="K35" s="123" t="s">
        <v>444</v>
      </c>
      <c r="L35" s="125">
        <v>42300000</v>
      </c>
      <c r="M35" s="124" t="s">
        <v>402</v>
      </c>
      <c r="N35" s="122" t="s">
        <v>14</v>
      </c>
      <c r="O35" s="116"/>
    </row>
    <row r="36" spans="1:15">
      <c r="A36" s="122" t="s">
        <v>439</v>
      </c>
      <c r="B36" s="122" t="s">
        <v>509</v>
      </c>
      <c r="C36" s="124" t="s">
        <v>441</v>
      </c>
      <c r="D36" s="123" t="s">
        <v>508</v>
      </c>
      <c r="E36" s="123" t="s">
        <v>438</v>
      </c>
      <c r="F36" s="123" t="s">
        <v>16</v>
      </c>
      <c r="G36" s="124" t="s">
        <v>17</v>
      </c>
      <c r="H36" s="124" t="s">
        <v>443</v>
      </c>
      <c r="I36" s="124" t="s">
        <v>15</v>
      </c>
      <c r="J36" s="123" t="str">
        <f t="shared" si="0"/>
        <v>IF-ANALYTICS-15-24</v>
      </c>
      <c r="K36" s="123" t="s">
        <v>444</v>
      </c>
      <c r="L36" s="125">
        <v>45000000</v>
      </c>
      <c r="M36" s="124" t="s">
        <v>402</v>
      </c>
      <c r="N36" s="122" t="s">
        <v>14</v>
      </c>
      <c r="O36" s="116"/>
    </row>
    <row r="37" spans="1:15">
      <c r="A37" s="122" t="s">
        <v>439</v>
      </c>
      <c r="B37" s="122" t="s">
        <v>510</v>
      </c>
      <c r="C37" s="124" t="s">
        <v>441</v>
      </c>
      <c r="D37" s="123" t="s">
        <v>508</v>
      </c>
      <c r="E37" s="123" t="s">
        <v>438</v>
      </c>
      <c r="F37" s="123" t="s">
        <v>16</v>
      </c>
      <c r="G37" s="124" t="s">
        <v>17</v>
      </c>
      <c r="H37" s="124" t="s">
        <v>443</v>
      </c>
      <c r="I37" s="124" t="s">
        <v>15</v>
      </c>
      <c r="J37" s="123" t="str">
        <f t="shared" si="0"/>
        <v>IF-ANALYTICS-20-24</v>
      </c>
      <c r="K37" s="123" t="s">
        <v>444</v>
      </c>
      <c r="L37" s="125">
        <v>47200000</v>
      </c>
      <c r="M37" s="124" t="s">
        <v>402</v>
      </c>
      <c r="N37" s="122" t="s">
        <v>14</v>
      </c>
      <c r="O37" s="116"/>
    </row>
    <row r="38" spans="1:15">
      <c r="A38" s="122" t="s">
        <v>439</v>
      </c>
      <c r="B38" s="122" t="s">
        <v>511</v>
      </c>
      <c r="C38" s="124" t="s">
        <v>441</v>
      </c>
      <c r="D38" s="123" t="s">
        <v>512</v>
      </c>
      <c r="E38" s="123" t="s">
        <v>438</v>
      </c>
      <c r="F38" s="123" t="s">
        <v>16</v>
      </c>
      <c r="G38" s="124" t="s">
        <v>17</v>
      </c>
      <c r="H38" s="124" t="s">
        <v>443</v>
      </c>
      <c r="I38" s="124" t="s">
        <v>15</v>
      </c>
      <c r="J38" s="123" t="str">
        <f t="shared" si="0"/>
        <v>IF-ANALYTICS-25-24</v>
      </c>
      <c r="K38" s="123" t="s">
        <v>444</v>
      </c>
      <c r="L38" s="125">
        <v>48799999.999999993</v>
      </c>
      <c r="M38" s="124" t="s">
        <v>402</v>
      </c>
      <c r="N38" s="122" t="s">
        <v>14</v>
      </c>
      <c r="O38" s="116"/>
    </row>
    <row r="39" spans="1:15">
      <c r="A39" s="122" t="s">
        <v>439</v>
      </c>
      <c r="B39" s="122" t="s">
        <v>513</v>
      </c>
      <c r="C39" s="124" t="s">
        <v>441</v>
      </c>
      <c r="D39" s="123" t="s">
        <v>514</v>
      </c>
      <c r="E39" s="123" t="s">
        <v>438</v>
      </c>
      <c r="F39" s="123" t="s">
        <v>16</v>
      </c>
      <c r="G39" s="124" t="s">
        <v>17</v>
      </c>
      <c r="H39" s="124" t="s">
        <v>443</v>
      </c>
      <c r="I39" s="124" t="s">
        <v>15</v>
      </c>
      <c r="J39" s="123" t="str">
        <f t="shared" si="0"/>
        <v>IF-ANALYTICS-15-30</v>
      </c>
      <c r="K39" s="123" t="s">
        <v>444</v>
      </c>
      <c r="L39" s="125">
        <v>49900000</v>
      </c>
      <c r="M39" s="124" t="s">
        <v>402</v>
      </c>
      <c r="N39" s="122" t="s">
        <v>14</v>
      </c>
      <c r="O39" s="116"/>
    </row>
    <row r="40" spans="1:15">
      <c r="A40" s="122" t="s">
        <v>439</v>
      </c>
      <c r="B40" s="122" t="s">
        <v>515</v>
      </c>
      <c r="C40" s="124" t="s">
        <v>441</v>
      </c>
      <c r="D40" s="123" t="s">
        <v>450</v>
      </c>
      <c r="E40" s="123" t="s">
        <v>168</v>
      </c>
      <c r="F40" s="123" t="s">
        <v>16</v>
      </c>
      <c r="G40" s="124" t="s">
        <v>17</v>
      </c>
      <c r="H40" s="124" t="s">
        <v>443</v>
      </c>
      <c r="I40" s="124" t="s">
        <v>15</v>
      </c>
      <c r="J40" s="123" t="str">
        <f t="shared" si="0"/>
        <v>IF-SEARCH-PL-5M</v>
      </c>
      <c r="K40" s="123" t="s">
        <v>516</v>
      </c>
      <c r="L40" s="125">
        <v>984000000</v>
      </c>
      <c r="M40" s="124" t="s">
        <v>402</v>
      </c>
      <c r="N40" s="122" t="s">
        <v>14</v>
      </c>
      <c r="O40" s="116"/>
    </row>
    <row r="41" spans="1:15">
      <c r="A41" s="122" t="s">
        <v>439</v>
      </c>
      <c r="B41" s="122" t="s">
        <v>517</v>
      </c>
      <c r="C41" s="124" t="s">
        <v>441</v>
      </c>
      <c r="D41" s="123" t="s">
        <v>518</v>
      </c>
      <c r="E41" s="123" t="s">
        <v>168</v>
      </c>
      <c r="F41" s="123" t="s">
        <v>16</v>
      </c>
      <c r="G41" s="124" t="s">
        <v>17</v>
      </c>
      <c r="H41" s="124" t="s">
        <v>443</v>
      </c>
      <c r="I41" s="124" t="s">
        <v>15</v>
      </c>
      <c r="J41" s="123" t="str">
        <f t="shared" si="0"/>
        <v>IF-SEARCH-PL-5M-MANT</v>
      </c>
      <c r="K41" s="123" t="s">
        <v>519</v>
      </c>
      <c r="L41" s="125">
        <v>344400000</v>
      </c>
      <c r="M41" s="126" t="s">
        <v>216</v>
      </c>
      <c r="N41" s="122" t="s">
        <v>14</v>
      </c>
      <c r="O41" s="116"/>
    </row>
    <row r="42" spans="1:15">
      <c r="A42" s="122" t="s">
        <v>439</v>
      </c>
      <c r="B42" s="122" t="s">
        <v>520</v>
      </c>
      <c r="C42" s="124" t="s">
        <v>441</v>
      </c>
      <c r="D42" s="123" t="s">
        <v>521</v>
      </c>
      <c r="E42" s="123" t="s">
        <v>91</v>
      </c>
      <c r="F42" s="123" t="s">
        <v>21</v>
      </c>
      <c r="G42" s="124" t="s">
        <v>70</v>
      </c>
      <c r="H42" s="124" t="s">
        <v>42</v>
      </c>
      <c r="I42" s="124" t="s">
        <v>167</v>
      </c>
      <c r="J42" s="123" t="str">
        <f t="shared" si="0"/>
        <v>IF-CAP-01-01</v>
      </c>
      <c r="K42" s="123" t="s">
        <v>174</v>
      </c>
      <c r="L42" s="125">
        <v>3407520</v>
      </c>
      <c r="M42" s="126" t="s">
        <v>216</v>
      </c>
      <c r="N42" s="122" t="s">
        <v>14</v>
      </c>
      <c r="O42" s="116"/>
    </row>
    <row r="43" spans="1:15">
      <c r="A43" s="122" t="s">
        <v>439</v>
      </c>
      <c r="B43" s="122" t="s">
        <v>522</v>
      </c>
      <c r="C43" s="124" t="s">
        <v>441</v>
      </c>
      <c r="D43" s="123" t="s">
        <v>521</v>
      </c>
      <c r="E43" s="123" t="s">
        <v>91</v>
      </c>
      <c r="F43" s="123" t="s">
        <v>21</v>
      </c>
      <c r="G43" s="124" t="s">
        <v>70</v>
      </c>
      <c r="H43" s="124" t="s">
        <v>26</v>
      </c>
      <c r="I43" s="124" t="s">
        <v>167</v>
      </c>
      <c r="J43" s="123" t="str">
        <f t="shared" si="0"/>
        <v>IF-CAP-01-02</v>
      </c>
      <c r="K43" s="123" t="s">
        <v>174</v>
      </c>
      <c r="L43" s="125">
        <v>2467488</v>
      </c>
      <c r="M43" s="126" t="s">
        <v>216</v>
      </c>
      <c r="N43" s="122" t="s">
        <v>14</v>
      </c>
      <c r="O43" s="116"/>
    </row>
    <row r="44" spans="1:15">
      <c r="A44" s="122" t="s">
        <v>439</v>
      </c>
      <c r="B44" s="122" t="s">
        <v>523</v>
      </c>
      <c r="C44" s="124" t="s">
        <v>441</v>
      </c>
      <c r="D44" s="123" t="s">
        <v>521</v>
      </c>
      <c r="E44" s="123" t="s">
        <v>91</v>
      </c>
      <c r="F44" s="123" t="s">
        <v>21</v>
      </c>
      <c r="G44" s="124" t="s">
        <v>74</v>
      </c>
      <c r="H44" s="124" t="s">
        <v>42</v>
      </c>
      <c r="I44" s="124" t="s">
        <v>167</v>
      </c>
      <c r="J44" s="123" t="str">
        <f t="shared" si="0"/>
        <v>IF-CAP-01-03</v>
      </c>
      <c r="K44" s="123" t="s">
        <v>174</v>
      </c>
      <c r="L44" s="125">
        <v>7008000</v>
      </c>
      <c r="M44" s="126" t="s">
        <v>216</v>
      </c>
      <c r="N44" s="122" t="s">
        <v>14</v>
      </c>
      <c r="O44" s="116"/>
    </row>
    <row r="45" spans="1:15">
      <c r="A45" s="122" t="s">
        <v>439</v>
      </c>
      <c r="B45" s="122" t="s">
        <v>524</v>
      </c>
      <c r="C45" s="124" t="s">
        <v>441</v>
      </c>
      <c r="D45" s="123" t="s">
        <v>521</v>
      </c>
      <c r="E45" s="123" t="s">
        <v>91</v>
      </c>
      <c r="F45" s="123" t="s">
        <v>21</v>
      </c>
      <c r="G45" s="124" t="s">
        <v>74</v>
      </c>
      <c r="H45" s="124" t="s">
        <v>26</v>
      </c>
      <c r="I45" s="124" t="s">
        <v>167</v>
      </c>
      <c r="J45" s="123" t="str">
        <f t="shared" si="0"/>
        <v>IF-CAP-01-04</v>
      </c>
      <c r="K45" s="123" t="s">
        <v>174</v>
      </c>
      <c r="L45" s="125">
        <v>2467488</v>
      </c>
      <c r="M45" s="126" t="s">
        <v>216</v>
      </c>
      <c r="N45" s="122" t="s">
        <v>14</v>
      </c>
      <c r="O45" s="116"/>
    </row>
    <row r="46" spans="1:15">
      <c r="A46" s="122" t="s">
        <v>439</v>
      </c>
      <c r="B46" s="122" t="s">
        <v>525</v>
      </c>
      <c r="C46" s="124" t="s">
        <v>441</v>
      </c>
      <c r="D46" s="123" t="s">
        <v>521</v>
      </c>
      <c r="E46" s="123" t="s">
        <v>91</v>
      </c>
      <c r="F46" s="123" t="s">
        <v>21</v>
      </c>
      <c r="G46" s="124" t="s">
        <v>72</v>
      </c>
      <c r="H46" s="124" t="s">
        <v>42</v>
      </c>
      <c r="I46" s="124" t="s">
        <v>167</v>
      </c>
      <c r="J46" s="123" t="str">
        <f t="shared" si="0"/>
        <v>IF-CAP-01-05</v>
      </c>
      <c r="K46" s="123" t="s">
        <v>174</v>
      </c>
      <c r="L46" s="125">
        <v>7080000</v>
      </c>
      <c r="M46" s="126" t="s">
        <v>216</v>
      </c>
      <c r="N46" s="122" t="s">
        <v>14</v>
      </c>
      <c r="O46" s="116"/>
    </row>
    <row r="47" spans="1:15">
      <c r="A47" s="122" t="s">
        <v>439</v>
      </c>
      <c r="B47" s="122" t="s">
        <v>526</v>
      </c>
      <c r="C47" s="124" t="s">
        <v>441</v>
      </c>
      <c r="D47" s="123" t="s">
        <v>521</v>
      </c>
      <c r="E47" s="123" t="s">
        <v>91</v>
      </c>
      <c r="F47" s="123" t="s">
        <v>21</v>
      </c>
      <c r="G47" s="124" t="s">
        <v>72</v>
      </c>
      <c r="H47" s="124" t="s">
        <v>26</v>
      </c>
      <c r="I47" s="124" t="s">
        <v>167</v>
      </c>
      <c r="J47" s="123" t="str">
        <f t="shared" si="0"/>
        <v>IF-CAP-01-06</v>
      </c>
      <c r="K47" s="123" t="s">
        <v>174</v>
      </c>
      <c r="L47" s="125">
        <v>2467488</v>
      </c>
      <c r="M47" s="126" t="s">
        <v>216</v>
      </c>
      <c r="N47" s="122" t="s">
        <v>14</v>
      </c>
      <c r="O47" s="116"/>
    </row>
    <row r="48" spans="1:15">
      <c r="A48" s="122" t="s">
        <v>439</v>
      </c>
      <c r="B48" s="122" t="s">
        <v>527</v>
      </c>
      <c r="C48" s="124" t="s">
        <v>441</v>
      </c>
      <c r="D48" s="123" t="s">
        <v>528</v>
      </c>
      <c r="E48" s="123" t="s">
        <v>99</v>
      </c>
      <c r="F48" s="123" t="s">
        <v>21</v>
      </c>
      <c r="G48" s="124" t="s">
        <v>70</v>
      </c>
      <c r="H48" s="124" t="s">
        <v>42</v>
      </c>
      <c r="I48" s="124" t="s">
        <v>167</v>
      </c>
      <c r="J48" s="123" t="str">
        <f t="shared" si="0"/>
        <v>IF-CAP-02-01</v>
      </c>
      <c r="K48" s="123" t="s">
        <v>174</v>
      </c>
      <c r="L48" s="125">
        <v>6815040</v>
      </c>
      <c r="M48" s="126" t="s">
        <v>216</v>
      </c>
      <c r="N48" s="122" t="s">
        <v>14</v>
      </c>
      <c r="O48" s="116"/>
    </row>
    <row r="49" spans="1:15">
      <c r="A49" s="122" t="s">
        <v>439</v>
      </c>
      <c r="B49" s="122" t="s">
        <v>529</v>
      </c>
      <c r="C49" s="124" t="s">
        <v>441</v>
      </c>
      <c r="D49" s="123" t="s">
        <v>528</v>
      </c>
      <c r="E49" s="123" t="s">
        <v>99</v>
      </c>
      <c r="F49" s="123" t="s">
        <v>21</v>
      </c>
      <c r="G49" s="124" t="s">
        <v>70</v>
      </c>
      <c r="H49" s="124" t="s">
        <v>26</v>
      </c>
      <c r="I49" s="124" t="s">
        <v>167</v>
      </c>
      <c r="J49" s="123" t="str">
        <f t="shared" si="0"/>
        <v>IF-CAP-02-02</v>
      </c>
      <c r="K49" s="123" t="s">
        <v>174</v>
      </c>
      <c r="L49" s="125">
        <v>4934976</v>
      </c>
      <c r="M49" s="126" t="s">
        <v>216</v>
      </c>
      <c r="N49" s="122" t="s">
        <v>14</v>
      </c>
      <c r="O49" s="116"/>
    </row>
    <row r="50" spans="1:15">
      <c r="A50" s="122" t="s">
        <v>439</v>
      </c>
      <c r="B50" s="122" t="s">
        <v>530</v>
      </c>
      <c r="C50" s="124" t="s">
        <v>441</v>
      </c>
      <c r="D50" s="123" t="s">
        <v>528</v>
      </c>
      <c r="E50" s="123" t="s">
        <v>99</v>
      </c>
      <c r="F50" s="123" t="s">
        <v>21</v>
      </c>
      <c r="G50" s="124" t="s">
        <v>74</v>
      </c>
      <c r="H50" s="124" t="s">
        <v>42</v>
      </c>
      <c r="I50" s="124" t="s">
        <v>167</v>
      </c>
      <c r="J50" s="123" t="str">
        <f t="shared" si="0"/>
        <v>IF-CAP-02-03</v>
      </c>
      <c r="K50" s="123" t="s">
        <v>174</v>
      </c>
      <c r="L50" s="125">
        <v>14016000</v>
      </c>
      <c r="M50" s="126" t="s">
        <v>216</v>
      </c>
      <c r="N50" s="122" t="s">
        <v>14</v>
      </c>
      <c r="O50" s="116"/>
    </row>
    <row r="51" spans="1:15">
      <c r="A51" s="122" t="s">
        <v>439</v>
      </c>
      <c r="B51" s="122" t="s">
        <v>531</v>
      </c>
      <c r="C51" s="124" t="s">
        <v>441</v>
      </c>
      <c r="D51" s="123" t="s">
        <v>528</v>
      </c>
      <c r="E51" s="123" t="s">
        <v>99</v>
      </c>
      <c r="F51" s="123" t="s">
        <v>21</v>
      </c>
      <c r="G51" s="124" t="s">
        <v>74</v>
      </c>
      <c r="H51" s="124" t="s">
        <v>26</v>
      </c>
      <c r="I51" s="124" t="s">
        <v>167</v>
      </c>
      <c r="J51" s="123" t="str">
        <f t="shared" si="0"/>
        <v>IF-CAP-02-04</v>
      </c>
      <c r="K51" s="123" t="s">
        <v>174</v>
      </c>
      <c r="L51" s="125">
        <v>4934976</v>
      </c>
      <c r="M51" s="126" t="s">
        <v>216</v>
      </c>
      <c r="N51" s="122" t="s">
        <v>14</v>
      </c>
      <c r="O51" s="116"/>
    </row>
    <row r="52" spans="1:15">
      <c r="A52" s="122" t="s">
        <v>439</v>
      </c>
      <c r="B52" s="122" t="s">
        <v>532</v>
      </c>
      <c r="C52" s="124" t="s">
        <v>441</v>
      </c>
      <c r="D52" s="123" t="s">
        <v>528</v>
      </c>
      <c r="E52" s="123" t="s">
        <v>99</v>
      </c>
      <c r="F52" s="123" t="s">
        <v>21</v>
      </c>
      <c r="G52" s="124" t="s">
        <v>72</v>
      </c>
      <c r="H52" s="124" t="s">
        <v>42</v>
      </c>
      <c r="I52" s="124" t="s">
        <v>167</v>
      </c>
      <c r="J52" s="123" t="str">
        <f t="shared" si="0"/>
        <v>IF-CAP-02-05</v>
      </c>
      <c r="K52" s="123" t="s">
        <v>174</v>
      </c>
      <c r="L52" s="125">
        <v>14160000</v>
      </c>
      <c r="M52" s="126" t="s">
        <v>216</v>
      </c>
      <c r="N52" s="122" t="s">
        <v>14</v>
      </c>
      <c r="O52" s="116"/>
    </row>
    <row r="53" spans="1:15">
      <c r="A53" s="122" t="s">
        <v>439</v>
      </c>
      <c r="B53" s="122" t="s">
        <v>533</v>
      </c>
      <c r="C53" s="124" t="s">
        <v>441</v>
      </c>
      <c r="D53" s="123" t="s">
        <v>528</v>
      </c>
      <c r="E53" s="123" t="s">
        <v>99</v>
      </c>
      <c r="F53" s="123" t="s">
        <v>21</v>
      </c>
      <c r="G53" s="124" t="s">
        <v>72</v>
      </c>
      <c r="H53" s="124" t="s">
        <v>26</v>
      </c>
      <c r="I53" s="124" t="s">
        <v>167</v>
      </c>
      <c r="J53" s="123" t="str">
        <f t="shared" si="0"/>
        <v>IF-CAP-02-06</v>
      </c>
      <c r="K53" s="123" t="s">
        <v>174</v>
      </c>
      <c r="L53" s="125">
        <v>4934976</v>
      </c>
      <c r="M53" s="126" t="s">
        <v>216</v>
      </c>
      <c r="N53" s="122" t="s">
        <v>14</v>
      </c>
      <c r="O53" s="116"/>
    </row>
    <row r="54" spans="1:15">
      <c r="A54" s="122" t="s">
        <v>439</v>
      </c>
      <c r="B54" s="122" t="s">
        <v>534</v>
      </c>
      <c r="C54" s="124" t="s">
        <v>441</v>
      </c>
      <c r="D54" s="123" t="s">
        <v>106</v>
      </c>
      <c r="E54" s="123" t="s">
        <v>91</v>
      </c>
      <c r="F54" s="123" t="s">
        <v>21</v>
      </c>
      <c r="G54" s="124" t="s">
        <v>70</v>
      </c>
      <c r="H54" s="124" t="s">
        <v>42</v>
      </c>
      <c r="I54" s="124" t="s">
        <v>167</v>
      </c>
      <c r="J54" s="123" t="str">
        <f t="shared" si="0"/>
        <v>IF-CAP-03-01</v>
      </c>
      <c r="K54" s="123" t="s">
        <v>174</v>
      </c>
      <c r="L54" s="125">
        <v>4139232</v>
      </c>
      <c r="M54" s="126" t="s">
        <v>216</v>
      </c>
      <c r="N54" s="122" t="s">
        <v>14</v>
      </c>
      <c r="O54" s="116"/>
    </row>
    <row r="55" spans="1:15">
      <c r="A55" s="122" t="s">
        <v>439</v>
      </c>
      <c r="B55" s="122" t="s">
        <v>535</v>
      </c>
      <c r="C55" s="124" t="s">
        <v>441</v>
      </c>
      <c r="D55" s="123" t="s">
        <v>106</v>
      </c>
      <c r="E55" s="123" t="s">
        <v>91</v>
      </c>
      <c r="F55" s="123" t="s">
        <v>21</v>
      </c>
      <c r="G55" s="124" t="s">
        <v>70</v>
      </c>
      <c r="H55" s="124" t="s">
        <v>26</v>
      </c>
      <c r="I55" s="124" t="s">
        <v>167</v>
      </c>
      <c r="J55" s="123" t="str">
        <f t="shared" si="0"/>
        <v>IF-CAP-03-02</v>
      </c>
      <c r="K55" s="123" t="s">
        <v>174</v>
      </c>
      <c r="L55" s="125">
        <v>3104928</v>
      </c>
      <c r="M55" s="126" t="s">
        <v>216</v>
      </c>
      <c r="N55" s="122" t="s">
        <v>14</v>
      </c>
      <c r="O55" s="116"/>
    </row>
    <row r="56" spans="1:15">
      <c r="A56" s="122" t="s">
        <v>439</v>
      </c>
      <c r="B56" s="122" t="s">
        <v>536</v>
      </c>
      <c r="C56" s="124" t="s">
        <v>441</v>
      </c>
      <c r="D56" s="123" t="s">
        <v>106</v>
      </c>
      <c r="E56" s="123" t="s">
        <v>91</v>
      </c>
      <c r="F56" s="123" t="s">
        <v>21</v>
      </c>
      <c r="G56" s="124" t="s">
        <v>74</v>
      </c>
      <c r="H56" s="124" t="s">
        <v>42</v>
      </c>
      <c r="I56" s="124" t="s">
        <v>167</v>
      </c>
      <c r="J56" s="123" t="str">
        <f t="shared" si="0"/>
        <v>IF-CAP-03-03</v>
      </c>
      <c r="K56" s="123" t="s">
        <v>174</v>
      </c>
      <c r="L56" s="125">
        <v>9480000</v>
      </c>
      <c r="M56" s="126" t="s">
        <v>216</v>
      </c>
      <c r="N56" s="122" t="s">
        <v>14</v>
      </c>
      <c r="O56" s="116"/>
    </row>
    <row r="57" spans="1:15">
      <c r="A57" s="122" t="s">
        <v>439</v>
      </c>
      <c r="B57" s="122" t="s">
        <v>537</v>
      </c>
      <c r="C57" s="124" t="s">
        <v>441</v>
      </c>
      <c r="D57" s="123" t="s">
        <v>106</v>
      </c>
      <c r="E57" s="123" t="s">
        <v>91</v>
      </c>
      <c r="F57" s="123" t="s">
        <v>21</v>
      </c>
      <c r="G57" s="124" t="s">
        <v>74</v>
      </c>
      <c r="H57" s="124" t="s">
        <v>26</v>
      </c>
      <c r="I57" s="124" t="s">
        <v>167</v>
      </c>
      <c r="J57" s="123" t="str">
        <f t="shared" si="0"/>
        <v>IF-CAP-03-04</v>
      </c>
      <c r="K57" s="123" t="s">
        <v>174</v>
      </c>
      <c r="L57" s="125">
        <v>3104928</v>
      </c>
      <c r="M57" s="126" t="s">
        <v>216</v>
      </c>
      <c r="N57" s="122" t="s">
        <v>14</v>
      </c>
      <c r="O57" s="116"/>
    </row>
    <row r="58" spans="1:15">
      <c r="A58" s="122" t="s">
        <v>439</v>
      </c>
      <c r="B58" s="122" t="s">
        <v>538</v>
      </c>
      <c r="C58" s="124" t="s">
        <v>441</v>
      </c>
      <c r="D58" s="123" t="s">
        <v>106</v>
      </c>
      <c r="E58" s="123" t="s">
        <v>91</v>
      </c>
      <c r="F58" s="123" t="s">
        <v>21</v>
      </c>
      <c r="G58" s="124" t="s">
        <v>72</v>
      </c>
      <c r="H58" s="124" t="s">
        <v>42</v>
      </c>
      <c r="I58" s="124" t="s">
        <v>167</v>
      </c>
      <c r="J58" s="123" t="str">
        <f t="shared" si="0"/>
        <v>IF-CAP-03-05</v>
      </c>
      <c r="K58" s="123" t="s">
        <v>174</v>
      </c>
      <c r="L58" s="125">
        <v>9600000</v>
      </c>
      <c r="M58" s="126" t="s">
        <v>216</v>
      </c>
      <c r="N58" s="122" t="s">
        <v>14</v>
      </c>
      <c r="O58" s="116"/>
    </row>
    <row r="59" spans="1:15">
      <c r="A59" s="122" t="s">
        <v>439</v>
      </c>
      <c r="B59" s="122" t="s">
        <v>539</v>
      </c>
      <c r="C59" s="124" t="s">
        <v>441</v>
      </c>
      <c r="D59" s="123" t="s">
        <v>106</v>
      </c>
      <c r="E59" s="123" t="s">
        <v>91</v>
      </c>
      <c r="F59" s="123" t="s">
        <v>21</v>
      </c>
      <c r="G59" s="124" t="s">
        <v>72</v>
      </c>
      <c r="H59" s="124" t="s">
        <v>26</v>
      </c>
      <c r="I59" s="124" t="s">
        <v>167</v>
      </c>
      <c r="J59" s="123" t="str">
        <f t="shared" si="0"/>
        <v>IF-CAP-03-06</v>
      </c>
      <c r="K59" s="123" t="s">
        <v>174</v>
      </c>
      <c r="L59" s="125">
        <v>3104928</v>
      </c>
      <c r="M59" s="126" t="s">
        <v>216</v>
      </c>
      <c r="N59" s="122" t="s">
        <v>14</v>
      </c>
      <c r="O59" s="116"/>
    </row>
    <row r="60" spans="1:15">
      <c r="A60" s="122" t="s">
        <v>439</v>
      </c>
      <c r="B60" s="122" t="s">
        <v>540</v>
      </c>
      <c r="C60" s="124" t="s">
        <v>441</v>
      </c>
      <c r="D60" s="123" t="s">
        <v>541</v>
      </c>
      <c r="E60" s="123" t="s">
        <v>99</v>
      </c>
      <c r="F60" s="123" t="s">
        <v>21</v>
      </c>
      <c r="G60" s="124" t="s">
        <v>70</v>
      </c>
      <c r="H60" s="124" t="s">
        <v>42</v>
      </c>
      <c r="I60" s="124" t="s">
        <v>167</v>
      </c>
      <c r="J60" s="123" t="str">
        <f t="shared" si="0"/>
        <v>IF-CAP-04-01</v>
      </c>
      <c r="K60" s="123" t="s">
        <v>174</v>
      </c>
      <c r="L60" s="125">
        <v>8278464</v>
      </c>
      <c r="M60" s="126" t="s">
        <v>216</v>
      </c>
      <c r="N60" s="122" t="s">
        <v>14</v>
      </c>
      <c r="O60" s="116"/>
    </row>
    <row r="61" spans="1:15">
      <c r="A61" s="122" t="s">
        <v>439</v>
      </c>
      <c r="B61" s="122" t="s">
        <v>542</v>
      </c>
      <c r="C61" s="124" t="s">
        <v>441</v>
      </c>
      <c r="D61" s="123" t="s">
        <v>541</v>
      </c>
      <c r="E61" s="123" t="s">
        <v>99</v>
      </c>
      <c r="F61" s="123" t="s">
        <v>21</v>
      </c>
      <c r="G61" s="124" t="s">
        <v>70</v>
      </c>
      <c r="H61" s="124" t="s">
        <v>26</v>
      </c>
      <c r="I61" s="124" t="s">
        <v>167</v>
      </c>
      <c r="J61" s="123" t="str">
        <f t="shared" si="0"/>
        <v>IF-CAP-04-02</v>
      </c>
      <c r="K61" s="123" t="s">
        <v>174</v>
      </c>
      <c r="L61" s="125">
        <v>6209856</v>
      </c>
      <c r="M61" s="126" t="s">
        <v>216</v>
      </c>
      <c r="N61" s="122" t="s">
        <v>14</v>
      </c>
      <c r="O61" s="116"/>
    </row>
    <row r="62" spans="1:15">
      <c r="A62" s="122" t="s">
        <v>439</v>
      </c>
      <c r="B62" s="122" t="s">
        <v>543</v>
      </c>
      <c r="C62" s="124" t="s">
        <v>441</v>
      </c>
      <c r="D62" s="123" t="s">
        <v>541</v>
      </c>
      <c r="E62" s="123" t="s">
        <v>99</v>
      </c>
      <c r="F62" s="123" t="s">
        <v>21</v>
      </c>
      <c r="G62" s="124" t="s">
        <v>74</v>
      </c>
      <c r="H62" s="124" t="s">
        <v>42</v>
      </c>
      <c r="I62" s="124" t="s">
        <v>167</v>
      </c>
      <c r="J62" s="123" t="str">
        <f t="shared" si="0"/>
        <v>IF-CAP-04-03</v>
      </c>
      <c r="K62" s="123" t="s">
        <v>174</v>
      </c>
      <c r="L62" s="125">
        <v>14016000</v>
      </c>
      <c r="M62" s="126" t="s">
        <v>216</v>
      </c>
      <c r="N62" s="122" t="s">
        <v>14</v>
      </c>
      <c r="O62" s="116"/>
    </row>
    <row r="63" spans="1:15">
      <c r="A63" s="122" t="s">
        <v>439</v>
      </c>
      <c r="B63" s="122" t="s">
        <v>544</v>
      </c>
      <c r="C63" s="124" t="s">
        <v>441</v>
      </c>
      <c r="D63" s="123" t="s">
        <v>541</v>
      </c>
      <c r="E63" s="123" t="s">
        <v>99</v>
      </c>
      <c r="F63" s="123" t="s">
        <v>21</v>
      </c>
      <c r="G63" s="124" t="s">
        <v>74</v>
      </c>
      <c r="H63" s="124" t="s">
        <v>26</v>
      </c>
      <c r="I63" s="124" t="s">
        <v>167</v>
      </c>
      <c r="J63" s="123" t="str">
        <f t="shared" si="0"/>
        <v>IF-CAP-04-04</v>
      </c>
      <c r="K63" s="123" t="s">
        <v>174</v>
      </c>
      <c r="L63" s="125">
        <v>6209856</v>
      </c>
      <c r="M63" s="126" t="s">
        <v>216</v>
      </c>
      <c r="N63" s="122" t="s">
        <v>14</v>
      </c>
      <c r="O63" s="116"/>
    </row>
    <row r="64" spans="1:15">
      <c r="A64" s="122" t="s">
        <v>439</v>
      </c>
      <c r="B64" s="122" t="s">
        <v>545</v>
      </c>
      <c r="C64" s="124" t="s">
        <v>441</v>
      </c>
      <c r="D64" s="123" t="s">
        <v>541</v>
      </c>
      <c r="E64" s="123" t="s">
        <v>99</v>
      </c>
      <c r="F64" s="123" t="s">
        <v>21</v>
      </c>
      <c r="G64" s="124" t="s">
        <v>72</v>
      </c>
      <c r="H64" s="124" t="s">
        <v>42</v>
      </c>
      <c r="I64" s="124" t="s">
        <v>167</v>
      </c>
      <c r="J64" s="123" t="str">
        <f t="shared" si="0"/>
        <v>IF-CAP-04-05</v>
      </c>
      <c r="K64" s="123" t="s">
        <v>174</v>
      </c>
      <c r="L64" s="125">
        <v>14160000</v>
      </c>
      <c r="M64" s="126" t="s">
        <v>216</v>
      </c>
      <c r="N64" s="122" t="s">
        <v>14</v>
      </c>
      <c r="O64" s="116"/>
    </row>
    <row r="65" spans="1:15">
      <c r="A65" s="122" t="s">
        <v>439</v>
      </c>
      <c r="B65" s="122" t="s">
        <v>546</v>
      </c>
      <c r="C65" s="124" t="s">
        <v>441</v>
      </c>
      <c r="D65" s="123" t="s">
        <v>541</v>
      </c>
      <c r="E65" s="123" t="s">
        <v>99</v>
      </c>
      <c r="F65" s="123" t="s">
        <v>21</v>
      </c>
      <c r="G65" s="124" t="s">
        <v>72</v>
      </c>
      <c r="H65" s="124" t="s">
        <v>26</v>
      </c>
      <c r="I65" s="124" t="s">
        <v>167</v>
      </c>
      <c r="J65" s="123" t="str">
        <f t="shared" si="0"/>
        <v>IF-CAP-04-06</v>
      </c>
      <c r="K65" s="123" t="s">
        <v>174</v>
      </c>
      <c r="L65" s="125">
        <v>6209856</v>
      </c>
      <c r="M65" s="126" t="s">
        <v>216</v>
      </c>
      <c r="N65" s="122" t="s">
        <v>14</v>
      </c>
      <c r="O65" s="116"/>
    </row>
    <row r="66" spans="1:15">
      <c r="A66" s="122" t="s">
        <v>439</v>
      </c>
      <c r="B66" s="122" t="s">
        <v>119</v>
      </c>
      <c r="C66" s="124" t="s">
        <v>441</v>
      </c>
      <c r="D66" s="123" t="s">
        <v>120</v>
      </c>
      <c r="E66" s="123" t="s">
        <v>29</v>
      </c>
      <c r="F66" s="123" t="s">
        <v>21</v>
      </c>
      <c r="G66" s="124" t="s">
        <v>70</v>
      </c>
      <c r="H66" s="124" t="s">
        <v>42</v>
      </c>
      <c r="I66" s="124" t="s">
        <v>167</v>
      </c>
      <c r="J66" s="123" t="str">
        <f t="shared" si="0"/>
        <v>IT-SW-05-01</v>
      </c>
      <c r="K66" s="123" t="s">
        <v>174</v>
      </c>
      <c r="L66" s="125">
        <v>576000</v>
      </c>
      <c r="M66" s="126" t="s">
        <v>216</v>
      </c>
      <c r="N66" s="122" t="s">
        <v>14</v>
      </c>
      <c r="O66" s="116"/>
    </row>
    <row r="67" spans="1:15">
      <c r="A67" s="122" t="s">
        <v>439</v>
      </c>
      <c r="B67" s="122" t="s">
        <v>121</v>
      </c>
      <c r="C67" s="124" t="s">
        <v>441</v>
      </c>
      <c r="D67" s="123" t="s">
        <v>120</v>
      </c>
      <c r="E67" s="123" t="s">
        <v>29</v>
      </c>
      <c r="F67" s="123" t="s">
        <v>21</v>
      </c>
      <c r="G67" s="124" t="s">
        <v>70</v>
      </c>
      <c r="H67" s="124" t="s">
        <v>26</v>
      </c>
      <c r="I67" s="124" t="s">
        <v>167</v>
      </c>
      <c r="J67" s="123" t="str">
        <f t="shared" ref="J67:J101" si="1">+B67</f>
        <v>IT-SW-05-02</v>
      </c>
      <c r="K67" s="123" t="s">
        <v>174</v>
      </c>
      <c r="L67" s="125">
        <v>396000</v>
      </c>
      <c r="M67" s="126" t="s">
        <v>216</v>
      </c>
      <c r="N67" s="122" t="s">
        <v>14</v>
      </c>
      <c r="O67" s="116"/>
    </row>
    <row r="68" spans="1:15">
      <c r="A68" s="122" t="s">
        <v>439</v>
      </c>
      <c r="B68" s="122" t="s">
        <v>122</v>
      </c>
      <c r="C68" s="124" t="s">
        <v>441</v>
      </c>
      <c r="D68" s="123" t="s">
        <v>120</v>
      </c>
      <c r="E68" s="123" t="s">
        <v>29</v>
      </c>
      <c r="F68" s="123" t="s">
        <v>21</v>
      </c>
      <c r="G68" s="124" t="s">
        <v>74</v>
      </c>
      <c r="H68" s="124" t="s">
        <v>42</v>
      </c>
      <c r="I68" s="124" t="s">
        <v>167</v>
      </c>
      <c r="J68" s="123" t="str">
        <f t="shared" si="1"/>
        <v>IT-SW-05-03</v>
      </c>
      <c r="K68" s="123" t="s">
        <v>174</v>
      </c>
      <c r="L68" s="125">
        <v>612000</v>
      </c>
      <c r="M68" s="126" t="s">
        <v>216</v>
      </c>
      <c r="N68" s="122" t="s">
        <v>14</v>
      </c>
      <c r="O68" s="116"/>
    </row>
    <row r="69" spans="1:15">
      <c r="A69" s="122" t="s">
        <v>439</v>
      </c>
      <c r="B69" s="122" t="s">
        <v>123</v>
      </c>
      <c r="C69" s="124" t="s">
        <v>441</v>
      </c>
      <c r="D69" s="123" t="s">
        <v>120</v>
      </c>
      <c r="E69" s="123" t="s">
        <v>29</v>
      </c>
      <c r="F69" s="123" t="s">
        <v>21</v>
      </c>
      <c r="G69" s="124" t="s">
        <v>74</v>
      </c>
      <c r="H69" s="124" t="s">
        <v>26</v>
      </c>
      <c r="I69" s="124" t="s">
        <v>167</v>
      </c>
      <c r="J69" s="123" t="str">
        <f t="shared" si="1"/>
        <v>IT-SW-05-04</v>
      </c>
      <c r="K69" s="123" t="s">
        <v>174</v>
      </c>
      <c r="L69" s="125">
        <v>396000</v>
      </c>
      <c r="M69" s="126" t="s">
        <v>216</v>
      </c>
      <c r="N69" s="122" t="s">
        <v>14</v>
      </c>
      <c r="O69" s="116"/>
    </row>
    <row r="70" spans="1:15">
      <c r="A70" s="122" t="s">
        <v>439</v>
      </c>
      <c r="B70" s="122" t="s">
        <v>124</v>
      </c>
      <c r="C70" s="124" t="s">
        <v>441</v>
      </c>
      <c r="D70" s="123" t="s">
        <v>120</v>
      </c>
      <c r="E70" s="123" t="s">
        <v>29</v>
      </c>
      <c r="F70" s="123" t="s">
        <v>21</v>
      </c>
      <c r="G70" s="124" t="s">
        <v>72</v>
      </c>
      <c r="H70" s="124" t="s">
        <v>42</v>
      </c>
      <c r="I70" s="124" t="s">
        <v>167</v>
      </c>
      <c r="J70" s="123" t="str">
        <f t="shared" si="1"/>
        <v>IT-SW-05-05</v>
      </c>
      <c r="K70" s="123" t="s">
        <v>174</v>
      </c>
      <c r="L70" s="125">
        <v>650199.6</v>
      </c>
      <c r="M70" s="126" t="s">
        <v>216</v>
      </c>
      <c r="N70" s="122" t="s">
        <v>14</v>
      </c>
      <c r="O70" s="116"/>
    </row>
    <row r="71" spans="1:15">
      <c r="A71" s="122" t="s">
        <v>439</v>
      </c>
      <c r="B71" s="122" t="s">
        <v>125</v>
      </c>
      <c r="C71" s="124" t="s">
        <v>441</v>
      </c>
      <c r="D71" s="123" t="s">
        <v>120</v>
      </c>
      <c r="E71" s="123" t="s">
        <v>29</v>
      </c>
      <c r="F71" s="123" t="s">
        <v>21</v>
      </c>
      <c r="G71" s="124" t="s">
        <v>72</v>
      </c>
      <c r="H71" s="124" t="s">
        <v>26</v>
      </c>
      <c r="I71" s="124" t="s">
        <v>167</v>
      </c>
      <c r="J71" s="123" t="str">
        <f t="shared" si="1"/>
        <v>IT-SW-05-06</v>
      </c>
      <c r="K71" s="123" t="s">
        <v>174</v>
      </c>
      <c r="L71" s="125">
        <v>396000</v>
      </c>
      <c r="M71" s="126" t="s">
        <v>216</v>
      </c>
      <c r="N71" s="122" t="s">
        <v>14</v>
      </c>
      <c r="O71" s="116"/>
    </row>
    <row r="72" spans="1:15">
      <c r="A72" s="122" t="s">
        <v>439</v>
      </c>
      <c r="B72" s="122" t="s">
        <v>126</v>
      </c>
      <c r="C72" s="124" t="s">
        <v>441</v>
      </c>
      <c r="D72" s="123" t="s">
        <v>127</v>
      </c>
      <c r="E72" s="123" t="s">
        <v>128</v>
      </c>
      <c r="F72" s="123" t="s">
        <v>21</v>
      </c>
      <c r="G72" s="124" t="s">
        <v>70</v>
      </c>
      <c r="H72" s="124" t="s">
        <v>42</v>
      </c>
      <c r="I72" s="124" t="s">
        <v>167</v>
      </c>
      <c r="J72" s="123" t="str">
        <f t="shared" si="1"/>
        <v>IT-SW-06-01</v>
      </c>
      <c r="K72" s="123" t="s">
        <v>174</v>
      </c>
      <c r="L72" s="125">
        <v>19716000</v>
      </c>
      <c r="M72" s="126" t="s">
        <v>216</v>
      </c>
      <c r="N72" s="122" t="s">
        <v>14</v>
      </c>
      <c r="O72" s="116"/>
    </row>
    <row r="73" spans="1:15">
      <c r="A73" s="122" t="s">
        <v>439</v>
      </c>
      <c r="B73" s="122" t="s">
        <v>129</v>
      </c>
      <c r="C73" s="124" t="s">
        <v>441</v>
      </c>
      <c r="D73" s="123" t="s">
        <v>127</v>
      </c>
      <c r="E73" s="123" t="s">
        <v>128</v>
      </c>
      <c r="F73" s="123" t="s">
        <v>21</v>
      </c>
      <c r="G73" s="124" t="s">
        <v>74</v>
      </c>
      <c r="H73" s="124" t="s">
        <v>42</v>
      </c>
      <c r="I73" s="124" t="s">
        <v>167</v>
      </c>
      <c r="J73" s="123" t="str">
        <f t="shared" si="1"/>
        <v>IT-SW-06-02</v>
      </c>
      <c r="K73" s="123" t="s">
        <v>174</v>
      </c>
      <c r="L73" s="125">
        <v>21072000</v>
      </c>
      <c r="M73" s="126" t="s">
        <v>216</v>
      </c>
      <c r="N73" s="122" t="s">
        <v>14</v>
      </c>
      <c r="O73" s="116"/>
    </row>
    <row r="74" spans="1:15">
      <c r="A74" s="122" t="s">
        <v>439</v>
      </c>
      <c r="B74" s="122" t="s">
        <v>130</v>
      </c>
      <c r="C74" s="124" t="s">
        <v>441</v>
      </c>
      <c r="D74" s="123" t="s">
        <v>127</v>
      </c>
      <c r="E74" s="123" t="s">
        <v>128</v>
      </c>
      <c r="F74" s="123" t="s">
        <v>21</v>
      </c>
      <c r="G74" s="124" t="s">
        <v>72</v>
      </c>
      <c r="H74" s="124" t="s">
        <v>42</v>
      </c>
      <c r="I74" s="124" t="s">
        <v>167</v>
      </c>
      <c r="J74" s="123" t="str">
        <f t="shared" si="1"/>
        <v>IT-SW-06-03</v>
      </c>
      <c r="K74" s="123" t="s">
        <v>174</v>
      </c>
      <c r="L74" s="125">
        <v>21171600</v>
      </c>
      <c r="M74" s="126" t="s">
        <v>216</v>
      </c>
      <c r="N74" s="122" t="s">
        <v>14</v>
      </c>
      <c r="O74" s="116"/>
    </row>
    <row r="75" spans="1:15">
      <c r="A75" s="122" t="s">
        <v>439</v>
      </c>
      <c r="B75" s="122" t="s">
        <v>131</v>
      </c>
      <c r="C75" s="124" t="s">
        <v>441</v>
      </c>
      <c r="D75" s="123" t="s">
        <v>132</v>
      </c>
      <c r="E75" s="123" t="s">
        <v>133</v>
      </c>
      <c r="F75" s="123" t="s">
        <v>21</v>
      </c>
      <c r="G75" s="124" t="s">
        <v>70</v>
      </c>
      <c r="H75" s="124" t="s">
        <v>42</v>
      </c>
      <c r="I75" s="124" t="s">
        <v>167</v>
      </c>
      <c r="J75" s="123" t="str">
        <f t="shared" si="1"/>
        <v>IT-SW-07-01</v>
      </c>
      <c r="K75" s="123" t="s">
        <v>174</v>
      </c>
      <c r="L75" s="125">
        <v>2630880</v>
      </c>
      <c r="M75" s="126" t="s">
        <v>216</v>
      </c>
      <c r="N75" s="122" t="s">
        <v>14</v>
      </c>
      <c r="O75" s="116"/>
    </row>
    <row r="76" spans="1:15">
      <c r="A76" s="122" t="s">
        <v>439</v>
      </c>
      <c r="B76" s="122" t="s">
        <v>134</v>
      </c>
      <c r="C76" s="124" t="s">
        <v>441</v>
      </c>
      <c r="D76" s="123" t="s">
        <v>132</v>
      </c>
      <c r="E76" s="123" t="s">
        <v>133</v>
      </c>
      <c r="F76" s="123" t="s">
        <v>21</v>
      </c>
      <c r="G76" s="124" t="s">
        <v>70</v>
      </c>
      <c r="H76" s="124" t="s">
        <v>26</v>
      </c>
      <c r="I76" s="124" t="s">
        <v>167</v>
      </c>
      <c r="J76" s="123" t="str">
        <f t="shared" si="1"/>
        <v>IT-SW-07-02</v>
      </c>
      <c r="K76" s="123" t="s">
        <v>174</v>
      </c>
      <c r="L76" s="125">
        <v>2426520</v>
      </c>
      <c r="M76" s="126" t="s">
        <v>216</v>
      </c>
      <c r="N76" s="122" t="s">
        <v>14</v>
      </c>
      <c r="O76" s="116"/>
    </row>
    <row r="77" spans="1:15">
      <c r="A77" s="122" t="s">
        <v>439</v>
      </c>
      <c r="B77" s="122" t="s">
        <v>135</v>
      </c>
      <c r="C77" s="124" t="s">
        <v>441</v>
      </c>
      <c r="D77" s="123" t="s">
        <v>132</v>
      </c>
      <c r="E77" s="123" t="s">
        <v>133</v>
      </c>
      <c r="F77" s="123" t="s">
        <v>21</v>
      </c>
      <c r="G77" s="124" t="s">
        <v>74</v>
      </c>
      <c r="H77" s="124" t="s">
        <v>42</v>
      </c>
      <c r="I77" s="124" t="s">
        <v>167</v>
      </c>
      <c r="J77" s="123" t="str">
        <f t="shared" si="1"/>
        <v>IT-SW-07-03</v>
      </c>
      <c r="K77" s="123" t="s">
        <v>174</v>
      </c>
      <c r="L77" s="125">
        <v>3196800</v>
      </c>
      <c r="M77" s="126" t="s">
        <v>216</v>
      </c>
      <c r="N77" s="122" t="s">
        <v>14</v>
      </c>
      <c r="O77" s="116"/>
    </row>
    <row r="78" spans="1:15">
      <c r="A78" s="122" t="s">
        <v>439</v>
      </c>
      <c r="B78" s="122" t="s">
        <v>136</v>
      </c>
      <c r="C78" s="124" t="s">
        <v>441</v>
      </c>
      <c r="D78" s="123" t="s">
        <v>132</v>
      </c>
      <c r="E78" s="123" t="s">
        <v>133</v>
      </c>
      <c r="F78" s="123" t="s">
        <v>21</v>
      </c>
      <c r="G78" s="124" t="s">
        <v>74</v>
      </c>
      <c r="H78" s="124" t="s">
        <v>26</v>
      </c>
      <c r="I78" s="124" t="s">
        <v>167</v>
      </c>
      <c r="J78" s="123" t="str">
        <f t="shared" si="1"/>
        <v>IT-SW-07-04</v>
      </c>
      <c r="K78" s="123" t="s">
        <v>174</v>
      </c>
      <c r="L78" s="125">
        <v>2426520</v>
      </c>
      <c r="M78" s="126" t="s">
        <v>216</v>
      </c>
      <c r="N78" s="122" t="s">
        <v>14</v>
      </c>
      <c r="O78" s="116"/>
    </row>
    <row r="79" spans="1:15">
      <c r="A79" s="122" t="s">
        <v>439</v>
      </c>
      <c r="B79" s="122" t="s">
        <v>137</v>
      </c>
      <c r="C79" s="124" t="s">
        <v>441</v>
      </c>
      <c r="D79" s="123" t="s">
        <v>132</v>
      </c>
      <c r="E79" s="123" t="s">
        <v>133</v>
      </c>
      <c r="F79" s="123" t="s">
        <v>21</v>
      </c>
      <c r="G79" s="124" t="s">
        <v>72</v>
      </c>
      <c r="H79" s="124" t="s">
        <v>42</v>
      </c>
      <c r="I79" s="124" t="s">
        <v>167</v>
      </c>
      <c r="J79" s="123" t="str">
        <f t="shared" si="1"/>
        <v>IT-SW-07-05</v>
      </c>
      <c r="K79" s="123" t="s">
        <v>174</v>
      </c>
      <c r="L79" s="125">
        <v>3578400</v>
      </c>
      <c r="M79" s="126" t="s">
        <v>216</v>
      </c>
      <c r="N79" s="122" t="s">
        <v>14</v>
      </c>
      <c r="O79" s="116"/>
    </row>
    <row r="80" spans="1:15">
      <c r="A80" s="122" t="s">
        <v>439</v>
      </c>
      <c r="B80" s="122" t="s">
        <v>138</v>
      </c>
      <c r="C80" s="124" t="s">
        <v>441</v>
      </c>
      <c r="D80" s="123" t="s">
        <v>132</v>
      </c>
      <c r="E80" s="123" t="s">
        <v>133</v>
      </c>
      <c r="F80" s="123" t="s">
        <v>21</v>
      </c>
      <c r="G80" s="124" t="s">
        <v>72</v>
      </c>
      <c r="H80" s="124" t="s">
        <v>26</v>
      </c>
      <c r="I80" s="124" t="s">
        <v>167</v>
      </c>
      <c r="J80" s="123" t="str">
        <f t="shared" si="1"/>
        <v>IT-SW-07-06</v>
      </c>
      <c r="K80" s="123" t="s">
        <v>174</v>
      </c>
      <c r="L80" s="125">
        <v>2426520</v>
      </c>
      <c r="M80" s="126" t="s">
        <v>216</v>
      </c>
      <c r="N80" s="122" t="s">
        <v>14</v>
      </c>
      <c r="O80" s="116"/>
    </row>
    <row r="81" spans="1:15">
      <c r="A81" s="122" t="s">
        <v>439</v>
      </c>
      <c r="B81" s="122" t="s">
        <v>139</v>
      </c>
      <c r="C81" s="124" t="s">
        <v>441</v>
      </c>
      <c r="D81" s="123" t="s">
        <v>140</v>
      </c>
      <c r="E81" s="123" t="s">
        <v>141</v>
      </c>
      <c r="F81" s="123" t="s">
        <v>21</v>
      </c>
      <c r="G81" s="124" t="s">
        <v>70</v>
      </c>
      <c r="H81" s="124" t="s">
        <v>26</v>
      </c>
      <c r="I81" s="124" t="s">
        <v>167</v>
      </c>
      <c r="J81" s="123" t="str">
        <f t="shared" si="1"/>
        <v>IT-SW-08-01</v>
      </c>
      <c r="K81" s="123" t="s">
        <v>174</v>
      </c>
      <c r="L81" s="125">
        <v>456000</v>
      </c>
      <c r="M81" s="126" t="s">
        <v>216</v>
      </c>
      <c r="N81" s="122" t="s">
        <v>14</v>
      </c>
      <c r="O81" s="116"/>
    </row>
    <row r="82" spans="1:15">
      <c r="A82" s="122" t="s">
        <v>439</v>
      </c>
      <c r="B82" s="122" t="s">
        <v>142</v>
      </c>
      <c r="C82" s="124" t="s">
        <v>441</v>
      </c>
      <c r="D82" s="123" t="s">
        <v>140</v>
      </c>
      <c r="E82" s="123" t="s">
        <v>141</v>
      </c>
      <c r="F82" s="123" t="s">
        <v>21</v>
      </c>
      <c r="G82" s="124" t="s">
        <v>70</v>
      </c>
      <c r="H82" s="124" t="s">
        <v>42</v>
      </c>
      <c r="I82" s="124" t="s">
        <v>167</v>
      </c>
      <c r="J82" s="123" t="str">
        <f t="shared" si="1"/>
        <v>IT-SW-08-02</v>
      </c>
      <c r="K82" s="123" t="s">
        <v>174</v>
      </c>
      <c r="L82" s="125">
        <v>600000</v>
      </c>
      <c r="M82" s="126" t="s">
        <v>216</v>
      </c>
      <c r="N82" s="122" t="s">
        <v>14</v>
      </c>
      <c r="O82" s="116"/>
    </row>
    <row r="83" spans="1:15">
      <c r="A83" s="122" t="s">
        <v>439</v>
      </c>
      <c r="B83" s="122" t="s">
        <v>143</v>
      </c>
      <c r="C83" s="124" t="s">
        <v>441</v>
      </c>
      <c r="D83" s="123" t="s">
        <v>140</v>
      </c>
      <c r="E83" s="123" t="s">
        <v>141</v>
      </c>
      <c r="F83" s="123" t="s">
        <v>21</v>
      </c>
      <c r="G83" s="124" t="s">
        <v>74</v>
      </c>
      <c r="H83" s="124" t="s">
        <v>26</v>
      </c>
      <c r="I83" s="124" t="s">
        <v>167</v>
      </c>
      <c r="J83" s="123" t="str">
        <f t="shared" si="1"/>
        <v>IT-SW-08-03</v>
      </c>
      <c r="K83" s="123" t="s">
        <v>174</v>
      </c>
      <c r="L83" s="125">
        <v>456000</v>
      </c>
      <c r="M83" s="126" t="s">
        <v>216</v>
      </c>
      <c r="N83" s="122" t="s">
        <v>14</v>
      </c>
      <c r="O83" s="116"/>
    </row>
    <row r="84" spans="1:15">
      <c r="A84" s="122" t="s">
        <v>439</v>
      </c>
      <c r="B84" s="122" t="s">
        <v>144</v>
      </c>
      <c r="C84" s="124" t="s">
        <v>441</v>
      </c>
      <c r="D84" s="123" t="s">
        <v>140</v>
      </c>
      <c r="E84" s="123" t="s">
        <v>141</v>
      </c>
      <c r="F84" s="123" t="s">
        <v>21</v>
      </c>
      <c r="G84" s="124" t="s">
        <v>74</v>
      </c>
      <c r="H84" s="124" t="s">
        <v>42</v>
      </c>
      <c r="I84" s="124" t="s">
        <v>167</v>
      </c>
      <c r="J84" s="123" t="str">
        <f t="shared" si="1"/>
        <v>IT-SW-08-04</v>
      </c>
      <c r="K84" s="123" t="s">
        <v>174</v>
      </c>
      <c r="L84" s="125">
        <v>660000</v>
      </c>
      <c r="M84" s="126" t="s">
        <v>216</v>
      </c>
      <c r="N84" s="122" t="s">
        <v>14</v>
      </c>
      <c r="O84" s="116"/>
    </row>
    <row r="85" spans="1:15">
      <c r="A85" s="122" t="s">
        <v>439</v>
      </c>
      <c r="B85" s="122" t="s">
        <v>145</v>
      </c>
      <c r="C85" s="124" t="s">
        <v>441</v>
      </c>
      <c r="D85" s="123" t="s">
        <v>140</v>
      </c>
      <c r="E85" s="123" t="s">
        <v>141</v>
      </c>
      <c r="F85" s="123" t="s">
        <v>21</v>
      </c>
      <c r="G85" s="124" t="s">
        <v>72</v>
      </c>
      <c r="H85" s="124" t="s">
        <v>26</v>
      </c>
      <c r="I85" s="124" t="s">
        <v>167</v>
      </c>
      <c r="J85" s="123" t="str">
        <f t="shared" si="1"/>
        <v>IT-SW-08-05</v>
      </c>
      <c r="K85" s="123" t="s">
        <v>174</v>
      </c>
      <c r="L85" s="125">
        <v>456000</v>
      </c>
      <c r="M85" s="126" t="s">
        <v>216</v>
      </c>
      <c r="N85" s="122" t="s">
        <v>14</v>
      </c>
      <c r="O85" s="116"/>
    </row>
    <row r="86" spans="1:15">
      <c r="A86" s="122" t="s">
        <v>439</v>
      </c>
      <c r="B86" s="122" t="s">
        <v>146</v>
      </c>
      <c r="C86" s="124" t="s">
        <v>441</v>
      </c>
      <c r="D86" s="123" t="s">
        <v>140</v>
      </c>
      <c r="E86" s="123" t="s">
        <v>141</v>
      </c>
      <c r="F86" s="123" t="s">
        <v>21</v>
      </c>
      <c r="G86" s="124" t="s">
        <v>72</v>
      </c>
      <c r="H86" s="124" t="s">
        <v>42</v>
      </c>
      <c r="I86" s="124" t="s">
        <v>167</v>
      </c>
      <c r="J86" s="123" t="str">
        <f t="shared" si="1"/>
        <v>IT-SW-08-06</v>
      </c>
      <c r="K86" s="123" t="s">
        <v>174</v>
      </c>
      <c r="L86" s="125">
        <v>696000</v>
      </c>
      <c r="M86" s="126" t="s">
        <v>216</v>
      </c>
      <c r="N86" s="122" t="s">
        <v>14</v>
      </c>
      <c r="O86" s="116"/>
    </row>
    <row r="87" spans="1:15">
      <c r="A87" s="122" t="s">
        <v>439</v>
      </c>
      <c r="B87" s="122" t="s">
        <v>147</v>
      </c>
      <c r="C87" s="124" t="s">
        <v>441</v>
      </c>
      <c r="D87" s="123" t="s">
        <v>148</v>
      </c>
      <c r="E87" s="123" t="s">
        <v>128</v>
      </c>
      <c r="F87" s="123" t="s">
        <v>21</v>
      </c>
      <c r="G87" s="124" t="s">
        <v>70</v>
      </c>
      <c r="H87" s="124" t="s">
        <v>42</v>
      </c>
      <c r="I87" s="124" t="s">
        <v>167</v>
      </c>
      <c r="J87" s="123" t="str">
        <f t="shared" si="1"/>
        <v>IT-SW-09-01</v>
      </c>
      <c r="K87" s="123" t="s">
        <v>174</v>
      </c>
      <c r="L87" s="125">
        <v>24307200</v>
      </c>
      <c r="M87" s="126" t="s">
        <v>216</v>
      </c>
      <c r="N87" s="122" t="s">
        <v>14</v>
      </c>
      <c r="O87" s="116"/>
    </row>
    <row r="88" spans="1:15">
      <c r="A88" s="122" t="s">
        <v>439</v>
      </c>
      <c r="B88" s="122" t="s">
        <v>149</v>
      </c>
      <c r="C88" s="124" t="s">
        <v>441</v>
      </c>
      <c r="D88" s="123" t="s">
        <v>148</v>
      </c>
      <c r="E88" s="123" t="s">
        <v>128</v>
      </c>
      <c r="F88" s="123" t="s">
        <v>21</v>
      </c>
      <c r="G88" s="124" t="s">
        <v>74</v>
      </c>
      <c r="H88" s="124" t="s">
        <v>42</v>
      </c>
      <c r="I88" s="124" t="s">
        <v>547</v>
      </c>
      <c r="J88" s="123" t="str">
        <f t="shared" si="1"/>
        <v>IT-SW-09-02</v>
      </c>
      <c r="K88" s="123" t="s">
        <v>174</v>
      </c>
      <c r="L88" s="125">
        <v>19200000</v>
      </c>
      <c r="M88" s="126" t="s">
        <v>216</v>
      </c>
      <c r="N88" s="122" t="s">
        <v>14</v>
      </c>
      <c r="O88" s="116"/>
    </row>
    <row r="89" spans="1:15">
      <c r="A89" s="122" t="s">
        <v>439</v>
      </c>
      <c r="B89" s="122" t="s">
        <v>150</v>
      </c>
      <c r="C89" s="124" t="s">
        <v>441</v>
      </c>
      <c r="D89" s="123" t="s">
        <v>148</v>
      </c>
      <c r="E89" s="123" t="s">
        <v>128</v>
      </c>
      <c r="F89" s="123" t="s">
        <v>21</v>
      </c>
      <c r="G89" s="124" t="s">
        <v>72</v>
      </c>
      <c r="H89" s="124" t="s">
        <v>42</v>
      </c>
      <c r="I89" s="124" t="s">
        <v>547</v>
      </c>
      <c r="J89" s="123" t="str">
        <f t="shared" si="1"/>
        <v>IT-SW-09-03</v>
      </c>
      <c r="K89" s="123" t="s">
        <v>174</v>
      </c>
      <c r="L89" s="125">
        <v>21600000</v>
      </c>
      <c r="M89" s="126" t="s">
        <v>216</v>
      </c>
      <c r="N89" s="122" t="s">
        <v>14</v>
      </c>
      <c r="O89" s="116"/>
    </row>
    <row r="90" spans="1:15">
      <c r="A90" s="122" t="s">
        <v>439</v>
      </c>
      <c r="B90" s="122" t="s">
        <v>151</v>
      </c>
      <c r="C90" s="124" t="s">
        <v>441</v>
      </c>
      <c r="D90" s="123" t="s">
        <v>152</v>
      </c>
      <c r="E90" s="123" t="s">
        <v>29</v>
      </c>
      <c r="F90" s="123" t="s">
        <v>21</v>
      </c>
      <c r="G90" s="124" t="s">
        <v>70</v>
      </c>
      <c r="H90" s="124" t="s">
        <v>42</v>
      </c>
      <c r="I90" s="124" t="s">
        <v>167</v>
      </c>
      <c r="J90" s="123" t="str">
        <f t="shared" si="1"/>
        <v>IT-SW-10-01</v>
      </c>
      <c r="K90" s="123" t="s">
        <v>174</v>
      </c>
      <c r="L90" s="125">
        <v>420480</v>
      </c>
      <c r="M90" s="126" t="s">
        <v>216</v>
      </c>
      <c r="N90" s="122" t="s">
        <v>14</v>
      </c>
      <c r="O90" s="116"/>
    </row>
    <row r="91" spans="1:15">
      <c r="A91" s="122" t="s">
        <v>439</v>
      </c>
      <c r="B91" s="122" t="s">
        <v>153</v>
      </c>
      <c r="C91" s="124" t="s">
        <v>441</v>
      </c>
      <c r="D91" s="123" t="s">
        <v>152</v>
      </c>
      <c r="E91" s="123" t="s">
        <v>29</v>
      </c>
      <c r="F91" s="123" t="s">
        <v>21</v>
      </c>
      <c r="G91" s="124" t="s">
        <v>70</v>
      </c>
      <c r="H91" s="124" t="s">
        <v>42</v>
      </c>
      <c r="I91" s="124" t="s">
        <v>167</v>
      </c>
      <c r="J91" s="123" t="str">
        <f t="shared" si="1"/>
        <v>IT-SW-10-02</v>
      </c>
      <c r="K91" s="123" t="s">
        <v>174</v>
      </c>
      <c r="L91" s="125">
        <v>300672</v>
      </c>
      <c r="M91" s="126" t="s">
        <v>216</v>
      </c>
      <c r="N91" s="122" t="s">
        <v>14</v>
      </c>
      <c r="O91" s="116"/>
    </row>
    <row r="92" spans="1:15">
      <c r="A92" s="122" t="s">
        <v>439</v>
      </c>
      <c r="B92" s="122" t="s">
        <v>154</v>
      </c>
      <c r="C92" s="124" t="s">
        <v>441</v>
      </c>
      <c r="D92" s="123" t="s">
        <v>152</v>
      </c>
      <c r="E92" s="123" t="s">
        <v>29</v>
      </c>
      <c r="F92" s="123" t="s">
        <v>21</v>
      </c>
      <c r="G92" s="124" t="s">
        <v>74</v>
      </c>
      <c r="H92" s="124" t="s">
        <v>26</v>
      </c>
      <c r="I92" s="124" t="s">
        <v>167</v>
      </c>
      <c r="J92" s="123" t="str">
        <f t="shared" si="1"/>
        <v>IT-SW-10-03</v>
      </c>
      <c r="K92" s="123" t="s">
        <v>174</v>
      </c>
      <c r="L92" s="125">
        <v>300672</v>
      </c>
      <c r="M92" s="126" t="s">
        <v>216</v>
      </c>
      <c r="N92" s="122" t="s">
        <v>14</v>
      </c>
      <c r="O92" s="116"/>
    </row>
    <row r="93" spans="1:15">
      <c r="A93" s="122" t="s">
        <v>439</v>
      </c>
      <c r="B93" s="122" t="s">
        <v>155</v>
      </c>
      <c r="C93" s="124" t="s">
        <v>441</v>
      </c>
      <c r="D93" s="123" t="s">
        <v>152</v>
      </c>
      <c r="E93" s="123" t="s">
        <v>29</v>
      </c>
      <c r="F93" s="123" t="s">
        <v>21</v>
      </c>
      <c r="G93" s="124" t="s">
        <v>74</v>
      </c>
      <c r="H93" s="124" t="s">
        <v>42</v>
      </c>
      <c r="I93" s="124" t="s">
        <v>547</v>
      </c>
      <c r="J93" s="123" t="str">
        <f t="shared" si="1"/>
        <v>IT-SW-10-04</v>
      </c>
      <c r="K93" s="123" t="s">
        <v>174</v>
      </c>
      <c r="L93" s="125">
        <v>1036800</v>
      </c>
      <c r="M93" s="126" t="s">
        <v>216</v>
      </c>
      <c r="N93" s="122" t="s">
        <v>14</v>
      </c>
      <c r="O93" s="116"/>
    </row>
    <row r="94" spans="1:15">
      <c r="A94" s="122" t="s">
        <v>439</v>
      </c>
      <c r="B94" s="122" t="s">
        <v>156</v>
      </c>
      <c r="C94" s="124" t="s">
        <v>441</v>
      </c>
      <c r="D94" s="123" t="s">
        <v>152</v>
      </c>
      <c r="E94" s="123" t="s">
        <v>29</v>
      </c>
      <c r="F94" s="123" t="s">
        <v>21</v>
      </c>
      <c r="G94" s="124" t="s">
        <v>72</v>
      </c>
      <c r="H94" s="124" t="s">
        <v>26</v>
      </c>
      <c r="I94" s="124" t="s">
        <v>167</v>
      </c>
      <c r="J94" s="123" t="str">
        <f t="shared" si="1"/>
        <v>IT-SW-10-05</v>
      </c>
      <c r="K94" s="123" t="s">
        <v>174</v>
      </c>
      <c r="L94" s="125">
        <v>300672</v>
      </c>
      <c r="M94" s="126" t="s">
        <v>216</v>
      </c>
      <c r="N94" s="122" t="s">
        <v>14</v>
      </c>
      <c r="O94" s="116"/>
    </row>
    <row r="95" spans="1:15">
      <c r="A95" s="122" t="s">
        <v>439</v>
      </c>
      <c r="B95" s="122" t="s">
        <v>157</v>
      </c>
      <c r="C95" s="124" t="s">
        <v>441</v>
      </c>
      <c r="D95" s="123" t="s">
        <v>152</v>
      </c>
      <c r="E95" s="123" t="s">
        <v>29</v>
      </c>
      <c r="F95" s="123" t="s">
        <v>21</v>
      </c>
      <c r="G95" s="124" t="s">
        <v>72</v>
      </c>
      <c r="H95" s="124" t="s">
        <v>42</v>
      </c>
      <c r="I95" s="124" t="s">
        <v>547</v>
      </c>
      <c r="J95" s="123" t="str">
        <f t="shared" si="1"/>
        <v>IT-SW-10-06</v>
      </c>
      <c r="K95" s="123" t="s">
        <v>174</v>
      </c>
      <c r="L95" s="125">
        <v>1036800</v>
      </c>
      <c r="M95" s="126" t="s">
        <v>216</v>
      </c>
      <c r="N95" s="122" t="s">
        <v>14</v>
      </c>
      <c r="O95" s="116"/>
    </row>
    <row r="96" spans="1:15">
      <c r="A96" s="122" t="s">
        <v>439</v>
      </c>
      <c r="B96" s="122" t="s">
        <v>158</v>
      </c>
      <c r="C96" s="124" t="s">
        <v>441</v>
      </c>
      <c r="D96" s="123" t="s">
        <v>159</v>
      </c>
      <c r="E96" s="123" t="s">
        <v>29</v>
      </c>
      <c r="F96" s="123" t="s">
        <v>21</v>
      </c>
      <c r="G96" s="124" t="s">
        <v>70</v>
      </c>
      <c r="H96" s="124" t="s">
        <v>42</v>
      </c>
      <c r="I96" s="124" t="s">
        <v>167</v>
      </c>
      <c r="J96" s="123" t="str">
        <f t="shared" si="1"/>
        <v>IT-SW-11-01</v>
      </c>
      <c r="K96" s="123" t="s">
        <v>174</v>
      </c>
      <c r="L96" s="125">
        <v>840960</v>
      </c>
      <c r="M96" s="126" t="s">
        <v>216</v>
      </c>
      <c r="N96" s="122" t="s">
        <v>14</v>
      </c>
      <c r="O96" s="116"/>
    </row>
    <row r="97" spans="1:15">
      <c r="A97" s="122" t="s">
        <v>439</v>
      </c>
      <c r="B97" s="122" t="s">
        <v>160</v>
      </c>
      <c r="C97" s="124" t="s">
        <v>441</v>
      </c>
      <c r="D97" s="123" t="s">
        <v>159</v>
      </c>
      <c r="E97" s="123" t="s">
        <v>29</v>
      </c>
      <c r="F97" s="123" t="s">
        <v>21</v>
      </c>
      <c r="G97" s="124" t="s">
        <v>70</v>
      </c>
      <c r="H97" s="124" t="s">
        <v>26</v>
      </c>
      <c r="I97" s="124" t="s">
        <v>167</v>
      </c>
      <c r="J97" s="123" t="str">
        <f t="shared" si="1"/>
        <v>IT-SW-11-02</v>
      </c>
      <c r="K97" s="123" t="s">
        <v>174</v>
      </c>
      <c r="L97" s="125">
        <v>601344</v>
      </c>
      <c r="M97" s="126" t="s">
        <v>216</v>
      </c>
      <c r="N97" s="122" t="s">
        <v>14</v>
      </c>
      <c r="O97" s="116"/>
    </row>
    <row r="98" spans="1:15">
      <c r="A98" s="122" t="s">
        <v>439</v>
      </c>
      <c r="B98" s="122" t="s">
        <v>161</v>
      </c>
      <c r="C98" s="124" t="s">
        <v>441</v>
      </c>
      <c r="D98" s="123" t="s">
        <v>159</v>
      </c>
      <c r="E98" s="123" t="s">
        <v>29</v>
      </c>
      <c r="F98" s="123" t="s">
        <v>21</v>
      </c>
      <c r="G98" s="124" t="s">
        <v>74</v>
      </c>
      <c r="H98" s="124" t="s">
        <v>42</v>
      </c>
      <c r="I98" s="124" t="s">
        <v>547</v>
      </c>
      <c r="J98" s="123" t="str">
        <f t="shared" si="1"/>
        <v>IT-SW-11-03</v>
      </c>
      <c r="K98" s="123" t="s">
        <v>174</v>
      </c>
      <c r="L98" s="125">
        <v>1036800</v>
      </c>
      <c r="M98" s="126" t="s">
        <v>216</v>
      </c>
      <c r="N98" s="122" t="s">
        <v>14</v>
      </c>
      <c r="O98" s="116"/>
    </row>
    <row r="99" spans="1:15">
      <c r="A99" s="122" t="s">
        <v>439</v>
      </c>
      <c r="B99" s="122" t="s">
        <v>162</v>
      </c>
      <c r="C99" s="124" t="s">
        <v>441</v>
      </c>
      <c r="D99" s="123" t="s">
        <v>159</v>
      </c>
      <c r="E99" s="123" t="s">
        <v>29</v>
      </c>
      <c r="F99" s="123" t="s">
        <v>21</v>
      </c>
      <c r="G99" s="124" t="s">
        <v>74</v>
      </c>
      <c r="H99" s="124" t="s">
        <v>26</v>
      </c>
      <c r="I99" s="124" t="s">
        <v>167</v>
      </c>
      <c r="J99" s="123" t="str">
        <f t="shared" si="1"/>
        <v>IT-SW-11-04</v>
      </c>
      <c r="K99" s="123" t="s">
        <v>174</v>
      </c>
      <c r="L99" s="125">
        <v>601344</v>
      </c>
      <c r="M99" s="126" t="s">
        <v>216</v>
      </c>
      <c r="N99" s="122" t="s">
        <v>14</v>
      </c>
      <c r="O99" s="116"/>
    </row>
    <row r="100" spans="1:15">
      <c r="A100" s="122" t="s">
        <v>439</v>
      </c>
      <c r="B100" s="122" t="s">
        <v>163</v>
      </c>
      <c r="C100" s="124" t="s">
        <v>441</v>
      </c>
      <c r="D100" s="123" t="s">
        <v>159</v>
      </c>
      <c r="E100" s="123" t="s">
        <v>29</v>
      </c>
      <c r="F100" s="123" t="s">
        <v>21</v>
      </c>
      <c r="G100" s="124" t="s">
        <v>72</v>
      </c>
      <c r="H100" s="124" t="s">
        <v>42</v>
      </c>
      <c r="I100" s="124" t="s">
        <v>547</v>
      </c>
      <c r="J100" s="123" t="str">
        <f t="shared" si="1"/>
        <v>IT-SW-11-05</v>
      </c>
      <c r="K100" s="123" t="s">
        <v>174</v>
      </c>
      <c r="L100" s="125">
        <v>1036800</v>
      </c>
      <c r="M100" s="126" t="s">
        <v>216</v>
      </c>
      <c r="N100" s="122" t="s">
        <v>14</v>
      </c>
      <c r="O100" s="116"/>
    </row>
    <row r="101" spans="1:15">
      <c r="A101" s="122" t="s">
        <v>439</v>
      </c>
      <c r="B101" s="122" t="s">
        <v>164</v>
      </c>
      <c r="C101" s="124" t="s">
        <v>441</v>
      </c>
      <c r="D101" s="123" t="s">
        <v>159</v>
      </c>
      <c r="E101" s="123" t="s">
        <v>29</v>
      </c>
      <c r="F101" s="123" t="s">
        <v>21</v>
      </c>
      <c r="G101" s="124" t="s">
        <v>72</v>
      </c>
      <c r="H101" s="124" t="s">
        <v>26</v>
      </c>
      <c r="I101" s="124" t="s">
        <v>167</v>
      </c>
      <c r="J101" s="123" t="str">
        <f t="shared" si="1"/>
        <v>IT-SW-11-06</v>
      </c>
      <c r="K101" s="123" t="s">
        <v>174</v>
      </c>
      <c r="L101" s="125">
        <v>601344</v>
      </c>
      <c r="M101" s="126" t="s">
        <v>216</v>
      </c>
      <c r="N101" s="122" t="s">
        <v>14</v>
      </c>
      <c r="O101" s="116"/>
    </row>
  </sheetData>
  <mergeCells count="1">
    <mergeCell ref="A1:N1"/>
  </mergeCells>
  <conditionalFormatting sqref="B2 B6:B1048576">
    <cfRule type="duplicateValues" dxfId="34" priority="1"/>
    <cfRule type="duplicateValues" dxfId="33" priority="2"/>
    <cfRule type="duplicateValues" dxfId="32" priority="3"/>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155"/>
  <sheetViews>
    <sheetView zoomScaleNormal="100" workbookViewId="0">
      <pane ySplit="2" topLeftCell="A3" activePane="bottomLeft" state="frozen"/>
      <selection activeCell="B16" sqref="B16:P16"/>
      <selection pane="bottomLeft" activeCell="D29" sqref="D29"/>
    </sheetView>
  </sheetViews>
  <sheetFormatPr baseColWidth="10" defaultColWidth="12.54296875" defaultRowHeight="14.5"/>
  <cols>
    <col min="1" max="1" width="14.6328125" style="8" bestFit="1" customWidth="1"/>
    <col min="2" max="2" width="43.6328125" style="7" bestFit="1" customWidth="1"/>
    <col min="3" max="3" width="18.36328125" style="10" bestFit="1" customWidth="1"/>
    <col min="4" max="4" width="154.6328125" style="8" bestFit="1" customWidth="1"/>
    <col min="5" max="5" width="73.36328125" style="8" bestFit="1" customWidth="1"/>
    <col min="6" max="6" width="9.453125" style="8" bestFit="1" customWidth="1"/>
    <col min="7" max="7" width="12.54296875" style="10" bestFit="1" customWidth="1"/>
    <col min="8" max="8" width="17.54296875" style="10" bestFit="1" customWidth="1"/>
    <col min="9" max="9" width="21.54296875" style="10" bestFit="1" customWidth="1"/>
    <col min="10" max="10" width="46.08984375" style="8" bestFit="1" customWidth="1"/>
    <col min="11" max="11" width="18.453125" style="8" bestFit="1" customWidth="1"/>
    <col min="12" max="12" width="8" style="13" bestFit="1" customWidth="1"/>
    <col min="13" max="13" width="13.90625" style="10" bestFit="1" customWidth="1"/>
    <col min="14" max="16384" width="12.54296875" style="8"/>
  </cols>
  <sheetData>
    <row r="1" spans="1:13" s="7" customFormat="1" ht="46.5">
      <c r="A1" s="320" t="s">
        <v>639</v>
      </c>
      <c r="B1" s="320"/>
      <c r="C1" s="320"/>
      <c r="D1" s="320"/>
      <c r="E1" s="320"/>
      <c r="F1" s="320"/>
      <c r="G1" s="320"/>
      <c r="H1" s="320"/>
      <c r="I1" s="320"/>
      <c r="J1" s="320"/>
      <c r="K1" s="320"/>
      <c r="L1" s="320"/>
      <c r="M1" s="320"/>
    </row>
    <row r="2" spans="1:13" s="127" customFormat="1">
      <c r="A2" s="128" t="s">
        <v>0</v>
      </c>
      <c r="B2" s="128" t="s">
        <v>1</v>
      </c>
      <c r="C2" s="128" t="s">
        <v>2</v>
      </c>
      <c r="D2" s="128" t="s">
        <v>4</v>
      </c>
      <c r="E2" s="128" t="s">
        <v>5</v>
      </c>
      <c r="F2" s="128" t="s">
        <v>6</v>
      </c>
      <c r="G2" s="128" t="s">
        <v>7</v>
      </c>
      <c r="H2" s="128" t="s">
        <v>8</v>
      </c>
      <c r="I2" s="128" t="s">
        <v>9</v>
      </c>
      <c r="J2" s="128" t="s">
        <v>11</v>
      </c>
      <c r="K2" s="128" t="s">
        <v>12</v>
      </c>
      <c r="L2" s="129" t="s">
        <v>13</v>
      </c>
      <c r="M2" s="130" t="s">
        <v>3</v>
      </c>
    </row>
    <row r="3" spans="1:13">
      <c r="A3" s="41" t="s">
        <v>639</v>
      </c>
      <c r="B3" s="41" t="s">
        <v>640</v>
      </c>
      <c r="C3" s="41" t="s">
        <v>919</v>
      </c>
      <c r="D3" s="41" t="s">
        <v>641</v>
      </c>
      <c r="E3" s="41" t="s">
        <v>30</v>
      </c>
      <c r="F3" s="41" t="s">
        <v>16</v>
      </c>
      <c r="G3" s="41" t="s">
        <v>642</v>
      </c>
      <c r="H3" s="41" t="s">
        <v>18</v>
      </c>
      <c r="I3" s="41" t="s">
        <v>15</v>
      </c>
      <c r="J3" s="41" t="s">
        <v>643</v>
      </c>
      <c r="K3" s="131">
        <v>258000000</v>
      </c>
      <c r="L3" s="132" t="s">
        <v>172</v>
      </c>
      <c r="M3" s="41" t="s">
        <v>14</v>
      </c>
    </row>
    <row r="4" spans="1:13">
      <c r="A4" s="41" t="s">
        <v>639</v>
      </c>
      <c r="B4" s="41" t="s">
        <v>644</v>
      </c>
      <c r="C4" s="41" t="s">
        <v>919</v>
      </c>
      <c r="D4" s="41" t="s">
        <v>645</v>
      </c>
      <c r="E4" s="41" t="s">
        <v>30</v>
      </c>
      <c r="F4" s="41" t="s">
        <v>16</v>
      </c>
      <c r="G4" s="41" t="s">
        <v>642</v>
      </c>
      <c r="H4" s="41" t="s">
        <v>18</v>
      </c>
      <c r="I4" s="41" t="s">
        <v>15</v>
      </c>
      <c r="J4" s="41" t="s">
        <v>643</v>
      </c>
      <c r="K4" s="131">
        <v>120000000</v>
      </c>
      <c r="L4" s="132" t="s">
        <v>172</v>
      </c>
      <c r="M4" s="41" t="s">
        <v>14</v>
      </c>
    </row>
    <row r="5" spans="1:13">
      <c r="A5" s="41" t="s">
        <v>639</v>
      </c>
      <c r="B5" s="41" t="s">
        <v>646</v>
      </c>
      <c r="C5" s="41" t="s">
        <v>919</v>
      </c>
      <c r="D5" s="41" t="s">
        <v>647</v>
      </c>
      <c r="E5" s="41" t="s">
        <v>30</v>
      </c>
      <c r="F5" s="41" t="s">
        <v>16</v>
      </c>
      <c r="G5" s="41" t="s">
        <v>642</v>
      </c>
      <c r="H5" s="41" t="s">
        <v>18</v>
      </c>
      <c r="I5" s="41" t="s">
        <v>15</v>
      </c>
      <c r="J5" s="41" t="s">
        <v>643</v>
      </c>
      <c r="K5" s="131">
        <v>100000000</v>
      </c>
      <c r="L5" s="132" t="s">
        <v>172</v>
      </c>
      <c r="M5" s="41" t="s">
        <v>14</v>
      </c>
    </row>
    <row r="6" spans="1:13">
      <c r="A6" s="41" t="s">
        <v>639</v>
      </c>
      <c r="B6" s="41" t="s">
        <v>648</v>
      </c>
      <c r="C6" s="41" t="s">
        <v>919</v>
      </c>
      <c r="D6" s="41" t="s">
        <v>649</v>
      </c>
      <c r="E6" s="41" t="s">
        <v>31</v>
      </c>
      <c r="F6" s="41" t="s">
        <v>16</v>
      </c>
      <c r="G6" s="41" t="s">
        <v>17</v>
      </c>
      <c r="H6" s="41" t="s">
        <v>18</v>
      </c>
      <c r="I6" s="41" t="s">
        <v>15</v>
      </c>
      <c r="J6" s="41" t="s">
        <v>643</v>
      </c>
      <c r="K6" s="131">
        <v>52000000</v>
      </c>
      <c r="L6" s="132" t="s">
        <v>172</v>
      </c>
      <c r="M6" s="41" t="s">
        <v>14</v>
      </c>
    </row>
    <row r="7" spans="1:13">
      <c r="A7" s="41" t="s">
        <v>639</v>
      </c>
      <c r="B7" s="41" t="s">
        <v>650</v>
      </c>
      <c r="C7" s="41" t="s">
        <v>919</v>
      </c>
      <c r="D7" s="41" t="s">
        <v>651</v>
      </c>
      <c r="E7" s="41" t="s">
        <v>31</v>
      </c>
      <c r="F7" s="41" t="s">
        <v>16</v>
      </c>
      <c r="G7" s="41" t="s">
        <v>17</v>
      </c>
      <c r="H7" s="41" t="s">
        <v>18</v>
      </c>
      <c r="I7" s="41" t="s">
        <v>15</v>
      </c>
      <c r="J7" s="41" t="s">
        <v>643</v>
      </c>
      <c r="K7" s="131">
        <v>32000000</v>
      </c>
      <c r="L7" s="132" t="s">
        <v>172</v>
      </c>
      <c r="M7" s="41" t="s">
        <v>14</v>
      </c>
    </row>
    <row r="8" spans="1:13">
      <c r="A8" s="41" t="s">
        <v>639</v>
      </c>
      <c r="B8" s="41" t="s">
        <v>652</v>
      </c>
      <c r="C8" s="41" t="s">
        <v>919</v>
      </c>
      <c r="D8" s="41" t="s">
        <v>653</v>
      </c>
      <c r="E8" s="41" t="s">
        <v>31</v>
      </c>
      <c r="F8" s="41" t="s">
        <v>16</v>
      </c>
      <c r="G8" s="41" t="s">
        <v>17</v>
      </c>
      <c r="H8" s="41" t="s">
        <v>18</v>
      </c>
      <c r="I8" s="41" t="s">
        <v>15</v>
      </c>
      <c r="J8" s="41" t="s">
        <v>643</v>
      </c>
      <c r="K8" s="131">
        <v>32000000</v>
      </c>
      <c r="L8" s="132" t="s">
        <v>172</v>
      </c>
      <c r="M8" s="41" t="s">
        <v>14</v>
      </c>
    </row>
    <row r="9" spans="1:13">
      <c r="A9" s="41" t="s">
        <v>639</v>
      </c>
      <c r="B9" s="41" t="s">
        <v>654</v>
      </c>
      <c r="C9" s="41" t="s">
        <v>919</v>
      </c>
      <c r="D9" s="41" t="s">
        <v>655</v>
      </c>
      <c r="E9" s="41" t="s">
        <v>30</v>
      </c>
      <c r="F9" s="41" t="s">
        <v>16</v>
      </c>
      <c r="G9" s="41" t="s">
        <v>17</v>
      </c>
      <c r="H9" s="41" t="s">
        <v>18</v>
      </c>
      <c r="I9" s="41" t="s">
        <v>15</v>
      </c>
      <c r="J9" s="41" t="s">
        <v>643</v>
      </c>
      <c r="K9" s="131">
        <v>358000000</v>
      </c>
      <c r="L9" s="132" t="s">
        <v>172</v>
      </c>
      <c r="M9" s="41" t="s">
        <v>14</v>
      </c>
    </row>
    <row r="10" spans="1:13">
      <c r="A10" s="41" t="s">
        <v>639</v>
      </c>
      <c r="B10" s="41" t="s">
        <v>656</v>
      </c>
      <c r="C10" s="41" t="s">
        <v>919</v>
      </c>
      <c r="D10" s="41" t="s">
        <v>657</v>
      </c>
      <c r="E10" s="41" t="s">
        <v>658</v>
      </c>
      <c r="F10" s="41" t="s">
        <v>16</v>
      </c>
      <c r="G10" s="41" t="s">
        <v>17</v>
      </c>
      <c r="H10" s="41" t="s">
        <v>18</v>
      </c>
      <c r="I10" s="41" t="s">
        <v>15</v>
      </c>
      <c r="J10" s="41" t="s">
        <v>643</v>
      </c>
      <c r="K10" s="131">
        <v>32000000</v>
      </c>
      <c r="L10" s="132" t="s">
        <v>172</v>
      </c>
      <c r="M10" s="41" t="s">
        <v>14</v>
      </c>
    </row>
    <row r="11" spans="1:13">
      <c r="A11" s="41" t="s">
        <v>639</v>
      </c>
      <c r="B11" s="41" t="s">
        <v>659</v>
      </c>
      <c r="C11" s="41" t="s">
        <v>919</v>
      </c>
      <c r="D11" s="41" t="s">
        <v>660</v>
      </c>
      <c r="E11" s="41" t="s">
        <v>32</v>
      </c>
      <c r="F11" s="41" t="s">
        <v>16</v>
      </c>
      <c r="G11" s="41" t="s">
        <v>17</v>
      </c>
      <c r="H11" s="41" t="s">
        <v>18</v>
      </c>
      <c r="I11" s="41" t="s">
        <v>15</v>
      </c>
      <c r="J11" s="41" t="s">
        <v>643</v>
      </c>
      <c r="K11" s="131">
        <v>770000</v>
      </c>
      <c r="L11" s="132" t="s">
        <v>172</v>
      </c>
      <c r="M11" s="41" t="s">
        <v>14</v>
      </c>
    </row>
    <row r="12" spans="1:13">
      <c r="A12" s="41" t="s">
        <v>639</v>
      </c>
      <c r="B12" s="41" t="s">
        <v>1111</v>
      </c>
      <c r="C12" s="41" t="s">
        <v>919</v>
      </c>
      <c r="D12" s="41" t="s">
        <v>1123</v>
      </c>
      <c r="E12" s="41" t="s">
        <v>30</v>
      </c>
      <c r="F12" s="41" t="s">
        <v>16</v>
      </c>
      <c r="G12" s="41" t="s">
        <v>17</v>
      </c>
      <c r="H12" s="41" t="s">
        <v>18</v>
      </c>
      <c r="I12" s="41" t="s">
        <v>15</v>
      </c>
      <c r="J12" s="41" t="s">
        <v>643</v>
      </c>
      <c r="K12" s="131">
        <v>32000000</v>
      </c>
      <c r="L12" s="132" t="s">
        <v>172</v>
      </c>
      <c r="M12" s="41" t="s">
        <v>14</v>
      </c>
    </row>
    <row r="13" spans="1:13">
      <c r="A13" s="41" t="s">
        <v>639</v>
      </c>
      <c r="B13" s="41" t="s">
        <v>1112</v>
      </c>
      <c r="C13" s="41" t="s">
        <v>919</v>
      </c>
      <c r="D13" s="41" t="s">
        <v>1124</v>
      </c>
      <c r="E13" s="41" t="s">
        <v>1125</v>
      </c>
      <c r="F13" s="41" t="s">
        <v>16</v>
      </c>
      <c r="G13" s="41" t="s">
        <v>17</v>
      </c>
      <c r="H13" s="41" t="s">
        <v>18</v>
      </c>
      <c r="I13" s="41" t="s">
        <v>15</v>
      </c>
      <c r="J13" s="41" t="s">
        <v>643</v>
      </c>
      <c r="K13" s="131">
        <v>1154000000</v>
      </c>
      <c r="L13" s="132" t="s">
        <v>172</v>
      </c>
      <c r="M13" s="41" t="s">
        <v>14</v>
      </c>
    </row>
    <row r="14" spans="1:13">
      <c r="A14" s="41" t="s">
        <v>639</v>
      </c>
      <c r="B14" s="41" t="s">
        <v>1113</v>
      </c>
      <c r="C14" s="41" t="s">
        <v>919</v>
      </c>
      <c r="D14" s="41" t="s">
        <v>1126</v>
      </c>
      <c r="E14" s="41" t="s">
        <v>1127</v>
      </c>
      <c r="F14" s="41" t="s">
        <v>16</v>
      </c>
      <c r="G14" s="41" t="s">
        <v>17</v>
      </c>
      <c r="H14" s="41" t="s">
        <v>18</v>
      </c>
      <c r="I14" s="41" t="s">
        <v>15</v>
      </c>
      <c r="J14" s="41" t="s">
        <v>643</v>
      </c>
      <c r="K14" s="131">
        <v>980900000</v>
      </c>
      <c r="L14" s="132" t="s">
        <v>172</v>
      </c>
      <c r="M14" s="41" t="s">
        <v>14</v>
      </c>
    </row>
    <row r="15" spans="1:13">
      <c r="A15" s="41" t="s">
        <v>639</v>
      </c>
      <c r="B15" s="41" t="s">
        <v>1114</v>
      </c>
      <c r="C15" s="41" t="s">
        <v>919</v>
      </c>
      <c r="D15" s="41" t="s">
        <v>1128</v>
      </c>
      <c r="E15" s="41" t="s">
        <v>34</v>
      </c>
      <c r="F15" s="41" t="s">
        <v>16</v>
      </c>
      <c r="G15" s="41" t="s">
        <v>17</v>
      </c>
      <c r="H15" s="41" t="s">
        <v>18</v>
      </c>
      <c r="I15" s="41" t="s">
        <v>15</v>
      </c>
      <c r="J15" s="41" t="s">
        <v>643</v>
      </c>
      <c r="K15" s="131">
        <v>833765000</v>
      </c>
      <c r="L15" s="132" t="s">
        <v>172</v>
      </c>
      <c r="M15" s="41" t="s">
        <v>14</v>
      </c>
    </row>
    <row r="16" spans="1:13">
      <c r="A16" s="41" t="s">
        <v>639</v>
      </c>
      <c r="B16" s="41" t="s">
        <v>1115</v>
      </c>
      <c r="C16" s="41" t="s">
        <v>919</v>
      </c>
      <c r="D16" s="41" t="s">
        <v>1129</v>
      </c>
      <c r="E16" s="41" t="s">
        <v>1130</v>
      </c>
      <c r="F16" s="41" t="s">
        <v>16</v>
      </c>
      <c r="G16" s="41" t="s">
        <v>17</v>
      </c>
      <c r="H16" s="41" t="s">
        <v>18</v>
      </c>
      <c r="I16" s="41" t="s">
        <v>15</v>
      </c>
      <c r="J16" s="41" t="s">
        <v>643</v>
      </c>
      <c r="K16" s="131">
        <v>708700250</v>
      </c>
      <c r="L16" s="132" t="s">
        <v>172</v>
      </c>
      <c r="M16" s="41" t="s">
        <v>14</v>
      </c>
    </row>
    <row r="17" spans="1:13">
      <c r="A17" s="41" t="s">
        <v>639</v>
      </c>
      <c r="B17" s="41" t="s">
        <v>1116</v>
      </c>
      <c r="C17" s="41" t="s">
        <v>919</v>
      </c>
      <c r="D17" s="41" t="s">
        <v>1131</v>
      </c>
      <c r="E17" s="41" t="s">
        <v>30</v>
      </c>
      <c r="F17" s="41" t="s">
        <v>16</v>
      </c>
      <c r="G17" s="41" t="s">
        <v>17</v>
      </c>
      <c r="H17" s="41" t="s">
        <v>18</v>
      </c>
      <c r="I17" s="41" t="s">
        <v>15</v>
      </c>
      <c r="J17" s="41" t="s">
        <v>643</v>
      </c>
      <c r="K17" s="131">
        <v>510264180</v>
      </c>
      <c r="L17" s="132" t="s">
        <v>172</v>
      </c>
      <c r="M17" s="41" t="s">
        <v>14</v>
      </c>
    </row>
    <row r="18" spans="1:13">
      <c r="A18" s="41" t="s">
        <v>639</v>
      </c>
      <c r="B18" s="41" t="s">
        <v>2989</v>
      </c>
      <c r="C18" s="41" t="s">
        <v>919</v>
      </c>
      <c r="D18" s="41" t="s">
        <v>2990</v>
      </c>
      <c r="E18" s="41" t="s">
        <v>30</v>
      </c>
      <c r="F18" s="41" t="s">
        <v>16</v>
      </c>
      <c r="G18" s="41" t="s">
        <v>17</v>
      </c>
      <c r="H18" s="41" t="s">
        <v>18</v>
      </c>
      <c r="I18" s="41" t="s">
        <v>15</v>
      </c>
      <c r="J18" s="41" t="s">
        <v>643</v>
      </c>
      <c r="K18" s="131">
        <v>32000000</v>
      </c>
      <c r="L18" s="132" t="s">
        <v>172</v>
      </c>
      <c r="M18" s="41" t="s">
        <v>14</v>
      </c>
    </row>
    <row r="19" spans="1:13">
      <c r="A19" s="41" t="s">
        <v>639</v>
      </c>
      <c r="B19" s="41" t="s">
        <v>2991</v>
      </c>
      <c r="C19" s="41" t="s">
        <v>919</v>
      </c>
      <c r="D19" s="41" t="s">
        <v>2992</v>
      </c>
      <c r="E19" s="41" t="s">
        <v>30</v>
      </c>
      <c r="F19" s="41" t="s">
        <v>16</v>
      </c>
      <c r="G19" s="41" t="s">
        <v>17</v>
      </c>
      <c r="H19" s="41" t="s">
        <v>18</v>
      </c>
      <c r="I19" s="41" t="s">
        <v>15</v>
      </c>
      <c r="J19" s="41" t="s">
        <v>643</v>
      </c>
      <c r="K19" s="131">
        <v>27000000</v>
      </c>
      <c r="L19" s="132" t="s">
        <v>172</v>
      </c>
      <c r="M19" s="41" t="s">
        <v>14</v>
      </c>
    </row>
    <row r="20" spans="1:13">
      <c r="A20" s="41" t="s">
        <v>639</v>
      </c>
      <c r="B20" s="41" t="s">
        <v>661</v>
      </c>
      <c r="C20" s="41" t="s">
        <v>919</v>
      </c>
      <c r="D20" s="41" t="s">
        <v>662</v>
      </c>
      <c r="E20" s="41" t="s">
        <v>663</v>
      </c>
      <c r="F20" s="41" t="s">
        <v>16</v>
      </c>
      <c r="G20" s="41" t="s">
        <v>17</v>
      </c>
      <c r="H20" s="41" t="s">
        <v>18</v>
      </c>
      <c r="I20" s="41" t="s">
        <v>15</v>
      </c>
      <c r="J20" s="41" t="s">
        <v>643</v>
      </c>
      <c r="K20" s="131">
        <v>1280000</v>
      </c>
      <c r="L20" s="132" t="s">
        <v>172</v>
      </c>
      <c r="M20" s="41" t="s">
        <v>14</v>
      </c>
    </row>
    <row r="21" spans="1:13">
      <c r="A21" s="41" t="s">
        <v>639</v>
      </c>
      <c r="B21" s="41" t="s">
        <v>664</v>
      </c>
      <c r="C21" s="41" t="s">
        <v>919</v>
      </c>
      <c r="D21" s="41" t="s">
        <v>665</v>
      </c>
      <c r="E21" s="41" t="s">
        <v>22</v>
      </c>
      <c r="F21" s="41" t="s">
        <v>16</v>
      </c>
      <c r="G21" s="41" t="s">
        <v>17</v>
      </c>
      <c r="H21" s="41" t="s">
        <v>18</v>
      </c>
      <c r="I21" s="41" t="s">
        <v>15</v>
      </c>
      <c r="J21" s="41" t="s">
        <v>643</v>
      </c>
      <c r="K21" s="131">
        <v>51600000</v>
      </c>
      <c r="L21" s="132" t="s">
        <v>172</v>
      </c>
      <c r="M21" s="41" t="s">
        <v>14</v>
      </c>
    </row>
    <row r="22" spans="1:13">
      <c r="A22" s="41" t="s">
        <v>639</v>
      </c>
      <c r="B22" s="41" t="s">
        <v>666</v>
      </c>
      <c r="C22" s="41" t="s">
        <v>919</v>
      </c>
      <c r="D22" s="41" t="s">
        <v>667</v>
      </c>
      <c r="E22" s="41" t="s">
        <v>22</v>
      </c>
      <c r="F22" s="41" t="s">
        <v>16</v>
      </c>
      <c r="G22" s="41" t="s">
        <v>17</v>
      </c>
      <c r="H22" s="41" t="s">
        <v>18</v>
      </c>
      <c r="I22" s="41" t="s">
        <v>15</v>
      </c>
      <c r="J22" s="41" t="s">
        <v>643</v>
      </c>
      <c r="K22" s="131">
        <v>10400000</v>
      </c>
      <c r="L22" s="132" t="s">
        <v>172</v>
      </c>
      <c r="M22" s="41" t="s">
        <v>14</v>
      </c>
    </row>
    <row r="23" spans="1:13">
      <c r="A23" s="41" t="s">
        <v>639</v>
      </c>
      <c r="B23" s="41" t="s">
        <v>668</v>
      </c>
      <c r="C23" s="41" t="s">
        <v>919</v>
      </c>
      <c r="D23" s="41" t="s">
        <v>669</v>
      </c>
      <c r="E23" s="41" t="s">
        <v>22</v>
      </c>
      <c r="F23" s="41" t="s">
        <v>16</v>
      </c>
      <c r="G23" s="41" t="s">
        <v>17</v>
      </c>
      <c r="H23" s="41" t="s">
        <v>18</v>
      </c>
      <c r="I23" s="41" t="s">
        <v>15</v>
      </c>
      <c r="J23" s="41" t="s">
        <v>643</v>
      </c>
      <c r="K23" s="131">
        <v>6400000</v>
      </c>
      <c r="L23" s="132" t="s">
        <v>172</v>
      </c>
      <c r="M23" s="41" t="s">
        <v>14</v>
      </c>
    </row>
    <row r="24" spans="1:13">
      <c r="A24" s="41" t="s">
        <v>639</v>
      </c>
      <c r="B24" s="41" t="s">
        <v>670</v>
      </c>
      <c r="C24" s="41" t="s">
        <v>919</v>
      </c>
      <c r="D24" s="41" t="s">
        <v>671</v>
      </c>
      <c r="E24" s="41" t="s">
        <v>22</v>
      </c>
      <c r="F24" s="41" t="s">
        <v>16</v>
      </c>
      <c r="G24" s="41" t="s">
        <v>17</v>
      </c>
      <c r="H24" s="41" t="s">
        <v>18</v>
      </c>
      <c r="I24" s="41" t="s">
        <v>15</v>
      </c>
      <c r="J24" s="41" t="s">
        <v>643</v>
      </c>
      <c r="K24" s="131">
        <v>6400000</v>
      </c>
      <c r="L24" s="132" t="s">
        <v>172</v>
      </c>
      <c r="M24" s="41" t="s">
        <v>14</v>
      </c>
    </row>
    <row r="25" spans="1:13">
      <c r="A25" s="41" t="s">
        <v>639</v>
      </c>
      <c r="B25" s="41" t="s">
        <v>672</v>
      </c>
      <c r="C25" s="41" t="s">
        <v>919</v>
      </c>
      <c r="D25" s="41" t="s">
        <v>673</v>
      </c>
      <c r="E25" s="41" t="s">
        <v>22</v>
      </c>
      <c r="F25" s="41" t="s">
        <v>16</v>
      </c>
      <c r="G25" s="41" t="s">
        <v>17</v>
      </c>
      <c r="H25" s="41" t="s">
        <v>18</v>
      </c>
      <c r="I25" s="41" t="s">
        <v>15</v>
      </c>
      <c r="J25" s="41" t="s">
        <v>643</v>
      </c>
      <c r="K25" s="131">
        <v>87720000</v>
      </c>
      <c r="L25" s="132" t="s">
        <v>172</v>
      </c>
      <c r="M25" s="41" t="s">
        <v>14</v>
      </c>
    </row>
    <row r="26" spans="1:13">
      <c r="A26" s="41" t="s">
        <v>639</v>
      </c>
      <c r="B26" s="41" t="s">
        <v>674</v>
      </c>
      <c r="C26" s="41" t="s">
        <v>919</v>
      </c>
      <c r="D26" s="41" t="s">
        <v>675</v>
      </c>
      <c r="E26" s="41" t="s">
        <v>22</v>
      </c>
      <c r="F26" s="41" t="s">
        <v>16</v>
      </c>
      <c r="G26" s="41" t="s">
        <v>17</v>
      </c>
      <c r="H26" s="41" t="s">
        <v>18</v>
      </c>
      <c r="I26" s="41" t="s">
        <v>15</v>
      </c>
      <c r="J26" s="41" t="s">
        <v>643</v>
      </c>
      <c r="K26" s="131">
        <v>6400000</v>
      </c>
      <c r="L26" s="132" t="s">
        <v>172</v>
      </c>
      <c r="M26" s="41" t="s">
        <v>14</v>
      </c>
    </row>
    <row r="27" spans="1:13">
      <c r="A27" s="41" t="s">
        <v>639</v>
      </c>
      <c r="B27" s="41" t="s">
        <v>676</v>
      </c>
      <c r="C27" s="41" t="s">
        <v>919</v>
      </c>
      <c r="D27" s="41" t="s">
        <v>677</v>
      </c>
      <c r="E27" s="41" t="s">
        <v>22</v>
      </c>
      <c r="F27" s="41" t="s">
        <v>16</v>
      </c>
      <c r="G27" s="41" t="s">
        <v>17</v>
      </c>
      <c r="H27" s="41" t="s">
        <v>18</v>
      </c>
      <c r="I27" s="41" t="s">
        <v>15</v>
      </c>
      <c r="J27" s="41" t="s">
        <v>643</v>
      </c>
      <c r="K27" s="131">
        <v>10400000</v>
      </c>
      <c r="L27" s="132" t="s">
        <v>172</v>
      </c>
      <c r="M27" s="41" t="s">
        <v>14</v>
      </c>
    </row>
    <row r="28" spans="1:13">
      <c r="A28" s="41" t="s">
        <v>639</v>
      </c>
      <c r="B28" s="41" t="s">
        <v>678</v>
      </c>
      <c r="C28" s="41" t="s">
        <v>919</v>
      </c>
      <c r="D28" s="41" t="s">
        <v>679</v>
      </c>
      <c r="E28" s="41" t="s">
        <v>22</v>
      </c>
      <c r="F28" s="41" t="s">
        <v>16</v>
      </c>
      <c r="G28" s="41" t="s">
        <v>17</v>
      </c>
      <c r="H28" s="41" t="s">
        <v>18</v>
      </c>
      <c r="I28" s="41" t="s">
        <v>15</v>
      </c>
      <c r="J28" s="41" t="s">
        <v>643</v>
      </c>
      <c r="K28" s="131">
        <v>10400000</v>
      </c>
      <c r="L28" s="132" t="s">
        <v>172</v>
      </c>
      <c r="M28" s="41" t="s">
        <v>14</v>
      </c>
    </row>
    <row r="29" spans="1:13">
      <c r="A29" s="41" t="s">
        <v>639</v>
      </c>
      <c r="B29" s="41" t="s">
        <v>680</v>
      </c>
      <c r="C29" s="41" t="s">
        <v>919</v>
      </c>
      <c r="D29" s="41" t="s">
        <v>681</v>
      </c>
      <c r="E29" s="41" t="s">
        <v>22</v>
      </c>
      <c r="F29" s="41" t="s">
        <v>16</v>
      </c>
      <c r="G29" s="41" t="s">
        <v>17</v>
      </c>
      <c r="H29" s="41" t="s">
        <v>18</v>
      </c>
      <c r="I29" s="41" t="s">
        <v>15</v>
      </c>
      <c r="J29" s="41" t="s">
        <v>643</v>
      </c>
      <c r="K29" s="131">
        <v>10400000</v>
      </c>
      <c r="L29" s="132" t="s">
        <v>172</v>
      </c>
      <c r="M29" s="41" t="s">
        <v>14</v>
      </c>
    </row>
    <row r="30" spans="1:13">
      <c r="A30" s="41" t="s">
        <v>639</v>
      </c>
      <c r="B30" s="41" t="s">
        <v>1117</v>
      </c>
      <c r="C30" s="41" t="s">
        <v>919</v>
      </c>
      <c r="D30" s="41" t="s">
        <v>1132</v>
      </c>
      <c r="E30" s="41" t="s">
        <v>30</v>
      </c>
      <c r="F30" s="41" t="s">
        <v>16</v>
      </c>
      <c r="G30" s="41" t="s">
        <v>17</v>
      </c>
      <c r="H30" s="41" t="s">
        <v>18</v>
      </c>
      <c r="I30" s="41" t="s">
        <v>15</v>
      </c>
      <c r="J30" s="41" t="s">
        <v>643</v>
      </c>
      <c r="K30" s="131">
        <v>32000000</v>
      </c>
      <c r="L30" s="132" t="s">
        <v>172</v>
      </c>
      <c r="M30" s="41" t="s">
        <v>14</v>
      </c>
    </row>
    <row r="31" spans="1:13">
      <c r="A31" s="41" t="s">
        <v>639</v>
      </c>
      <c r="B31" s="41" t="s">
        <v>1118</v>
      </c>
      <c r="C31" s="41" t="s">
        <v>919</v>
      </c>
      <c r="D31" s="41" t="s">
        <v>1133</v>
      </c>
      <c r="E31" s="41" t="s">
        <v>1125</v>
      </c>
      <c r="F31" s="41" t="s">
        <v>16</v>
      </c>
      <c r="G31" s="41" t="s">
        <v>17</v>
      </c>
      <c r="H31" s="41" t="s">
        <v>18</v>
      </c>
      <c r="I31" s="41" t="s">
        <v>15</v>
      </c>
      <c r="J31" s="41" t="s">
        <v>643</v>
      </c>
      <c r="K31" s="131">
        <v>253880000</v>
      </c>
      <c r="L31" s="132" t="s">
        <v>172</v>
      </c>
      <c r="M31" s="41" t="s">
        <v>14</v>
      </c>
    </row>
    <row r="32" spans="1:13">
      <c r="A32" s="41" t="s">
        <v>639</v>
      </c>
      <c r="B32" s="41" t="s">
        <v>1119</v>
      </c>
      <c r="C32" s="41" t="s">
        <v>919</v>
      </c>
      <c r="D32" s="41" t="s">
        <v>1134</v>
      </c>
      <c r="E32" s="41" t="s">
        <v>1127</v>
      </c>
      <c r="F32" s="41" t="s">
        <v>16</v>
      </c>
      <c r="G32" s="41" t="s">
        <v>17</v>
      </c>
      <c r="H32" s="41" t="s">
        <v>18</v>
      </c>
      <c r="I32" s="41" t="s">
        <v>15</v>
      </c>
      <c r="J32" s="41" t="s">
        <v>643</v>
      </c>
      <c r="K32" s="131">
        <v>215798000</v>
      </c>
      <c r="L32" s="132" t="s">
        <v>172</v>
      </c>
      <c r="M32" s="41" t="s">
        <v>14</v>
      </c>
    </row>
    <row r="33" spans="1:13">
      <c r="A33" s="41" t="s">
        <v>639</v>
      </c>
      <c r="B33" s="41" t="s">
        <v>1120</v>
      </c>
      <c r="C33" s="41" t="s">
        <v>919</v>
      </c>
      <c r="D33" s="41" t="s">
        <v>1135</v>
      </c>
      <c r="E33" s="41" t="s">
        <v>34</v>
      </c>
      <c r="F33" s="41" t="s">
        <v>16</v>
      </c>
      <c r="G33" s="41" t="s">
        <v>17</v>
      </c>
      <c r="H33" s="41" t="s">
        <v>18</v>
      </c>
      <c r="I33" s="41" t="s">
        <v>15</v>
      </c>
      <c r="J33" s="41" t="s">
        <v>643</v>
      </c>
      <c r="K33" s="131">
        <v>183428300</v>
      </c>
      <c r="L33" s="132" t="s">
        <v>172</v>
      </c>
      <c r="M33" s="41" t="s">
        <v>14</v>
      </c>
    </row>
    <row r="34" spans="1:13">
      <c r="A34" s="41" t="s">
        <v>639</v>
      </c>
      <c r="B34" s="41" t="s">
        <v>1121</v>
      </c>
      <c r="C34" s="41" t="s">
        <v>919</v>
      </c>
      <c r="D34" s="41" t="s">
        <v>1136</v>
      </c>
      <c r="E34" s="41" t="s">
        <v>1130</v>
      </c>
      <c r="F34" s="41" t="s">
        <v>16</v>
      </c>
      <c r="G34" s="41" t="s">
        <v>17</v>
      </c>
      <c r="H34" s="41" t="s">
        <v>18</v>
      </c>
      <c r="I34" s="41" t="s">
        <v>15</v>
      </c>
      <c r="J34" s="41" t="s">
        <v>643</v>
      </c>
      <c r="K34" s="131">
        <v>155914055</v>
      </c>
      <c r="L34" s="132" t="s">
        <v>172</v>
      </c>
      <c r="M34" s="41" t="s">
        <v>14</v>
      </c>
    </row>
    <row r="35" spans="1:13">
      <c r="A35" s="41" t="s">
        <v>639</v>
      </c>
      <c r="B35" s="41" t="s">
        <v>1122</v>
      </c>
      <c r="C35" s="41" t="s">
        <v>919</v>
      </c>
      <c r="D35" s="41" t="s">
        <v>1137</v>
      </c>
      <c r="E35" s="41" t="s">
        <v>30</v>
      </c>
      <c r="F35" s="41" t="s">
        <v>16</v>
      </c>
      <c r="G35" s="41" t="s">
        <v>17</v>
      </c>
      <c r="H35" s="41" t="s">
        <v>18</v>
      </c>
      <c r="I35" s="41" t="s">
        <v>15</v>
      </c>
      <c r="J35" s="41" t="s">
        <v>643</v>
      </c>
      <c r="K35" s="131">
        <v>112258119.59999999</v>
      </c>
      <c r="L35" s="132" t="s">
        <v>172</v>
      </c>
      <c r="M35" s="41" t="s">
        <v>14</v>
      </c>
    </row>
    <row r="36" spans="1:13">
      <c r="A36" s="41" t="s">
        <v>639</v>
      </c>
      <c r="B36" s="41" t="s">
        <v>682</v>
      </c>
      <c r="C36" s="41" t="s">
        <v>919</v>
      </c>
      <c r="D36" s="41" t="s">
        <v>683</v>
      </c>
      <c r="E36" s="41" t="s">
        <v>684</v>
      </c>
      <c r="F36" s="41" t="s">
        <v>16</v>
      </c>
      <c r="G36" s="41" t="s">
        <v>642</v>
      </c>
      <c r="H36" s="41" t="s">
        <v>18</v>
      </c>
      <c r="I36" s="41" t="s">
        <v>15</v>
      </c>
      <c r="J36" s="41" t="s">
        <v>643</v>
      </c>
      <c r="K36" s="131">
        <v>20000000</v>
      </c>
      <c r="L36" s="132" t="s">
        <v>172</v>
      </c>
      <c r="M36" s="41" t="s">
        <v>14</v>
      </c>
    </row>
    <row r="37" spans="1:13">
      <c r="A37" s="41" t="s">
        <v>639</v>
      </c>
      <c r="B37" s="41" t="s">
        <v>685</v>
      </c>
      <c r="C37" s="41" t="s">
        <v>919</v>
      </c>
      <c r="D37" s="41" t="s">
        <v>686</v>
      </c>
      <c r="E37" s="41" t="s">
        <v>684</v>
      </c>
      <c r="F37" s="41" t="s">
        <v>16</v>
      </c>
      <c r="G37" s="41" t="s">
        <v>642</v>
      </c>
      <c r="H37" s="41" t="s">
        <v>18</v>
      </c>
      <c r="I37" s="41" t="s">
        <v>15</v>
      </c>
      <c r="J37" s="41" t="s">
        <v>643</v>
      </c>
      <c r="K37" s="131">
        <v>16000000</v>
      </c>
      <c r="L37" s="132" t="s">
        <v>172</v>
      </c>
      <c r="M37" s="41" t="s">
        <v>14</v>
      </c>
    </row>
    <row r="38" spans="1:13">
      <c r="A38" s="41" t="s">
        <v>639</v>
      </c>
      <c r="B38" s="41" t="s">
        <v>687</v>
      </c>
      <c r="C38" s="41" t="s">
        <v>919</v>
      </c>
      <c r="D38" s="41" t="s">
        <v>688</v>
      </c>
      <c r="E38" s="41" t="s">
        <v>684</v>
      </c>
      <c r="F38" s="41" t="s">
        <v>16</v>
      </c>
      <c r="G38" s="41" t="s">
        <v>642</v>
      </c>
      <c r="H38" s="41" t="s">
        <v>18</v>
      </c>
      <c r="I38" s="41" t="s">
        <v>15</v>
      </c>
      <c r="J38" s="41" t="s">
        <v>643</v>
      </c>
      <c r="K38" s="131">
        <v>20000000</v>
      </c>
      <c r="L38" s="132" t="s">
        <v>172</v>
      </c>
      <c r="M38" s="41" t="s">
        <v>14</v>
      </c>
    </row>
    <row r="39" spans="1:13">
      <c r="A39" s="41" t="s">
        <v>639</v>
      </c>
      <c r="B39" s="41" t="s">
        <v>689</v>
      </c>
      <c r="C39" s="41" t="s">
        <v>919</v>
      </c>
      <c r="D39" s="41" t="s">
        <v>690</v>
      </c>
      <c r="E39" s="41" t="s">
        <v>684</v>
      </c>
      <c r="F39" s="41" t="s">
        <v>16</v>
      </c>
      <c r="G39" s="41" t="s">
        <v>642</v>
      </c>
      <c r="H39" s="41" t="s">
        <v>18</v>
      </c>
      <c r="I39" s="41" t="s">
        <v>15</v>
      </c>
      <c r="J39" s="41" t="s">
        <v>643</v>
      </c>
      <c r="K39" s="131">
        <v>20000000</v>
      </c>
      <c r="L39" s="132" t="s">
        <v>172</v>
      </c>
      <c r="M39" s="41" t="s">
        <v>14</v>
      </c>
    </row>
    <row r="40" spans="1:13">
      <c r="A40" s="41" t="s">
        <v>639</v>
      </c>
      <c r="B40" s="41" t="s">
        <v>691</v>
      </c>
      <c r="C40" s="41" t="s">
        <v>919</v>
      </c>
      <c r="D40" s="41" t="s">
        <v>683</v>
      </c>
      <c r="E40" s="41" t="s">
        <v>692</v>
      </c>
      <c r="F40" s="41" t="s">
        <v>16</v>
      </c>
      <c r="G40" s="41" t="s">
        <v>642</v>
      </c>
      <c r="H40" s="41" t="s">
        <v>18</v>
      </c>
      <c r="I40" s="41" t="s">
        <v>15</v>
      </c>
      <c r="J40" s="41" t="s">
        <v>643</v>
      </c>
      <c r="K40" s="131">
        <v>3000000</v>
      </c>
      <c r="L40" s="132" t="s">
        <v>172</v>
      </c>
      <c r="M40" s="41" t="s">
        <v>14</v>
      </c>
    </row>
    <row r="41" spans="1:13">
      <c r="A41" s="41" t="s">
        <v>639</v>
      </c>
      <c r="B41" s="41" t="s">
        <v>693</v>
      </c>
      <c r="C41" s="41" t="s">
        <v>919</v>
      </c>
      <c r="D41" s="41" t="s">
        <v>686</v>
      </c>
      <c r="E41" s="41" t="s">
        <v>692</v>
      </c>
      <c r="F41" s="41" t="s">
        <v>16</v>
      </c>
      <c r="G41" s="41" t="s">
        <v>642</v>
      </c>
      <c r="H41" s="41" t="s">
        <v>18</v>
      </c>
      <c r="I41" s="41" t="s">
        <v>15</v>
      </c>
      <c r="J41" s="41" t="s">
        <v>643</v>
      </c>
      <c r="K41" s="131">
        <v>2600000</v>
      </c>
      <c r="L41" s="132" t="s">
        <v>172</v>
      </c>
      <c r="M41" s="41" t="s">
        <v>14</v>
      </c>
    </row>
    <row r="42" spans="1:13">
      <c r="A42" s="41" t="s">
        <v>639</v>
      </c>
      <c r="B42" s="41" t="s">
        <v>694</v>
      </c>
      <c r="C42" s="41" t="s">
        <v>919</v>
      </c>
      <c r="D42" s="41" t="s">
        <v>688</v>
      </c>
      <c r="E42" s="41" t="s">
        <v>692</v>
      </c>
      <c r="F42" s="41" t="s">
        <v>16</v>
      </c>
      <c r="G42" s="41" t="s">
        <v>642</v>
      </c>
      <c r="H42" s="41" t="s">
        <v>18</v>
      </c>
      <c r="I42" s="41" t="s">
        <v>15</v>
      </c>
      <c r="J42" s="41" t="s">
        <v>643</v>
      </c>
      <c r="K42" s="131">
        <v>3000000</v>
      </c>
      <c r="L42" s="132" t="s">
        <v>172</v>
      </c>
      <c r="M42" s="41" t="s">
        <v>14</v>
      </c>
    </row>
    <row r="43" spans="1:13">
      <c r="A43" s="41" t="s">
        <v>639</v>
      </c>
      <c r="B43" s="41" t="s">
        <v>695</v>
      </c>
      <c r="C43" s="41" t="s">
        <v>919</v>
      </c>
      <c r="D43" s="41" t="s">
        <v>690</v>
      </c>
      <c r="E43" s="41" t="s">
        <v>692</v>
      </c>
      <c r="F43" s="41" t="s">
        <v>16</v>
      </c>
      <c r="G43" s="41" t="s">
        <v>642</v>
      </c>
      <c r="H43" s="41" t="s">
        <v>18</v>
      </c>
      <c r="I43" s="41" t="s">
        <v>15</v>
      </c>
      <c r="J43" s="41" t="s">
        <v>643</v>
      </c>
      <c r="K43" s="131">
        <v>3000000</v>
      </c>
      <c r="L43" s="132" t="s">
        <v>172</v>
      </c>
      <c r="M43" s="41" t="s">
        <v>14</v>
      </c>
    </row>
    <row r="44" spans="1:13">
      <c r="A44" s="41" t="s">
        <v>639</v>
      </c>
      <c r="B44" s="41" t="s">
        <v>696</v>
      </c>
      <c r="C44" s="41" t="s">
        <v>919</v>
      </c>
      <c r="D44" s="41" t="s">
        <v>697</v>
      </c>
      <c r="E44" s="41" t="s">
        <v>25</v>
      </c>
      <c r="F44" s="41" t="s">
        <v>16</v>
      </c>
      <c r="G44" s="41" t="s">
        <v>642</v>
      </c>
      <c r="H44" s="41" t="s">
        <v>18</v>
      </c>
      <c r="I44" s="41" t="s">
        <v>15</v>
      </c>
      <c r="J44" s="41" t="s">
        <v>643</v>
      </c>
      <c r="K44" s="131">
        <v>770000</v>
      </c>
      <c r="L44" s="132" t="s">
        <v>172</v>
      </c>
      <c r="M44" s="41" t="s">
        <v>14</v>
      </c>
    </row>
    <row r="45" spans="1:13">
      <c r="A45" s="41" t="s">
        <v>639</v>
      </c>
      <c r="B45" s="41" t="s">
        <v>698</v>
      </c>
      <c r="C45" s="41" t="s">
        <v>919</v>
      </c>
      <c r="D45" s="41" t="s">
        <v>699</v>
      </c>
      <c r="E45" s="41" t="s">
        <v>684</v>
      </c>
      <c r="F45" s="41" t="s">
        <v>16</v>
      </c>
      <c r="G45" s="41" t="s">
        <v>642</v>
      </c>
      <c r="H45" s="41" t="s">
        <v>18</v>
      </c>
      <c r="I45" s="41" t="s">
        <v>15</v>
      </c>
      <c r="J45" s="41" t="s">
        <v>643</v>
      </c>
      <c r="K45" s="131">
        <v>4000000</v>
      </c>
      <c r="L45" s="132" t="s">
        <v>172</v>
      </c>
      <c r="M45" s="41" t="s">
        <v>14</v>
      </c>
    </row>
    <row r="46" spans="1:13">
      <c r="A46" s="41" t="s">
        <v>639</v>
      </c>
      <c r="B46" s="41" t="s">
        <v>700</v>
      </c>
      <c r="C46" s="41" t="s">
        <v>919</v>
      </c>
      <c r="D46" s="41" t="s">
        <v>701</v>
      </c>
      <c r="E46" s="41" t="s">
        <v>684</v>
      </c>
      <c r="F46" s="41" t="s">
        <v>16</v>
      </c>
      <c r="G46" s="41" t="s">
        <v>642</v>
      </c>
      <c r="H46" s="41" t="s">
        <v>18</v>
      </c>
      <c r="I46" s="41" t="s">
        <v>15</v>
      </c>
      <c r="J46" s="41" t="s">
        <v>643</v>
      </c>
      <c r="K46" s="131">
        <v>3200000</v>
      </c>
      <c r="L46" s="132" t="s">
        <v>172</v>
      </c>
      <c r="M46" s="41" t="s">
        <v>14</v>
      </c>
    </row>
    <row r="47" spans="1:13">
      <c r="A47" s="41" t="s">
        <v>639</v>
      </c>
      <c r="B47" s="41" t="s">
        <v>702</v>
      </c>
      <c r="C47" s="41" t="s">
        <v>919</v>
      </c>
      <c r="D47" s="41" t="s">
        <v>703</v>
      </c>
      <c r="E47" s="41" t="s">
        <v>684</v>
      </c>
      <c r="F47" s="41" t="s">
        <v>16</v>
      </c>
      <c r="G47" s="41" t="s">
        <v>642</v>
      </c>
      <c r="H47" s="41" t="s">
        <v>18</v>
      </c>
      <c r="I47" s="41" t="s">
        <v>15</v>
      </c>
      <c r="J47" s="41" t="s">
        <v>643</v>
      </c>
      <c r="K47" s="131">
        <v>4000000</v>
      </c>
      <c r="L47" s="132" t="s">
        <v>172</v>
      </c>
      <c r="M47" s="41" t="s">
        <v>14</v>
      </c>
    </row>
    <row r="48" spans="1:13">
      <c r="A48" s="41" t="s">
        <v>639</v>
      </c>
      <c r="B48" s="41" t="s">
        <v>704</v>
      </c>
      <c r="C48" s="41" t="s">
        <v>919</v>
      </c>
      <c r="D48" s="41" t="s">
        <v>705</v>
      </c>
      <c r="E48" s="41" t="s">
        <v>684</v>
      </c>
      <c r="F48" s="41" t="s">
        <v>16</v>
      </c>
      <c r="G48" s="41" t="s">
        <v>642</v>
      </c>
      <c r="H48" s="41" t="s">
        <v>18</v>
      </c>
      <c r="I48" s="41" t="s">
        <v>15</v>
      </c>
      <c r="J48" s="41" t="s">
        <v>643</v>
      </c>
      <c r="K48" s="131">
        <v>4000000</v>
      </c>
      <c r="L48" s="132" t="s">
        <v>172</v>
      </c>
      <c r="M48" s="41" t="s">
        <v>14</v>
      </c>
    </row>
    <row r="49" spans="1:13">
      <c r="A49" s="41" t="s">
        <v>639</v>
      </c>
      <c r="B49" s="41" t="s">
        <v>706</v>
      </c>
      <c r="C49" s="41" t="s">
        <v>919</v>
      </c>
      <c r="D49" s="41" t="s">
        <v>699</v>
      </c>
      <c r="E49" s="41" t="s">
        <v>692</v>
      </c>
      <c r="F49" s="41" t="s">
        <v>16</v>
      </c>
      <c r="G49" s="41" t="s">
        <v>642</v>
      </c>
      <c r="H49" s="41" t="s">
        <v>18</v>
      </c>
      <c r="I49" s="41" t="s">
        <v>15</v>
      </c>
      <c r="J49" s="41" t="s">
        <v>643</v>
      </c>
      <c r="K49" s="131">
        <v>570000</v>
      </c>
      <c r="L49" s="132" t="s">
        <v>172</v>
      </c>
      <c r="M49" s="41" t="s">
        <v>14</v>
      </c>
    </row>
    <row r="50" spans="1:13">
      <c r="A50" s="41" t="s">
        <v>639</v>
      </c>
      <c r="B50" s="41" t="s">
        <v>707</v>
      </c>
      <c r="C50" s="41" t="s">
        <v>919</v>
      </c>
      <c r="D50" s="41" t="s">
        <v>701</v>
      </c>
      <c r="E50" s="41" t="s">
        <v>692</v>
      </c>
      <c r="F50" s="41" t="s">
        <v>16</v>
      </c>
      <c r="G50" s="41" t="s">
        <v>642</v>
      </c>
      <c r="H50" s="41" t="s">
        <v>18</v>
      </c>
      <c r="I50" s="41" t="s">
        <v>15</v>
      </c>
      <c r="J50" s="41" t="s">
        <v>643</v>
      </c>
      <c r="K50" s="131">
        <v>520000</v>
      </c>
      <c r="L50" s="132" t="s">
        <v>172</v>
      </c>
      <c r="M50" s="41" t="s">
        <v>14</v>
      </c>
    </row>
    <row r="51" spans="1:13">
      <c r="A51" s="41" t="s">
        <v>639</v>
      </c>
      <c r="B51" s="41" t="s">
        <v>708</v>
      </c>
      <c r="C51" s="41" t="s">
        <v>919</v>
      </c>
      <c r="D51" s="41" t="s">
        <v>703</v>
      </c>
      <c r="E51" s="41" t="s">
        <v>692</v>
      </c>
      <c r="F51" s="41" t="s">
        <v>16</v>
      </c>
      <c r="G51" s="41" t="s">
        <v>642</v>
      </c>
      <c r="H51" s="41" t="s">
        <v>18</v>
      </c>
      <c r="I51" s="41" t="s">
        <v>15</v>
      </c>
      <c r="J51" s="41" t="s">
        <v>643</v>
      </c>
      <c r="K51" s="131">
        <v>570000</v>
      </c>
      <c r="L51" s="132" t="s">
        <v>172</v>
      </c>
      <c r="M51" s="41" t="s">
        <v>14</v>
      </c>
    </row>
    <row r="52" spans="1:13">
      <c r="A52" s="41" t="s">
        <v>639</v>
      </c>
      <c r="B52" s="41" t="s">
        <v>709</v>
      </c>
      <c r="C52" s="41" t="s">
        <v>919</v>
      </c>
      <c r="D52" s="41" t="s">
        <v>705</v>
      </c>
      <c r="E52" s="41" t="s">
        <v>692</v>
      </c>
      <c r="F52" s="41" t="s">
        <v>16</v>
      </c>
      <c r="G52" s="41" t="s">
        <v>642</v>
      </c>
      <c r="H52" s="41" t="s">
        <v>18</v>
      </c>
      <c r="I52" s="41" t="s">
        <v>15</v>
      </c>
      <c r="J52" s="41" t="s">
        <v>643</v>
      </c>
      <c r="K52" s="131">
        <v>570000</v>
      </c>
      <c r="L52" s="132" t="s">
        <v>172</v>
      </c>
      <c r="M52" s="41" t="s">
        <v>14</v>
      </c>
    </row>
    <row r="53" spans="1:13">
      <c r="A53" s="41" t="s">
        <v>639</v>
      </c>
      <c r="B53" s="41" t="s">
        <v>710</v>
      </c>
      <c r="C53" s="41" t="s">
        <v>919</v>
      </c>
      <c r="D53" s="41" t="s">
        <v>711</v>
      </c>
      <c r="E53" s="41" t="s">
        <v>25</v>
      </c>
      <c r="F53" s="41" t="s">
        <v>16</v>
      </c>
      <c r="G53" s="41" t="s">
        <v>642</v>
      </c>
      <c r="H53" s="41" t="s">
        <v>18</v>
      </c>
      <c r="I53" s="41" t="s">
        <v>15</v>
      </c>
      <c r="J53" s="41" t="s">
        <v>643</v>
      </c>
      <c r="K53" s="131">
        <v>200000</v>
      </c>
      <c r="L53" s="132" t="s">
        <v>172</v>
      </c>
      <c r="M53" s="41" t="s">
        <v>14</v>
      </c>
    </row>
    <row r="54" spans="1:13">
      <c r="A54" s="41" t="s">
        <v>639</v>
      </c>
      <c r="B54" s="41" t="s">
        <v>712</v>
      </c>
      <c r="C54" s="41" t="s">
        <v>919</v>
      </c>
      <c r="D54" s="41" t="s">
        <v>713</v>
      </c>
      <c r="E54" s="41" t="s">
        <v>714</v>
      </c>
      <c r="F54" s="41" t="s">
        <v>21</v>
      </c>
      <c r="G54" s="41" t="s">
        <v>17</v>
      </c>
      <c r="H54" s="41" t="s">
        <v>18</v>
      </c>
      <c r="I54" s="41" t="s">
        <v>15</v>
      </c>
      <c r="J54" s="41" t="s">
        <v>33</v>
      </c>
      <c r="K54" s="131">
        <v>10750000</v>
      </c>
      <c r="L54" s="132" t="s">
        <v>173</v>
      </c>
      <c r="M54" s="41" t="s">
        <v>14</v>
      </c>
    </row>
    <row r="55" spans="1:13">
      <c r="A55" s="41" t="s">
        <v>639</v>
      </c>
      <c r="B55" s="41" t="s">
        <v>715</v>
      </c>
      <c r="C55" s="41" t="s">
        <v>919</v>
      </c>
      <c r="D55" s="41" t="s">
        <v>716</v>
      </c>
      <c r="E55" s="41" t="s">
        <v>717</v>
      </c>
      <c r="F55" s="41" t="s">
        <v>21</v>
      </c>
      <c r="G55" s="41" t="s">
        <v>17</v>
      </c>
      <c r="H55" s="41" t="s">
        <v>18</v>
      </c>
      <c r="I55" s="41" t="s">
        <v>15</v>
      </c>
      <c r="J55" s="41" t="s">
        <v>33</v>
      </c>
      <c r="K55" s="131">
        <v>3500000</v>
      </c>
      <c r="L55" s="132" t="s">
        <v>173</v>
      </c>
      <c r="M55" s="41" t="s">
        <v>14</v>
      </c>
    </row>
    <row r="56" spans="1:13">
      <c r="A56" s="41" t="s">
        <v>639</v>
      </c>
      <c r="B56" s="41" t="s">
        <v>718</v>
      </c>
      <c r="C56" s="41" t="s">
        <v>919</v>
      </c>
      <c r="D56" s="41" t="s">
        <v>719</v>
      </c>
      <c r="E56" s="41" t="s">
        <v>717</v>
      </c>
      <c r="F56" s="41" t="s">
        <v>21</v>
      </c>
      <c r="G56" s="41" t="s">
        <v>17</v>
      </c>
      <c r="H56" s="41" t="s">
        <v>18</v>
      </c>
      <c r="I56" s="41" t="s">
        <v>15</v>
      </c>
      <c r="J56" s="41" t="s">
        <v>33</v>
      </c>
      <c r="K56" s="131">
        <v>2000000</v>
      </c>
      <c r="L56" s="132" t="s">
        <v>173</v>
      </c>
      <c r="M56" s="41" t="s">
        <v>14</v>
      </c>
    </row>
    <row r="57" spans="1:13">
      <c r="A57" s="41" t="s">
        <v>639</v>
      </c>
      <c r="B57" s="41" t="s">
        <v>720</v>
      </c>
      <c r="C57" s="41" t="s">
        <v>919</v>
      </c>
      <c r="D57" s="41" t="s">
        <v>721</v>
      </c>
      <c r="E57" s="41" t="s">
        <v>165</v>
      </c>
      <c r="F57" s="41" t="s">
        <v>21</v>
      </c>
      <c r="G57" s="41" t="s">
        <v>17</v>
      </c>
      <c r="H57" s="41" t="s">
        <v>18</v>
      </c>
      <c r="I57" s="41" t="s">
        <v>15</v>
      </c>
      <c r="J57" s="41" t="s">
        <v>33</v>
      </c>
      <c r="K57" s="131">
        <v>3000000</v>
      </c>
      <c r="L57" s="132" t="s">
        <v>173</v>
      </c>
      <c r="M57" s="41" t="s">
        <v>14</v>
      </c>
    </row>
    <row r="58" spans="1:13">
      <c r="A58" s="41" t="s">
        <v>639</v>
      </c>
      <c r="B58" s="41" t="s">
        <v>722</v>
      </c>
      <c r="C58" s="41" t="s">
        <v>919</v>
      </c>
      <c r="D58" s="41" t="s">
        <v>723</v>
      </c>
      <c r="E58" s="41" t="s">
        <v>165</v>
      </c>
      <c r="F58" s="41" t="s">
        <v>21</v>
      </c>
      <c r="G58" s="41" t="s">
        <v>17</v>
      </c>
      <c r="H58" s="41" t="s">
        <v>18</v>
      </c>
      <c r="I58" s="41" t="s">
        <v>15</v>
      </c>
      <c r="J58" s="41" t="s">
        <v>33</v>
      </c>
      <c r="K58" s="131">
        <v>1500000</v>
      </c>
      <c r="L58" s="132" t="s">
        <v>173</v>
      </c>
      <c r="M58" s="41" t="s">
        <v>14</v>
      </c>
    </row>
    <row r="59" spans="1:13">
      <c r="A59" s="41" t="s">
        <v>639</v>
      </c>
      <c r="B59" s="41" t="s">
        <v>724</v>
      </c>
      <c r="C59" s="41" t="s">
        <v>919</v>
      </c>
      <c r="D59" s="41" t="s">
        <v>725</v>
      </c>
      <c r="E59" s="41" t="s">
        <v>165</v>
      </c>
      <c r="F59" s="41" t="s">
        <v>21</v>
      </c>
      <c r="G59" s="41" t="s">
        <v>17</v>
      </c>
      <c r="H59" s="41" t="s">
        <v>18</v>
      </c>
      <c r="I59" s="41" t="s">
        <v>15</v>
      </c>
      <c r="J59" s="41" t="s">
        <v>33</v>
      </c>
      <c r="K59" s="131">
        <v>1500000</v>
      </c>
      <c r="L59" s="132" t="s">
        <v>173</v>
      </c>
      <c r="M59" s="41" t="s">
        <v>14</v>
      </c>
    </row>
    <row r="60" spans="1:13">
      <c r="A60" s="41" t="s">
        <v>639</v>
      </c>
      <c r="B60" s="41" t="s">
        <v>726</v>
      </c>
      <c r="C60" s="41" t="s">
        <v>919</v>
      </c>
      <c r="D60" s="41" t="s">
        <v>727</v>
      </c>
      <c r="E60" s="41" t="s">
        <v>165</v>
      </c>
      <c r="F60" s="41" t="s">
        <v>21</v>
      </c>
      <c r="G60" s="41" t="s">
        <v>17</v>
      </c>
      <c r="H60" s="41" t="s">
        <v>18</v>
      </c>
      <c r="I60" s="41" t="s">
        <v>15</v>
      </c>
      <c r="J60" s="41" t="s">
        <v>33</v>
      </c>
      <c r="K60" s="131">
        <v>500000</v>
      </c>
      <c r="L60" s="132" t="s">
        <v>173</v>
      </c>
      <c r="M60" s="41" t="s">
        <v>14</v>
      </c>
    </row>
    <row r="61" spans="1:13">
      <c r="A61" s="41" t="s">
        <v>639</v>
      </c>
      <c r="B61" s="41" t="s">
        <v>728</v>
      </c>
      <c r="C61" s="41" t="s">
        <v>919</v>
      </c>
      <c r="D61" s="41" t="s">
        <v>729</v>
      </c>
      <c r="E61" s="41" t="s">
        <v>165</v>
      </c>
      <c r="F61" s="41" t="s">
        <v>21</v>
      </c>
      <c r="G61" s="41" t="s">
        <v>17</v>
      </c>
      <c r="H61" s="41" t="s">
        <v>18</v>
      </c>
      <c r="I61" s="41" t="s">
        <v>15</v>
      </c>
      <c r="J61" s="41" t="s">
        <v>33</v>
      </c>
      <c r="K61" s="131">
        <v>287000</v>
      </c>
      <c r="L61" s="132" t="s">
        <v>173</v>
      </c>
      <c r="M61" s="41" t="s">
        <v>14</v>
      </c>
    </row>
    <row r="62" spans="1:13">
      <c r="A62" s="41" t="s">
        <v>639</v>
      </c>
      <c r="B62" s="41" t="s">
        <v>730</v>
      </c>
      <c r="C62" s="41" t="s">
        <v>919</v>
      </c>
      <c r="D62" s="41" t="s">
        <v>731</v>
      </c>
      <c r="E62" s="41" t="s">
        <v>714</v>
      </c>
      <c r="F62" s="41" t="s">
        <v>21</v>
      </c>
      <c r="G62" s="41" t="s">
        <v>17</v>
      </c>
      <c r="H62" s="41" t="s">
        <v>18</v>
      </c>
      <c r="I62" s="41" t="s">
        <v>15</v>
      </c>
      <c r="J62" s="41" t="s">
        <v>33</v>
      </c>
      <c r="K62" s="131">
        <v>15275000</v>
      </c>
      <c r="L62" s="132" t="s">
        <v>173</v>
      </c>
      <c r="M62" s="41" t="s">
        <v>14</v>
      </c>
    </row>
    <row r="63" spans="1:13">
      <c r="A63" s="41" t="s">
        <v>639</v>
      </c>
      <c r="B63" s="41" t="s">
        <v>732</v>
      </c>
      <c r="C63" s="41" t="s">
        <v>919</v>
      </c>
      <c r="D63" s="41" t="s">
        <v>733</v>
      </c>
      <c r="E63" s="41" t="s">
        <v>165</v>
      </c>
      <c r="F63" s="41" t="s">
        <v>21</v>
      </c>
      <c r="G63" s="41" t="s">
        <v>17</v>
      </c>
      <c r="H63" s="41" t="s">
        <v>18</v>
      </c>
      <c r="I63" s="41" t="s">
        <v>15</v>
      </c>
      <c r="J63" s="41" t="s">
        <v>33</v>
      </c>
      <c r="K63" s="131">
        <v>1500000</v>
      </c>
      <c r="L63" s="132" t="s">
        <v>173</v>
      </c>
      <c r="M63" s="41" t="s">
        <v>14</v>
      </c>
    </row>
    <row r="64" spans="1:13">
      <c r="A64" s="41" t="s">
        <v>639</v>
      </c>
      <c r="B64" s="41" t="s">
        <v>734</v>
      </c>
      <c r="C64" s="41" t="s">
        <v>919</v>
      </c>
      <c r="D64" s="41" t="s">
        <v>735</v>
      </c>
      <c r="E64" s="41" t="s">
        <v>165</v>
      </c>
      <c r="F64" s="41" t="s">
        <v>21</v>
      </c>
      <c r="G64" s="41" t="s">
        <v>17</v>
      </c>
      <c r="H64" s="41" t="s">
        <v>18</v>
      </c>
      <c r="I64" s="41" t="s">
        <v>15</v>
      </c>
      <c r="J64" s="41" t="s">
        <v>33</v>
      </c>
      <c r="K64" s="131">
        <v>3000000</v>
      </c>
      <c r="L64" s="132" t="s">
        <v>173</v>
      </c>
      <c r="M64" s="41" t="s">
        <v>14</v>
      </c>
    </row>
    <row r="65" spans="1:13">
      <c r="A65" s="41" t="s">
        <v>639</v>
      </c>
      <c r="B65" s="41" t="s">
        <v>736</v>
      </c>
      <c r="C65" s="41" t="s">
        <v>919</v>
      </c>
      <c r="D65" s="41" t="s">
        <v>737</v>
      </c>
      <c r="E65" s="41" t="s">
        <v>20</v>
      </c>
      <c r="F65" s="41" t="s">
        <v>16</v>
      </c>
      <c r="G65" s="41" t="s">
        <v>17</v>
      </c>
      <c r="H65" s="41" t="s">
        <v>18</v>
      </c>
      <c r="I65" s="41" t="s">
        <v>15</v>
      </c>
      <c r="J65" s="41" t="s">
        <v>33</v>
      </c>
      <c r="K65" s="131">
        <v>320000</v>
      </c>
      <c r="L65" s="132" t="s">
        <v>173</v>
      </c>
      <c r="M65" s="41" t="s">
        <v>14</v>
      </c>
    </row>
    <row r="66" spans="1:13">
      <c r="A66" s="41" t="s">
        <v>639</v>
      </c>
      <c r="B66" s="41" t="s">
        <v>738</v>
      </c>
      <c r="C66" s="41" t="s">
        <v>919</v>
      </c>
      <c r="D66" s="41" t="s">
        <v>739</v>
      </c>
      <c r="E66" s="41" t="s">
        <v>32</v>
      </c>
      <c r="F66" s="41" t="s">
        <v>16</v>
      </c>
      <c r="G66" s="41" t="s">
        <v>17</v>
      </c>
      <c r="H66" s="41" t="s">
        <v>18</v>
      </c>
      <c r="I66" s="41" t="s">
        <v>15</v>
      </c>
      <c r="J66" s="41" t="s">
        <v>33</v>
      </c>
      <c r="K66" s="131">
        <v>187000</v>
      </c>
      <c r="L66" s="132" t="s">
        <v>173</v>
      </c>
      <c r="M66" s="41" t="s">
        <v>14</v>
      </c>
    </row>
    <row r="67" spans="1:13">
      <c r="A67" s="41" t="s">
        <v>639</v>
      </c>
      <c r="B67" s="41" t="s">
        <v>740</v>
      </c>
      <c r="C67" s="41" t="s">
        <v>919</v>
      </c>
      <c r="D67" s="41" t="s">
        <v>741</v>
      </c>
      <c r="E67" s="41" t="s">
        <v>663</v>
      </c>
      <c r="F67" s="41" t="s">
        <v>21</v>
      </c>
      <c r="G67" s="41" t="s">
        <v>17</v>
      </c>
      <c r="H67" s="41" t="s">
        <v>26</v>
      </c>
      <c r="I67" s="41" t="s">
        <v>15</v>
      </c>
      <c r="J67" s="41" t="s">
        <v>643</v>
      </c>
      <c r="K67" s="131">
        <v>1280000</v>
      </c>
      <c r="L67" s="132" t="s">
        <v>172</v>
      </c>
      <c r="M67" s="41" t="s">
        <v>14</v>
      </c>
    </row>
    <row r="68" spans="1:13">
      <c r="A68" s="41" t="s">
        <v>639</v>
      </c>
      <c r="B68" s="41" t="s">
        <v>742</v>
      </c>
      <c r="C68" s="41" t="s">
        <v>919</v>
      </c>
      <c r="D68" s="41" t="s">
        <v>743</v>
      </c>
      <c r="E68" s="41" t="s">
        <v>29</v>
      </c>
      <c r="F68" s="41" t="s">
        <v>21</v>
      </c>
      <c r="G68" s="41" t="s">
        <v>17</v>
      </c>
      <c r="H68" s="41" t="s">
        <v>18</v>
      </c>
      <c r="I68" s="41" t="s">
        <v>15</v>
      </c>
      <c r="J68" s="41" t="s">
        <v>174</v>
      </c>
      <c r="K68" s="131">
        <v>162000</v>
      </c>
      <c r="L68" s="132" t="s">
        <v>172</v>
      </c>
      <c r="M68" s="41" t="s">
        <v>14</v>
      </c>
    </row>
    <row r="69" spans="1:13">
      <c r="A69" s="41" t="s">
        <v>639</v>
      </c>
      <c r="B69" s="41" t="s">
        <v>1100</v>
      </c>
      <c r="C69" s="41" t="s">
        <v>919</v>
      </c>
      <c r="D69" s="41" t="s">
        <v>1138</v>
      </c>
      <c r="E69" s="41" t="s">
        <v>1139</v>
      </c>
      <c r="F69" s="41" t="s">
        <v>21</v>
      </c>
      <c r="G69" s="41" t="s">
        <v>17</v>
      </c>
      <c r="H69" s="41" t="s">
        <v>18</v>
      </c>
      <c r="I69" s="41" t="s">
        <v>15</v>
      </c>
      <c r="J69" s="41" t="s">
        <v>33</v>
      </c>
      <c r="K69" s="131">
        <v>2147000</v>
      </c>
      <c r="L69" s="132" t="s">
        <v>173</v>
      </c>
      <c r="M69" s="41" t="s">
        <v>14</v>
      </c>
    </row>
    <row r="70" spans="1:13">
      <c r="A70" s="41" t="s">
        <v>639</v>
      </c>
      <c r="B70" s="41" t="s">
        <v>1101</v>
      </c>
      <c r="C70" s="41" t="s">
        <v>919</v>
      </c>
      <c r="D70" s="41" t="s">
        <v>1140</v>
      </c>
      <c r="E70" s="41" t="s">
        <v>1141</v>
      </c>
      <c r="F70" s="41" t="s">
        <v>21</v>
      </c>
      <c r="G70" s="41" t="s">
        <v>17</v>
      </c>
      <c r="H70" s="41" t="s">
        <v>18</v>
      </c>
      <c r="I70" s="41" t="s">
        <v>15</v>
      </c>
      <c r="J70" s="41" t="s">
        <v>33</v>
      </c>
      <c r="K70" s="131">
        <v>46946567</v>
      </c>
      <c r="L70" s="132" t="s">
        <v>173</v>
      </c>
      <c r="M70" s="41" t="s">
        <v>14</v>
      </c>
    </row>
    <row r="71" spans="1:13">
      <c r="A71" s="41" t="s">
        <v>639</v>
      </c>
      <c r="B71" s="41" t="s">
        <v>1102</v>
      </c>
      <c r="C71" s="41" t="s">
        <v>919</v>
      </c>
      <c r="D71" s="41" t="s">
        <v>1142</v>
      </c>
      <c r="E71" s="41" t="s">
        <v>1143</v>
      </c>
      <c r="F71" s="41" t="s">
        <v>21</v>
      </c>
      <c r="G71" s="41" t="s">
        <v>17</v>
      </c>
      <c r="H71" s="41" t="s">
        <v>18</v>
      </c>
      <c r="I71" s="41" t="s">
        <v>15</v>
      </c>
      <c r="J71" s="41" t="s">
        <v>33</v>
      </c>
      <c r="K71" s="131">
        <v>42500000</v>
      </c>
      <c r="L71" s="132" t="s">
        <v>173</v>
      </c>
      <c r="M71" s="41" t="s">
        <v>14</v>
      </c>
    </row>
    <row r="72" spans="1:13">
      <c r="A72" s="41" t="s">
        <v>639</v>
      </c>
      <c r="B72" s="41" t="s">
        <v>1103</v>
      </c>
      <c r="C72" s="41" t="s">
        <v>919</v>
      </c>
      <c r="D72" s="41" t="s">
        <v>1144</v>
      </c>
      <c r="E72" s="41" t="s">
        <v>1145</v>
      </c>
      <c r="F72" s="41" t="s">
        <v>21</v>
      </c>
      <c r="G72" s="41" t="s">
        <v>17</v>
      </c>
      <c r="H72" s="41" t="s">
        <v>18</v>
      </c>
      <c r="I72" s="41" t="s">
        <v>15</v>
      </c>
      <c r="J72" s="41" t="s">
        <v>33</v>
      </c>
      <c r="K72" s="131">
        <v>35700000</v>
      </c>
      <c r="L72" s="132" t="s">
        <v>173</v>
      </c>
      <c r="M72" s="41" t="s">
        <v>14</v>
      </c>
    </row>
    <row r="73" spans="1:13">
      <c r="A73" s="41" t="s">
        <v>639</v>
      </c>
      <c r="B73" s="41" t="s">
        <v>1104</v>
      </c>
      <c r="C73" s="41" t="s">
        <v>919</v>
      </c>
      <c r="D73" s="41" t="s">
        <v>1146</v>
      </c>
      <c r="E73" s="41" t="s">
        <v>1147</v>
      </c>
      <c r="F73" s="41" t="s">
        <v>21</v>
      </c>
      <c r="G73" s="41" t="s">
        <v>17</v>
      </c>
      <c r="H73" s="41" t="s">
        <v>18</v>
      </c>
      <c r="I73" s="41" t="s">
        <v>15</v>
      </c>
      <c r="J73" s="41" t="s">
        <v>33</v>
      </c>
      <c r="K73" s="131">
        <v>27750000</v>
      </c>
      <c r="L73" s="132" t="s">
        <v>173</v>
      </c>
      <c r="M73" s="41" t="s">
        <v>14</v>
      </c>
    </row>
    <row r="74" spans="1:13">
      <c r="A74" s="41" t="s">
        <v>639</v>
      </c>
      <c r="B74" s="41" t="s">
        <v>1105</v>
      </c>
      <c r="C74" s="41" t="s">
        <v>919</v>
      </c>
      <c r="D74" s="41" t="s">
        <v>1148</v>
      </c>
      <c r="E74" s="41" t="s">
        <v>714</v>
      </c>
      <c r="F74" s="41" t="s">
        <v>21</v>
      </c>
      <c r="G74" s="41" t="s">
        <v>17</v>
      </c>
      <c r="H74" s="41" t="s">
        <v>18</v>
      </c>
      <c r="I74" s="41" t="s">
        <v>15</v>
      </c>
      <c r="J74" s="41" t="s">
        <v>33</v>
      </c>
      <c r="K74" s="131">
        <v>25700000</v>
      </c>
      <c r="L74" s="132" t="s">
        <v>173</v>
      </c>
      <c r="M74" s="41" t="s">
        <v>14</v>
      </c>
    </row>
    <row r="75" spans="1:13">
      <c r="A75" s="41" t="s">
        <v>639</v>
      </c>
      <c r="B75" s="41" t="s">
        <v>2993</v>
      </c>
      <c r="C75" s="41" t="s">
        <v>919</v>
      </c>
      <c r="D75" s="41" t="s">
        <v>2994</v>
      </c>
      <c r="E75" s="41" t="s">
        <v>165</v>
      </c>
      <c r="F75" s="41" t="s">
        <v>21</v>
      </c>
      <c r="G75" s="41" t="s">
        <v>17</v>
      </c>
      <c r="H75" s="41" t="s">
        <v>18</v>
      </c>
      <c r="I75" s="41" t="s">
        <v>15</v>
      </c>
      <c r="J75" s="41" t="s">
        <v>33</v>
      </c>
      <c r="K75" s="131">
        <v>1570000</v>
      </c>
      <c r="L75" s="132" t="s">
        <v>173</v>
      </c>
      <c r="M75" s="41" t="s">
        <v>14</v>
      </c>
    </row>
    <row r="76" spans="1:13">
      <c r="A76" s="41" t="s">
        <v>639</v>
      </c>
      <c r="B76" s="41" t="s">
        <v>2995</v>
      </c>
      <c r="C76" s="41" t="s">
        <v>919</v>
      </c>
      <c r="D76" s="41" t="s">
        <v>2996</v>
      </c>
      <c r="E76" s="41" t="s">
        <v>165</v>
      </c>
      <c r="F76" s="41" t="s">
        <v>21</v>
      </c>
      <c r="G76" s="41" t="s">
        <v>17</v>
      </c>
      <c r="H76" s="41" t="s">
        <v>18</v>
      </c>
      <c r="I76" s="41" t="s">
        <v>15</v>
      </c>
      <c r="J76" s="41" t="s">
        <v>33</v>
      </c>
      <c r="K76" s="131">
        <v>1500000</v>
      </c>
      <c r="L76" s="132" t="s">
        <v>173</v>
      </c>
      <c r="M76" s="41" t="s">
        <v>14</v>
      </c>
    </row>
    <row r="77" spans="1:13">
      <c r="A77" s="41" t="s">
        <v>639</v>
      </c>
      <c r="B77" s="41" t="s">
        <v>2997</v>
      </c>
      <c r="C77" s="41" t="s">
        <v>919</v>
      </c>
      <c r="D77" s="41" t="s">
        <v>2998</v>
      </c>
      <c r="E77" s="41" t="s">
        <v>2999</v>
      </c>
      <c r="F77" s="41" t="s">
        <v>21</v>
      </c>
      <c r="G77" s="41" t="s">
        <v>17</v>
      </c>
      <c r="H77" s="41" t="s">
        <v>18</v>
      </c>
      <c r="I77" s="41" t="s">
        <v>15</v>
      </c>
      <c r="J77" s="41" t="s">
        <v>33</v>
      </c>
      <c r="K77" s="131">
        <v>775000</v>
      </c>
      <c r="L77" s="132" t="s">
        <v>173</v>
      </c>
      <c r="M77" s="41" t="s">
        <v>14</v>
      </c>
    </row>
    <row r="78" spans="1:13">
      <c r="A78" s="41" t="s">
        <v>639</v>
      </c>
      <c r="B78" s="41" t="s">
        <v>744</v>
      </c>
      <c r="C78" s="41" t="s">
        <v>919</v>
      </c>
      <c r="D78" s="41" t="s">
        <v>745</v>
      </c>
      <c r="E78" s="41" t="s">
        <v>3000</v>
      </c>
      <c r="F78" s="41" t="s">
        <v>16</v>
      </c>
      <c r="G78" s="41" t="s">
        <v>642</v>
      </c>
      <c r="H78" s="41" t="s">
        <v>18</v>
      </c>
      <c r="I78" s="41" t="s">
        <v>15</v>
      </c>
      <c r="J78" s="41" t="s">
        <v>33</v>
      </c>
      <c r="K78" s="131">
        <v>3000000</v>
      </c>
      <c r="L78" s="132" t="s">
        <v>173</v>
      </c>
      <c r="M78" s="41" t="s">
        <v>14</v>
      </c>
    </row>
    <row r="79" spans="1:13">
      <c r="A79" s="41" t="s">
        <v>639</v>
      </c>
      <c r="B79" s="41" t="s">
        <v>746</v>
      </c>
      <c r="C79" s="41" t="s">
        <v>919</v>
      </c>
      <c r="D79" s="41" t="s">
        <v>747</v>
      </c>
      <c r="E79" s="41" t="s">
        <v>3000</v>
      </c>
      <c r="F79" s="41" t="s">
        <v>16</v>
      </c>
      <c r="G79" s="41" t="s">
        <v>642</v>
      </c>
      <c r="H79" s="41" t="s">
        <v>18</v>
      </c>
      <c r="I79" s="41" t="s">
        <v>15</v>
      </c>
      <c r="J79" s="41" t="s">
        <v>33</v>
      </c>
      <c r="K79" s="131">
        <v>1500000</v>
      </c>
      <c r="L79" s="132" t="s">
        <v>173</v>
      </c>
      <c r="M79" s="41" t="s">
        <v>14</v>
      </c>
    </row>
    <row r="80" spans="1:13">
      <c r="A80" s="41" t="s">
        <v>639</v>
      </c>
      <c r="B80" s="41" t="s">
        <v>748</v>
      </c>
      <c r="C80" s="41" t="s">
        <v>919</v>
      </c>
      <c r="D80" s="41" t="s">
        <v>749</v>
      </c>
      <c r="E80" s="41" t="s">
        <v>3000</v>
      </c>
      <c r="F80" s="41" t="s">
        <v>16</v>
      </c>
      <c r="G80" s="41" t="s">
        <v>642</v>
      </c>
      <c r="H80" s="41" t="s">
        <v>18</v>
      </c>
      <c r="I80" s="41" t="s">
        <v>15</v>
      </c>
      <c r="J80" s="41" t="s">
        <v>33</v>
      </c>
      <c r="K80" s="131">
        <v>3000000</v>
      </c>
      <c r="L80" s="132" t="s">
        <v>173</v>
      </c>
      <c r="M80" s="41" t="s">
        <v>14</v>
      </c>
    </row>
    <row r="81" spans="1:13">
      <c r="A81" s="41" t="s">
        <v>639</v>
      </c>
      <c r="B81" s="41" t="s">
        <v>750</v>
      </c>
      <c r="C81" s="41" t="s">
        <v>919</v>
      </c>
      <c r="D81" s="41" t="s">
        <v>751</v>
      </c>
      <c r="E81" s="41" t="s">
        <v>3000</v>
      </c>
      <c r="F81" s="41" t="s">
        <v>16</v>
      </c>
      <c r="G81" s="41" t="s">
        <v>642</v>
      </c>
      <c r="H81" s="41" t="s">
        <v>18</v>
      </c>
      <c r="I81" s="41" t="s">
        <v>15</v>
      </c>
      <c r="J81" s="41" t="s">
        <v>33</v>
      </c>
      <c r="K81" s="131">
        <v>3000000</v>
      </c>
      <c r="L81" s="132" t="s">
        <v>173</v>
      </c>
      <c r="M81" s="41" t="s">
        <v>14</v>
      </c>
    </row>
    <row r="82" spans="1:13">
      <c r="A82" s="41" t="s">
        <v>639</v>
      </c>
      <c r="B82" s="41" t="s">
        <v>752</v>
      </c>
      <c r="C82" s="41" t="s">
        <v>919</v>
      </c>
      <c r="D82" s="41" t="s">
        <v>745</v>
      </c>
      <c r="E82" s="41" t="s">
        <v>692</v>
      </c>
      <c r="F82" s="41" t="s">
        <v>16</v>
      </c>
      <c r="G82" s="41" t="s">
        <v>642</v>
      </c>
      <c r="H82" s="41" t="s">
        <v>18</v>
      </c>
      <c r="I82" s="41" t="s">
        <v>15</v>
      </c>
      <c r="J82" s="41" t="s">
        <v>33</v>
      </c>
      <c r="K82" s="131">
        <v>170000</v>
      </c>
      <c r="L82" s="132" t="s">
        <v>173</v>
      </c>
      <c r="M82" s="41" t="s">
        <v>14</v>
      </c>
    </row>
    <row r="83" spans="1:13">
      <c r="A83" s="41" t="s">
        <v>639</v>
      </c>
      <c r="B83" s="41" t="s">
        <v>753</v>
      </c>
      <c r="C83" s="41" t="s">
        <v>919</v>
      </c>
      <c r="D83" s="41" t="s">
        <v>747</v>
      </c>
      <c r="E83" s="41" t="s">
        <v>692</v>
      </c>
      <c r="F83" s="41" t="s">
        <v>16</v>
      </c>
      <c r="G83" s="41" t="s">
        <v>642</v>
      </c>
      <c r="H83" s="41" t="s">
        <v>18</v>
      </c>
      <c r="I83" s="41" t="s">
        <v>15</v>
      </c>
      <c r="J83" s="41" t="s">
        <v>33</v>
      </c>
      <c r="K83" s="131">
        <v>170000</v>
      </c>
      <c r="L83" s="132" t="s">
        <v>173</v>
      </c>
      <c r="M83" s="41" t="s">
        <v>14</v>
      </c>
    </row>
    <row r="84" spans="1:13">
      <c r="A84" s="41" t="s">
        <v>639</v>
      </c>
      <c r="B84" s="41" t="s">
        <v>754</v>
      </c>
      <c r="C84" s="41" t="s">
        <v>919</v>
      </c>
      <c r="D84" s="41" t="s">
        <v>749</v>
      </c>
      <c r="E84" s="41" t="s">
        <v>692</v>
      </c>
      <c r="F84" s="41" t="s">
        <v>16</v>
      </c>
      <c r="G84" s="41" t="s">
        <v>642</v>
      </c>
      <c r="H84" s="41" t="s">
        <v>18</v>
      </c>
      <c r="I84" s="41" t="s">
        <v>15</v>
      </c>
      <c r="J84" s="41" t="s">
        <v>33</v>
      </c>
      <c r="K84" s="131">
        <v>170000</v>
      </c>
      <c r="L84" s="132" t="s">
        <v>173</v>
      </c>
      <c r="M84" s="41" t="s">
        <v>14</v>
      </c>
    </row>
    <row r="85" spans="1:13">
      <c r="A85" s="41" t="s">
        <v>639</v>
      </c>
      <c r="B85" s="41" t="s">
        <v>755</v>
      </c>
      <c r="C85" s="41" t="s">
        <v>919</v>
      </c>
      <c r="D85" s="41" t="s">
        <v>751</v>
      </c>
      <c r="E85" s="41" t="s">
        <v>692</v>
      </c>
      <c r="F85" s="41" t="s">
        <v>16</v>
      </c>
      <c r="G85" s="41" t="s">
        <v>642</v>
      </c>
      <c r="H85" s="41" t="s">
        <v>18</v>
      </c>
      <c r="I85" s="41" t="s">
        <v>15</v>
      </c>
      <c r="J85" s="41" t="s">
        <v>33</v>
      </c>
      <c r="K85" s="131">
        <v>170000</v>
      </c>
      <c r="L85" s="132" t="s">
        <v>173</v>
      </c>
      <c r="M85" s="41" t="s">
        <v>14</v>
      </c>
    </row>
    <row r="86" spans="1:13">
      <c r="A86" s="41" t="s">
        <v>639</v>
      </c>
      <c r="B86" s="41" t="s">
        <v>756</v>
      </c>
      <c r="C86" s="41" t="s">
        <v>919</v>
      </c>
      <c r="D86" s="41" t="s">
        <v>757</v>
      </c>
      <c r="E86" s="41" t="s">
        <v>25</v>
      </c>
      <c r="F86" s="41" t="s">
        <v>16</v>
      </c>
      <c r="G86" s="41" t="s">
        <v>642</v>
      </c>
      <c r="H86" s="41" t="s">
        <v>18</v>
      </c>
      <c r="I86" s="41" t="s">
        <v>15</v>
      </c>
      <c r="J86" s="41" t="s">
        <v>33</v>
      </c>
      <c r="K86" s="131">
        <v>200000</v>
      </c>
      <c r="L86" s="132" t="s">
        <v>173</v>
      </c>
      <c r="M86" s="41" t="s">
        <v>14</v>
      </c>
    </row>
    <row r="87" spans="1:13">
      <c r="A87" s="41" t="s">
        <v>639</v>
      </c>
      <c r="B87" s="41" t="s">
        <v>1290</v>
      </c>
      <c r="C87" s="41" t="s">
        <v>919</v>
      </c>
      <c r="D87" s="41" t="s">
        <v>1291</v>
      </c>
      <c r="E87" s="41" t="s">
        <v>1292</v>
      </c>
      <c r="F87" s="41" t="s">
        <v>21</v>
      </c>
      <c r="G87" s="41" t="s">
        <v>642</v>
      </c>
      <c r="H87" s="41" t="s">
        <v>18</v>
      </c>
      <c r="I87" s="41" t="s">
        <v>15</v>
      </c>
      <c r="J87" s="41" t="s">
        <v>33</v>
      </c>
      <c r="K87" s="131">
        <v>270000</v>
      </c>
      <c r="L87" s="132" t="s">
        <v>173</v>
      </c>
      <c r="M87" s="41" t="s">
        <v>14</v>
      </c>
    </row>
    <row r="88" spans="1:13">
      <c r="A88" s="41" t="s">
        <v>639</v>
      </c>
      <c r="B88" s="41" t="s">
        <v>1293</v>
      </c>
      <c r="C88" s="41" t="s">
        <v>919</v>
      </c>
      <c r="D88" s="41" t="s">
        <v>1294</v>
      </c>
      <c r="E88" s="41" t="s">
        <v>1295</v>
      </c>
      <c r="F88" s="41" t="s">
        <v>21</v>
      </c>
      <c r="G88" s="41" t="s">
        <v>642</v>
      </c>
      <c r="H88" s="41" t="s">
        <v>18</v>
      </c>
      <c r="I88" s="41" t="s">
        <v>15</v>
      </c>
      <c r="J88" s="41" t="s">
        <v>33</v>
      </c>
      <c r="K88" s="131">
        <v>2750000</v>
      </c>
      <c r="L88" s="132" t="s">
        <v>173</v>
      </c>
      <c r="M88" s="41" t="s">
        <v>14</v>
      </c>
    </row>
    <row r="89" spans="1:13">
      <c r="A89" s="41" t="s">
        <v>639</v>
      </c>
      <c r="B89" s="41" t="s">
        <v>1296</v>
      </c>
      <c r="C89" s="41" t="s">
        <v>919</v>
      </c>
      <c r="D89" s="41" t="s">
        <v>1297</v>
      </c>
      <c r="E89" s="41" t="s">
        <v>1298</v>
      </c>
      <c r="F89" s="41" t="s">
        <v>21</v>
      </c>
      <c r="G89" s="41" t="s">
        <v>642</v>
      </c>
      <c r="H89" s="41" t="s">
        <v>18</v>
      </c>
      <c r="I89" s="41" t="s">
        <v>15</v>
      </c>
      <c r="J89" s="41" t="s">
        <v>33</v>
      </c>
      <c r="K89" s="131">
        <v>5520000</v>
      </c>
      <c r="L89" s="132" t="s">
        <v>173</v>
      </c>
      <c r="M89" s="41" t="s">
        <v>14</v>
      </c>
    </row>
    <row r="90" spans="1:13">
      <c r="A90" s="41" t="s">
        <v>639</v>
      </c>
      <c r="B90" s="41" t="s">
        <v>1299</v>
      </c>
      <c r="C90" s="41" t="s">
        <v>919</v>
      </c>
      <c r="D90" s="41" t="s">
        <v>1300</v>
      </c>
      <c r="E90" s="41" t="s">
        <v>1301</v>
      </c>
      <c r="F90" s="41" t="s">
        <v>21</v>
      </c>
      <c r="G90" s="41" t="s">
        <v>642</v>
      </c>
      <c r="H90" s="41" t="s">
        <v>18</v>
      </c>
      <c r="I90" s="41" t="s">
        <v>15</v>
      </c>
      <c r="J90" s="41" t="s">
        <v>33</v>
      </c>
      <c r="K90" s="131">
        <v>9752000</v>
      </c>
      <c r="L90" s="132" t="s">
        <v>173</v>
      </c>
      <c r="M90" s="41" t="s">
        <v>14</v>
      </c>
    </row>
    <row r="91" spans="1:13">
      <c r="A91" s="41" t="s">
        <v>639</v>
      </c>
      <c r="B91" s="41" t="s">
        <v>1302</v>
      </c>
      <c r="C91" s="41" t="s">
        <v>919</v>
      </c>
      <c r="D91" s="41" t="s">
        <v>1303</v>
      </c>
      <c r="E91" s="41" t="s">
        <v>1304</v>
      </c>
      <c r="F91" s="41" t="s">
        <v>21</v>
      </c>
      <c r="G91" s="41" t="s">
        <v>642</v>
      </c>
      <c r="H91" s="41" t="s">
        <v>18</v>
      </c>
      <c r="I91" s="41" t="s">
        <v>15</v>
      </c>
      <c r="J91" s="41" t="s">
        <v>33</v>
      </c>
      <c r="K91" s="131">
        <v>102500</v>
      </c>
      <c r="L91" s="132" t="s">
        <v>173</v>
      </c>
      <c r="M91" s="41" t="s">
        <v>14</v>
      </c>
    </row>
    <row r="92" spans="1:13">
      <c r="A92" s="41" t="s">
        <v>639</v>
      </c>
      <c r="B92" s="41" t="s">
        <v>1305</v>
      </c>
      <c r="C92" s="41" t="s">
        <v>919</v>
      </c>
      <c r="D92" s="41" t="s">
        <v>1306</v>
      </c>
      <c r="E92" s="41" t="s">
        <v>1307</v>
      </c>
      <c r="F92" s="41" t="s">
        <v>21</v>
      </c>
      <c r="G92" s="41" t="s">
        <v>642</v>
      </c>
      <c r="H92" s="41" t="s">
        <v>18</v>
      </c>
      <c r="I92" s="41" t="s">
        <v>15</v>
      </c>
      <c r="J92" s="41" t="s">
        <v>33</v>
      </c>
      <c r="K92" s="131">
        <v>131200</v>
      </c>
      <c r="L92" s="132" t="s">
        <v>173</v>
      </c>
      <c r="M92" s="41" t="s">
        <v>14</v>
      </c>
    </row>
    <row r="93" spans="1:13">
      <c r="A93" s="41" t="s">
        <v>639</v>
      </c>
      <c r="B93" s="41" t="s">
        <v>1308</v>
      </c>
      <c r="C93" s="41" t="s">
        <v>919</v>
      </c>
      <c r="D93" s="41" t="s">
        <v>1309</v>
      </c>
      <c r="E93" s="41" t="s">
        <v>1310</v>
      </c>
      <c r="F93" s="41" t="s">
        <v>21</v>
      </c>
      <c r="G93" s="41" t="s">
        <v>642</v>
      </c>
      <c r="H93" s="41" t="s">
        <v>18</v>
      </c>
      <c r="I93" s="41" t="s">
        <v>15</v>
      </c>
      <c r="J93" s="41" t="s">
        <v>33</v>
      </c>
      <c r="K93" s="131">
        <v>164000</v>
      </c>
      <c r="L93" s="132" t="s">
        <v>173</v>
      </c>
      <c r="M93" s="41" t="s">
        <v>14</v>
      </c>
    </row>
    <row r="94" spans="1:13">
      <c r="A94" s="41" t="s">
        <v>639</v>
      </c>
      <c r="B94" s="41" t="s">
        <v>1106</v>
      </c>
      <c r="C94" s="41" t="s">
        <v>919</v>
      </c>
      <c r="D94" s="41" t="s">
        <v>1149</v>
      </c>
      <c r="E94" s="41" t="s">
        <v>1125</v>
      </c>
      <c r="F94" s="41" t="s">
        <v>21</v>
      </c>
      <c r="G94" s="41" t="s">
        <v>642</v>
      </c>
      <c r="H94" s="41" t="s">
        <v>18</v>
      </c>
      <c r="I94" s="41" t="s">
        <v>15</v>
      </c>
      <c r="J94" s="41" t="s">
        <v>643</v>
      </c>
      <c r="K94" s="131">
        <v>903265216</v>
      </c>
      <c r="L94" s="132" t="s">
        <v>172</v>
      </c>
      <c r="M94" s="41" t="s">
        <v>14</v>
      </c>
    </row>
    <row r="95" spans="1:13">
      <c r="A95" s="41" t="s">
        <v>639</v>
      </c>
      <c r="B95" s="41" t="s">
        <v>1107</v>
      </c>
      <c r="C95" s="41" t="s">
        <v>919</v>
      </c>
      <c r="D95" s="41" t="s">
        <v>1150</v>
      </c>
      <c r="E95" s="41" t="s">
        <v>1127</v>
      </c>
      <c r="F95" s="41" t="s">
        <v>21</v>
      </c>
      <c r="G95" s="41" t="s">
        <v>642</v>
      </c>
      <c r="H95" s="41" t="s">
        <v>18</v>
      </c>
      <c r="I95" s="41" t="s">
        <v>15</v>
      </c>
      <c r="J95" s="41" t="s">
        <v>643</v>
      </c>
      <c r="K95" s="131">
        <v>767775434</v>
      </c>
      <c r="L95" s="132" t="s">
        <v>172</v>
      </c>
      <c r="M95" s="41" t="s">
        <v>14</v>
      </c>
    </row>
    <row r="96" spans="1:13">
      <c r="A96" s="41" t="s">
        <v>639</v>
      </c>
      <c r="B96" s="41" t="s">
        <v>1108</v>
      </c>
      <c r="C96" s="41" t="s">
        <v>919</v>
      </c>
      <c r="D96" s="41" t="s">
        <v>1151</v>
      </c>
      <c r="E96" s="41" t="s">
        <v>34</v>
      </c>
      <c r="F96" s="41" t="s">
        <v>21</v>
      </c>
      <c r="G96" s="41" t="s">
        <v>642</v>
      </c>
      <c r="H96" s="41" t="s">
        <v>18</v>
      </c>
      <c r="I96" s="41" t="s">
        <v>15</v>
      </c>
      <c r="J96" s="41" t="s">
        <v>643</v>
      </c>
      <c r="K96" s="131">
        <v>652609119</v>
      </c>
      <c r="L96" s="132" t="s">
        <v>172</v>
      </c>
      <c r="M96" s="41" t="s">
        <v>14</v>
      </c>
    </row>
    <row r="97" spans="1:13">
      <c r="A97" s="41" t="s">
        <v>639</v>
      </c>
      <c r="B97" s="41" t="s">
        <v>1109</v>
      </c>
      <c r="C97" s="41" t="s">
        <v>919</v>
      </c>
      <c r="D97" s="41" t="s">
        <v>1152</v>
      </c>
      <c r="E97" s="41" t="s">
        <v>1130</v>
      </c>
      <c r="F97" s="41" t="s">
        <v>21</v>
      </c>
      <c r="G97" s="41" t="s">
        <v>642</v>
      </c>
      <c r="H97" s="41" t="s">
        <v>18</v>
      </c>
      <c r="I97" s="41" t="s">
        <v>15</v>
      </c>
      <c r="J97" s="41" t="s">
        <v>643</v>
      </c>
      <c r="K97" s="131">
        <v>554717751</v>
      </c>
      <c r="L97" s="132" t="s">
        <v>172</v>
      </c>
      <c r="M97" s="41" t="s">
        <v>14</v>
      </c>
    </row>
    <row r="98" spans="1:13">
      <c r="A98" s="41" t="s">
        <v>639</v>
      </c>
      <c r="B98" s="41" t="s">
        <v>1110</v>
      </c>
      <c r="C98" s="41" t="s">
        <v>919</v>
      </c>
      <c r="D98" s="41" t="s">
        <v>1153</v>
      </c>
      <c r="E98" s="41" t="s">
        <v>30</v>
      </c>
      <c r="F98" s="41" t="s">
        <v>21</v>
      </c>
      <c r="G98" s="41" t="s">
        <v>642</v>
      </c>
      <c r="H98" s="41" t="s">
        <v>18</v>
      </c>
      <c r="I98" s="41" t="s">
        <v>15</v>
      </c>
      <c r="J98" s="41" t="s">
        <v>643</v>
      </c>
      <c r="K98" s="131">
        <v>399396781</v>
      </c>
      <c r="L98" s="132" t="s">
        <v>172</v>
      </c>
      <c r="M98" s="41" t="s">
        <v>14</v>
      </c>
    </row>
    <row r="99" spans="1:13">
      <c r="A99" s="41" t="s">
        <v>639</v>
      </c>
      <c r="B99" s="41" t="s">
        <v>89</v>
      </c>
      <c r="C99" s="41" t="s">
        <v>919</v>
      </c>
      <c r="D99" s="41" t="s">
        <v>90</v>
      </c>
      <c r="E99" s="41" t="s">
        <v>91</v>
      </c>
      <c r="F99" s="41" t="s">
        <v>21</v>
      </c>
      <c r="G99" s="41" t="s">
        <v>70</v>
      </c>
      <c r="H99" s="41" t="s">
        <v>26</v>
      </c>
      <c r="I99" s="41" t="s">
        <v>166</v>
      </c>
      <c r="J99" s="41" t="s">
        <v>174</v>
      </c>
      <c r="K99" s="131">
        <v>620700</v>
      </c>
      <c r="L99" s="132" t="s">
        <v>172</v>
      </c>
      <c r="M99" s="41" t="s">
        <v>14</v>
      </c>
    </row>
    <row r="100" spans="1:13">
      <c r="A100" s="41" t="s">
        <v>639</v>
      </c>
      <c r="B100" s="41" t="s">
        <v>92</v>
      </c>
      <c r="C100" s="41" t="s">
        <v>919</v>
      </c>
      <c r="D100" s="41" t="s">
        <v>90</v>
      </c>
      <c r="E100" s="41" t="s">
        <v>91</v>
      </c>
      <c r="F100" s="41" t="s">
        <v>21</v>
      </c>
      <c r="G100" s="41" t="s">
        <v>70</v>
      </c>
      <c r="H100" s="41" t="s">
        <v>42</v>
      </c>
      <c r="I100" s="41" t="s">
        <v>166</v>
      </c>
      <c r="J100" s="41" t="s">
        <v>174</v>
      </c>
      <c r="K100" s="131">
        <v>650700</v>
      </c>
      <c r="L100" s="132" t="s">
        <v>172</v>
      </c>
      <c r="M100" s="41" t="s">
        <v>14</v>
      </c>
    </row>
    <row r="101" spans="1:13">
      <c r="A101" s="41" t="s">
        <v>639</v>
      </c>
      <c r="B101" s="41" t="s">
        <v>93</v>
      </c>
      <c r="C101" s="41" t="s">
        <v>919</v>
      </c>
      <c r="D101" s="41" t="s">
        <v>90</v>
      </c>
      <c r="E101" s="41" t="s">
        <v>91</v>
      </c>
      <c r="F101" s="41" t="s">
        <v>21</v>
      </c>
      <c r="G101" s="41" t="s">
        <v>74</v>
      </c>
      <c r="H101" s="41" t="s">
        <v>26</v>
      </c>
      <c r="I101" s="41" t="s">
        <v>166</v>
      </c>
      <c r="J101" s="41" t="s">
        <v>174</v>
      </c>
      <c r="K101" s="131">
        <v>620700</v>
      </c>
      <c r="L101" s="132" t="s">
        <v>172</v>
      </c>
      <c r="M101" s="41" t="s">
        <v>14</v>
      </c>
    </row>
    <row r="102" spans="1:13">
      <c r="A102" s="41" t="s">
        <v>639</v>
      </c>
      <c r="B102" s="41" t="s">
        <v>94</v>
      </c>
      <c r="C102" s="41" t="s">
        <v>919</v>
      </c>
      <c r="D102" s="41" t="s">
        <v>90</v>
      </c>
      <c r="E102" s="41" t="s">
        <v>91</v>
      </c>
      <c r="F102" s="41" t="s">
        <v>21</v>
      </c>
      <c r="G102" s="41" t="s">
        <v>74</v>
      </c>
      <c r="H102" s="41" t="s">
        <v>42</v>
      </c>
      <c r="I102" s="41" t="s">
        <v>166</v>
      </c>
      <c r="J102" s="41" t="s">
        <v>174</v>
      </c>
      <c r="K102" s="131">
        <v>650700</v>
      </c>
      <c r="L102" s="132" t="s">
        <v>172</v>
      </c>
      <c r="M102" s="41" t="s">
        <v>14</v>
      </c>
    </row>
    <row r="103" spans="1:13">
      <c r="A103" s="41" t="s">
        <v>639</v>
      </c>
      <c r="B103" s="41" t="s">
        <v>95</v>
      </c>
      <c r="C103" s="41" t="s">
        <v>919</v>
      </c>
      <c r="D103" s="41" t="s">
        <v>90</v>
      </c>
      <c r="E103" s="41" t="s">
        <v>91</v>
      </c>
      <c r="F103" s="41" t="s">
        <v>21</v>
      </c>
      <c r="G103" s="41" t="s">
        <v>72</v>
      </c>
      <c r="H103" s="41" t="s">
        <v>26</v>
      </c>
      <c r="I103" s="41" t="s">
        <v>166</v>
      </c>
      <c r="J103" s="41" t="s">
        <v>174</v>
      </c>
      <c r="K103" s="131">
        <v>620700</v>
      </c>
      <c r="L103" s="132" t="s">
        <v>172</v>
      </c>
      <c r="M103" s="41" t="s">
        <v>14</v>
      </c>
    </row>
    <row r="104" spans="1:13">
      <c r="A104" s="41" t="s">
        <v>639</v>
      </c>
      <c r="B104" s="41" t="s">
        <v>96</v>
      </c>
      <c r="C104" s="41" t="s">
        <v>919</v>
      </c>
      <c r="D104" s="41" t="s">
        <v>90</v>
      </c>
      <c r="E104" s="41" t="s">
        <v>91</v>
      </c>
      <c r="F104" s="41" t="s">
        <v>21</v>
      </c>
      <c r="G104" s="41" t="s">
        <v>72</v>
      </c>
      <c r="H104" s="41" t="s">
        <v>42</v>
      </c>
      <c r="I104" s="41" t="s">
        <v>166</v>
      </c>
      <c r="J104" s="41" t="s">
        <v>174</v>
      </c>
      <c r="K104" s="131">
        <v>1152000</v>
      </c>
      <c r="L104" s="132" t="s">
        <v>172</v>
      </c>
      <c r="M104" s="41" t="s">
        <v>14</v>
      </c>
    </row>
    <row r="105" spans="1:13">
      <c r="A105" s="41" t="s">
        <v>639</v>
      </c>
      <c r="B105" s="41" t="s">
        <v>97</v>
      </c>
      <c r="C105" s="41" t="s">
        <v>919</v>
      </c>
      <c r="D105" s="41" t="s">
        <v>98</v>
      </c>
      <c r="E105" s="41" t="s">
        <v>99</v>
      </c>
      <c r="F105" s="41" t="s">
        <v>21</v>
      </c>
      <c r="G105" s="41" t="s">
        <v>70</v>
      </c>
      <c r="H105" s="41" t="s">
        <v>26</v>
      </c>
      <c r="I105" s="41" t="s">
        <v>166</v>
      </c>
      <c r="J105" s="41" t="s">
        <v>174</v>
      </c>
      <c r="K105" s="131">
        <v>705000</v>
      </c>
      <c r="L105" s="132" t="s">
        <v>172</v>
      </c>
      <c r="M105" s="41" t="s">
        <v>14</v>
      </c>
    </row>
    <row r="106" spans="1:13">
      <c r="A106" s="41" t="s">
        <v>639</v>
      </c>
      <c r="B106" s="41" t="s">
        <v>100</v>
      </c>
      <c r="C106" s="41" t="s">
        <v>919</v>
      </c>
      <c r="D106" s="41" t="s">
        <v>98</v>
      </c>
      <c r="E106" s="41" t="s">
        <v>99</v>
      </c>
      <c r="F106" s="41" t="s">
        <v>21</v>
      </c>
      <c r="G106" s="41" t="s">
        <v>70</v>
      </c>
      <c r="H106" s="41" t="s">
        <v>42</v>
      </c>
      <c r="I106" s="41" t="s">
        <v>166</v>
      </c>
      <c r="J106" s="41" t="s">
        <v>174</v>
      </c>
      <c r="K106" s="131">
        <v>1415000</v>
      </c>
      <c r="L106" s="132" t="s">
        <v>172</v>
      </c>
      <c r="M106" s="41" t="s">
        <v>14</v>
      </c>
    </row>
    <row r="107" spans="1:13">
      <c r="A107" s="41" t="s">
        <v>639</v>
      </c>
      <c r="B107" s="41" t="s">
        <v>101</v>
      </c>
      <c r="C107" s="41" t="s">
        <v>919</v>
      </c>
      <c r="D107" s="41" t="s">
        <v>98</v>
      </c>
      <c r="E107" s="41" t="s">
        <v>99</v>
      </c>
      <c r="F107" s="41" t="s">
        <v>21</v>
      </c>
      <c r="G107" s="41" t="s">
        <v>74</v>
      </c>
      <c r="H107" s="41" t="s">
        <v>26</v>
      </c>
      <c r="I107" s="41" t="s">
        <v>166</v>
      </c>
      <c r="J107" s="41" t="s">
        <v>174</v>
      </c>
      <c r="K107" s="131">
        <v>705000</v>
      </c>
      <c r="L107" s="132" t="s">
        <v>172</v>
      </c>
      <c r="M107" s="41" t="s">
        <v>14</v>
      </c>
    </row>
    <row r="108" spans="1:13">
      <c r="A108" s="41" t="s">
        <v>639</v>
      </c>
      <c r="B108" s="41" t="s">
        <v>102</v>
      </c>
      <c r="C108" s="41" t="s">
        <v>919</v>
      </c>
      <c r="D108" s="41" t="s">
        <v>98</v>
      </c>
      <c r="E108" s="41" t="s">
        <v>99</v>
      </c>
      <c r="F108" s="41" t="s">
        <v>21</v>
      </c>
      <c r="G108" s="41" t="s">
        <v>74</v>
      </c>
      <c r="H108" s="41" t="s">
        <v>42</v>
      </c>
      <c r="I108" s="41" t="s">
        <v>166</v>
      </c>
      <c r="J108" s="41" t="s">
        <v>174</v>
      </c>
      <c r="K108" s="131">
        <v>1024000</v>
      </c>
      <c r="L108" s="132" t="s">
        <v>172</v>
      </c>
      <c r="M108" s="41" t="s">
        <v>14</v>
      </c>
    </row>
    <row r="109" spans="1:13">
      <c r="A109" s="41" t="s">
        <v>639</v>
      </c>
      <c r="B109" s="41" t="s">
        <v>103</v>
      </c>
      <c r="C109" s="41" t="s">
        <v>919</v>
      </c>
      <c r="D109" s="41" t="s">
        <v>98</v>
      </c>
      <c r="E109" s="41" t="s">
        <v>99</v>
      </c>
      <c r="F109" s="41" t="s">
        <v>21</v>
      </c>
      <c r="G109" s="41" t="s">
        <v>72</v>
      </c>
      <c r="H109" s="41" t="s">
        <v>26</v>
      </c>
      <c r="I109" s="41" t="s">
        <v>166</v>
      </c>
      <c r="J109" s="41" t="s">
        <v>174</v>
      </c>
      <c r="K109" s="131">
        <v>705000</v>
      </c>
      <c r="L109" s="132" t="s">
        <v>172</v>
      </c>
      <c r="M109" s="41" t="s">
        <v>14</v>
      </c>
    </row>
    <row r="110" spans="1:13">
      <c r="A110" s="41" t="s">
        <v>639</v>
      </c>
      <c r="B110" s="41" t="s">
        <v>104</v>
      </c>
      <c r="C110" s="41" t="s">
        <v>919</v>
      </c>
      <c r="D110" s="41" t="s">
        <v>98</v>
      </c>
      <c r="E110" s="41" t="s">
        <v>99</v>
      </c>
      <c r="F110" s="41" t="s">
        <v>21</v>
      </c>
      <c r="G110" s="41" t="s">
        <v>72</v>
      </c>
      <c r="H110" s="41" t="s">
        <v>42</v>
      </c>
      <c r="I110" s="41" t="s">
        <v>166</v>
      </c>
      <c r="J110" s="41" t="s">
        <v>174</v>
      </c>
      <c r="K110" s="131">
        <v>1152000</v>
      </c>
      <c r="L110" s="132" t="s">
        <v>172</v>
      </c>
      <c r="M110" s="41" t="s">
        <v>14</v>
      </c>
    </row>
    <row r="111" spans="1:13">
      <c r="A111" s="41" t="s">
        <v>639</v>
      </c>
      <c r="B111" s="41" t="s">
        <v>105</v>
      </c>
      <c r="C111" s="41" t="s">
        <v>919</v>
      </c>
      <c r="D111" s="41" t="s">
        <v>106</v>
      </c>
      <c r="E111" s="41" t="s">
        <v>91</v>
      </c>
      <c r="F111" s="41" t="s">
        <v>21</v>
      </c>
      <c r="G111" s="41" t="s">
        <v>70</v>
      </c>
      <c r="H111" s="41" t="s">
        <v>26</v>
      </c>
      <c r="I111" s="41" t="s">
        <v>166</v>
      </c>
      <c r="J111" s="41" t="s">
        <v>174</v>
      </c>
      <c r="K111" s="131">
        <v>620700</v>
      </c>
      <c r="L111" s="132" t="s">
        <v>172</v>
      </c>
      <c r="M111" s="41" t="s">
        <v>14</v>
      </c>
    </row>
    <row r="112" spans="1:13">
      <c r="A112" s="41" t="s">
        <v>639</v>
      </c>
      <c r="B112" s="41" t="s">
        <v>107</v>
      </c>
      <c r="C112" s="41" t="s">
        <v>919</v>
      </c>
      <c r="D112" s="41" t="s">
        <v>106</v>
      </c>
      <c r="E112" s="41" t="s">
        <v>91</v>
      </c>
      <c r="F112" s="41" t="s">
        <v>21</v>
      </c>
      <c r="G112" s="41" t="s">
        <v>70</v>
      </c>
      <c r="H112" s="41" t="s">
        <v>42</v>
      </c>
      <c r="I112" s="41" t="s">
        <v>166</v>
      </c>
      <c r="J112" s="41" t="s">
        <v>174</v>
      </c>
      <c r="K112" s="131">
        <v>650700</v>
      </c>
      <c r="L112" s="132" t="s">
        <v>172</v>
      </c>
      <c r="M112" s="41" t="s">
        <v>14</v>
      </c>
    </row>
    <row r="113" spans="1:13">
      <c r="A113" s="41" t="s">
        <v>639</v>
      </c>
      <c r="B113" s="41" t="s">
        <v>108</v>
      </c>
      <c r="C113" s="41" t="s">
        <v>919</v>
      </c>
      <c r="D113" s="41" t="s">
        <v>106</v>
      </c>
      <c r="E113" s="41" t="s">
        <v>91</v>
      </c>
      <c r="F113" s="41" t="s">
        <v>21</v>
      </c>
      <c r="G113" s="41" t="s">
        <v>74</v>
      </c>
      <c r="H113" s="41" t="s">
        <v>26</v>
      </c>
      <c r="I113" s="41" t="s">
        <v>166</v>
      </c>
      <c r="J113" s="41" t="s">
        <v>174</v>
      </c>
      <c r="K113" s="131">
        <v>620700</v>
      </c>
      <c r="L113" s="132" t="s">
        <v>172</v>
      </c>
      <c r="M113" s="41" t="s">
        <v>14</v>
      </c>
    </row>
    <row r="114" spans="1:13">
      <c r="A114" s="41" t="s">
        <v>639</v>
      </c>
      <c r="B114" s="41" t="s">
        <v>109</v>
      </c>
      <c r="C114" s="41" t="s">
        <v>919</v>
      </c>
      <c r="D114" s="41" t="s">
        <v>106</v>
      </c>
      <c r="E114" s="41" t="s">
        <v>91</v>
      </c>
      <c r="F114" s="41" t="s">
        <v>21</v>
      </c>
      <c r="G114" s="41" t="s">
        <v>74</v>
      </c>
      <c r="H114" s="41" t="s">
        <v>42</v>
      </c>
      <c r="I114" s="41" t="s">
        <v>166</v>
      </c>
      <c r="J114" s="41" t="s">
        <v>174</v>
      </c>
      <c r="K114" s="131">
        <v>650700</v>
      </c>
      <c r="L114" s="132" t="s">
        <v>172</v>
      </c>
      <c r="M114" s="41" t="s">
        <v>14</v>
      </c>
    </row>
    <row r="115" spans="1:13">
      <c r="A115" s="41" t="s">
        <v>639</v>
      </c>
      <c r="B115" s="41" t="s">
        <v>110</v>
      </c>
      <c r="C115" s="41" t="s">
        <v>919</v>
      </c>
      <c r="D115" s="41" t="s">
        <v>106</v>
      </c>
      <c r="E115" s="41" t="s">
        <v>91</v>
      </c>
      <c r="F115" s="41" t="s">
        <v>21</v>
      </c>
      <c r="G115" s="41" t="s">
        <v>72</v>
      </c>
      <c r="H115" s="41" t="s">
        <v>26</v>
      </c>
      <c r="I115" s="41" t="s">
        <v>166</v>
      </c>
      <c r="J115" s="41" t="s">
        <v>174</v>
      </c>
      <c r="K115" s="131">
        <v>620700</v>
      </c>
      <c r="L115" s="132" t="s">
        <v>172</v>
      </c>
      <c r="M115" s="41" t="s">
        <v>14</v>
      </c>
    </row>
    <row r="116" spans="1:13">
      <c r="A116" s="41" t="s">
        <v>639</v>
      </c>
      <c r="B116" s="41" t="s">
        <v>111</v>
      </c>
      <c r="C116" s="41" t="s">
        <v>919</v>
      </c>
      <c r="D116" s="41" t="s">
        <v>106</v>
      </c>
      <c r="E116" s="41" t="s">
        <v>91</v>
      </c>
      <c r="F116" s="41" t="s">
        <v>21</v>
      </c>
      <c r="G116" s="41" t="s">
        <v>72</v>
      </c>
      <c r="H116" s="41" t="s">
        <v>42</v>
      </c>
      <c r="I116" s="41" t="s">
        <v>166</v>
      </c>
      <c r="J116" s="41" t="s">
        <v>174</v>
      </c>
      <c r="K116" s="131">
        <v>1152000</v>
      </c>
      <c r="L116" s="132" t="s">
        <v>172</v>
      </c>
      <c r="M116" s="41" t="s">
        <v>14</v>
      </c>
    </row>
    <row r="117" spans="1:13">
      <c r="A117" s="41" t="s">
        <v>639</v>
      </c>
      <c r="B117" s="41" t="s">
        <v>112</v>
      </c>
      <c r="C117" s="41" t="s">
        <v>919</v>
      </c>
      <c r="D117" s="41" t="s">
        <v>113</v>
      </c>
      <c r="E117" s="41" t="s">
        <v>99</v>
      </c>
      <c r="F117" s="41" t="s">
        <v>21</v>
      </c>
      <c r="G117" s="41" t="s">
        <v>70</v>
      </c>
      <c r="H117" s="41" t="s">
        <v>26</v>
      </c>
      <c r="I117" s="41" t="s">
        <v>166</v>
      </c>
      <c r="J117" s="41" t="s">
        <v>174</v>
      </c>
      <c r="K117" s="131">
        <v>705000</v>
      </c>
      <c r="L117" s="132" t="s">
        <v>172</v>
      </c>
      <c r="M117" s="41" t="s">
        <v>14</v>
      </c>
    </row>
    <row r="118" spans="1:13">
      <c r="A118" s="41" t="s">
        <v>639</v>
      </c>
      <c r="B118" s="41" t="s">
        <v>114</v>
      </c>
      <c r="C118" s="41" t="s">
        <v>919</v>
      </c>
      <c r="D118" s="41" t="s">
        <v>113</v>
      </c>
      <c r="E118" s="41" t="s">
        <v>99</v>
      </c>
      <c r="F118" s="41" t="s">
        <v>21</v>
      </c>
      <c r="G118" s="41" t="s">
        <v>70</v>
      </c>
      <c r="H118" s="41" t="s">
        <v>42</v>
      </c>
      <c r="I118" s="41" t="s">
        <v>166</v>
      </c>
      <c r="J118" s="41" t="s">
        <v>174</v>
      </c>
      <c r="K118" s="131">
        <v>1570000</v>
      </c>
      <c r="L118" s="132" t="s">
        <v>172</v>
      </c>
      <c r="M118" s="41" t="s">
        <v>14</v>
      </c>
    </row>
    <row r="119" spans="1:13">
      <c r="A119" s="41" t="s">
        <v>639</v>
      </c>
      <c r="B119" s="41" t="s">
        <v>115</v>
      </c>
      <c r="C119" s="41" t="s">
        <v>919</v>
      </c>
      <c r="D119" s="41" t="s">
        <v>113</v>
      </c>
      <c r="E119" s="41" t="s">
        <v>99</v>
      </c>
      <c r="F119" s="41" t="s">
        <v>21</v>
      </c>
      <c r="G119" s="41" t="s">
        <v>74</v>
      </c>
      <c r="H119" s="41" t="s">
        <v>26</v>
      </c>
      <c r="I119" s="41" t="s">
        <v>166</v>
      </c>
      <c r="J119" s="41" t="s">
        <v>174</v>
      </c>
      <c r="K119" s="131">
        <v>705000</v>
      </c>
      <c r="L119" s="132" t="s">
        <v>172</v>
      </c>
      <c r="M119" s="41" t="s">
        <v>14</v>
      </c>
    </row>
    <row r="120" spans="1:13">
      <c r="A120" s="41" t="s">
        <v>639</v>
      </c>
      <c r="B120" s="41" t="s">
        <v>116</v>
      </c>
      <c r="C120" s="41" t="s">
        <v>919</v>
      </c>
      <c r="D120" s="41" t="s">
        <v>113</v>
      </c>
      <c r="E120" s="41" t="s">
        <v>99</v>
      </c>
      <c r="F120" s="41" t="s">
        <v>21</v>
      </c>
      <c r="G120" s="41" t="s">
        <v>74</v>
      </c>
      <c r="H120" s="41" t="s">
        <v>42</v>
      </c>
      <c r="I120" s="41" t="s">
        <v>166</v>
      </c>
      <c r="J120" s="41" t="s">
        <v>174</v>
      </c>
      <c r="K120" s="131">
        <v>1024000</v>
      </c>
      <c r="L120" s="132" t="s">
        <v>172</v>
      </c>
      <c r="M120" s="41" t="s">
        <v>14</v>
      </c>
    </row>
    <row r="121" spans="1:13">
      <c r="A121" s="41" t="s">
        <v>639</v>
      </c>
      <c r="B121" s="41" t="s">
        <v>117</v>
      </c>
      <c r="C121" s="41" t="s">
        <v>919</v>
      </c>
      <c r="D121" s="41" t="s">
        <v>113</v>
      </c>
      <c r="E121" s="41" t="s">
        <v>99</v>
      </c>
      <c r="F121" s="41" t="s">
        <v>21</v>
      </c>
      <c r="G121" s="41" t="s">
        <v>72</v>
      </c>
      <c r="H121" s="41" t="s">
        <v>26</v>
      </c>
      <c r="I121" s="41" t="s">
        <v>166</v>
      </c>
      <c r="J121" s="41" t="s">
        <v>174</v>
      </c>
      <c r="K121" s="131">
        <v>705000</v>
      </c>
      <c r="L121" s="132" t="s">
        <v>172</v>
      </c>
      <c r="M121" s="41" t="s">
        <v>14</v>
      </c>
    </row>
    <row r="122" spans="1:13">
      <c r="A122" s="41" t="s">
        <v>639</v>
      </c>
      <c r="B122" s="41" t="s">
        <v>118</v>
      </c>
      <c r="C122" s="41" t="s">
        <v>919</v>
      </c>
      <c r="D122" s="41" t="s">
        <v>113</v>
      </c>
      <c r="E122" s="41" t="s">
        <v>99</v>
      </c>
      <c r="F122" s="41" t="s">
        <v>21</v>
      </c>
      <c r="G122" s="41" t="s">
        <v>72</v>
      </c>
      <c r="H122" s="41" t="s">
        <v>42</v>
      </c>
      <c r="I122" s="41" t="s">
        <v>166</v>
      </c>
      <c r="J122" s="41" t="s">
        <v>174</v>
      </c>
      <c r="K122" s="131">
        <v>1152000</v>
      </c>
      <c r="L122" s="132" t="s">
        <v>172</v>
      </c>
      <c r="M122" s="41" t="s">
        <v>14</v>
      </c>
    </row>
    <row r="123" spans="1:13">
      <c r="A123" s="41" t="s">
        <v>639</v>
      </c>
      <c r="B123" s="41" t="s">
        <v>119</v>
      </c>
      <c r="C123" s="41" t="s">
        <v>919</v>
      </c>
      <c r="D123" s="41" t="s">
        <v>120</v>
      </c>
      <c r="E123" s="41" t="s">
        <v>29</v>
      </c>
      <c r="F123" s="41" t="s">
        <v>21</v>
      </c>
      <c r="G123" s="41" t="s">
        <v>70</v>
      </c>
      <c r="H123" s="41" t="s">
        <v>26</v>
      </c>
      <c r="I123" s="41" t="s">
        <v>167</v>
      </c>
      <c r="J123" s="41" t="s">
        <v>174</v>
      </c>
      <c r="K123" s="131">
        <v>162000</v>
      </c>
      <c r="L123" s="132" t="s">
        <v>172</v>
      </c>
      <c r="M123" s="41" t="s">
        <v>14</v>
      </c>
    </row>
    <row r="124" spans="1:13">
      <c r="A124" s="41" t="s">
        <v>639</v>
      </c>
      <c r="B124" s="41" t="s">
        <v>121</v>
      </c>
      <c r="C124" s="41" t="s">
        <v>919</v>
      </c>
      <c r="D124" s="41" t="s">
        <v>120</v>
      </c>
      <c r="E124" s="41" t="s">
        <v>29</v>
      </c>
      <c r="F124" s="41" t="s">
        <v>21</v>
      </c>
      <c r="G124" s="41" t="s">
        <v>70</v>
      </c>
      <c r="H124" s="41" t="s">
        <v>42</v>
      </c>
      <c r="I124" s="41" t="s">
        <v>167</v>
      </c>
      <c r="J124" s="41" t="s">
        <v>174</v>
      </c>
      <c r="K124" s="131">
        <v>200000</v>
      </c>
      <c r="L124" s="132" t="s">
        <v>172</v>
      </c>
      <c r="M124" s="41" t="s">
        <v>14</v>
      </c>
    </row>
    <row r="125" spans="1:13">
      <c r="A125" s="41" t="s">
        <v>639</v>
      </c>
      <c r="B125" s="41" t="s">
        <v>122</v>
      </c>
      <c r="C125" s="41" t="s">
        <v>919</v>
      </c>
      <c r="D125" s="41" t="s">
        <v>758</v>
      </c>
      <c r="E125" s="41" t="s">
        <v>29</v>
      </c>
      <c r="F125" s="41" t="s">
        <v>21</v>
      </c>
      <c r="G125" s="41" t="s">
        <v>70</v>
      </c>
      <c r="H125" s="41" t="s">
        <v>26</v>
      </c>
      <c r="I125" s="41" t="s">
        <v>167</v>
      </c>
      <c r="J125" s="41" t="s">
        <v>174</v>
      </c>
      <c r="K125" s="131">
        <v>162000</v>
      </c>
      <c r="L125" s="132" t="s">
        <v>172</v>
      </c>
      <c r="M125" s="41" t="s">
        <v>14</v>
      </c>
    </row>
    <row r="126" spans="1:13">
      <c r="A126" s="41" t="s">
        <v>639</v>
      </c>
      <c r="B126" s="41" t="s">
        <v>123</v>
      </c>
      <c r="C126" s="41" t="s">
        <v>919</v>
      </c>
      <c r="D126" s="41" t="s">
        <v>120</v>
      </c>
      <c r="E126" s="41" t="s">
        <v>29</v>
      </c>
      <c r="F126" s="41" t="s">
        <v>21</v>
      </c>
      <c r="G126" s="41" t="s">
        <v>74</v>
      </c>
      <c r="H126" s="41" t="s">
        <v>26</v>
      </c>
      <c r="I126" s="41" t="s">
        <v>167</v>
      </c>
      <c r="J126" s="41" t="s">
        <v>174</v>
      </c>
      <c r="K126" s="131">
        <v>162000</v>
      </c>
      <c r="L126" s="132" t="s">
        <v>172</v>
      </c>
      <c r="M126" s="41" t="s">
        <v>14</v>
      </c>
    </row>
    <row r="127" spans="1:13">
      <c r="A127" s="41" t="s">
        <v>639</v>
      </c>
      <c r="B127" s="41" t="s">
        <v>124</v>
      </c>
      <c r="C127" s="41" t="s">
        <v>919</v>
      </c>
      <c r="D127" s="41" t="s">
        <v>120</v>
      </c>
      <c r="E127" s="41" t="s">
        <v>29</v>
      </c>
      <c r="F127" s="41" t="s">
        <v>21</v>
      </c>
      <c r="G127" s="41" t="s">
        <v>74</v>
      </c>
      <c r="H127" s="41" t="s">
        <v>42</v>
      </c>
      <c r="I127" s="41" t="s">
        <v>167</v>
      </c>
      <c r="J127" s="41" t="s">
        <v>174</v>
      </c>
      <c r="K127" s="131">
        <v>257000</v>
      </c>
      <c r="L127" s="132" t="s">
        <v>172</v>
      </c>
      <c r="M127" s="41" t="s">
        <v>14</v>
      </c>
    </row>
    <row r="128" spans="1:13">
      <c r="A128" s="41" t="s">
        <v>639</v>
      </c>
      <c r="B128" s="41" t="s">
        <v>125</v>
      </c>
      <c r="C128" s="41" t="s">
        <v>919</v>
      </c>
      <c r="D128" s="41" t="s">
        <v>758</v>
      </c>
      <c r="E128" s="41" t="s">
        <v>29</v>
      </c>
      <c r="F128" s="41" t="s">
        <v>21</v>
      </c>
      <c r="G128" s="41" t="s">
        <v>74</v>
      </c>
      <c r="H128" s="41" t="s">
        <v>26</v>
      </c>
      <c r="I128" s="41" t="s">
        <v>167</v>
      </c>
      <c r="J128" s="41" t="s">
        <v>174</v>
      </c>
      <c r="K128" s="131">
        <v>162000</v>
      </c>
      <c r="L128" s="132" t="s">
        <v>172</v>
      </c>
      <c r="M128" s="41" t="s">
        <v>14</v>
      </c>
    </row>
    <row r="129" spans="1:13">
      <c r="A129" s="41" t="s">
        <v>639</v>
      </c>
      <c r="B129" s="41" t="s">
        <v>759</v>
      </c>
      <c r="C129" s="41" t="s">
        <v>919</v>
      </c>
      <c r="D129" s="41" t="s">
        <v>120</v>
      </c>
      <c r="E129" s="41" t="s">
        <v>29</v>
      </c>
      <c r="F129" s="41" t="s">
        <v>21</v>
      </c>
      <c r="G129" s="41" t="s">
        <v>72</v>
      </c>
      <c r="H129" s="41" t="s">
        <v>26</v>
      </c>
      <c r="I129" s="41" t="s">
        <v>167</v>
      </c>
      <c r="J129" s="41" t="s">
        <v>174</v>
      </c>
      <c r="K129" s="131">
        <v>162000</v>
      </c>
      <c r="L129" s="132" t="s">
        <v>172</v>
      </c>
      <c r="M129" s="41" t="s">
        <v>14</v>
      </c>
    </row>
    <row r="130" spans="1:13">
      <c r="A130" s="41" t="s">
        <v>639</v>
      </c>
      <c r="B130" s="41" t="s">
        <v>760</v>
      </c>
      <c r="C130" s="41" t="s">
        <v>919</v>
      </c>
      <c r="D130" s="41" t="s">
        <v>758</v>
      </c>
      <c r="E130" s="41" t="s">
        <v>29</v>
      </c>
      <c r="F130" s="41" t="s">
        <v>21</v>
      </c>
      <c r="G130" s="41" t="s">
        <v>72</v>
      </c>
      <c r="H130" s="41" t="s">
        <v>26</v>
      </c>
      <c r="I130" s="41" t="s">
        <v>167</v>
      </c>
      <c r="J130" s="41" t="s">
        <v>174</v>
      </c>
      <c r="K130" s="131">
        <v>162000</v>
      </c>
      <c r="L130" s="132" t="s">
        <v>172</v>
      </c>
      <c r="M130" s="41" t="s">
        <v>14</v>
      </c>
    </row>
    <row r="131" spans="1:13">
      <c r="A131" s="41" t="s">
        <v>639</v>
      </c>
      <c r="B131" s="41" t="s">
        <v>761</v>
      </c>
      <c r="C131" s="41" t="s">
        <v>919</v>
      </c>
      <c r="D131" s="41" t="s">
        <v>120</v>
      </c>
      <c r="E131" s="41" t="s">
        <v>29</v>
      </c>
      <c r="F131" s="41" t="s">
        <v>21</v>
      </c>
      <c r="G131" s="41" t="s">
        <v>72</v>
      </c>
      <c r="H131" s="41" t="s">
        <v>42</v>
      </c>
      <c r="I131" s="41" t="s">
        <v>167</v>
      </c>
      <c r="J131" s="41" t="s">
        <v>174</v>
      </c>
      <c r="K131" s="131">
        <v>305000</v>
      </c>
      <c r="L131" s="132" t="s">
        <v>172</v>
      </c>
      <c r="M131" s="41" t="s">
        <v>14</v>
      </c>
    </row>
    <row r="132" spans="1:13">
      <c r="A132" s="41" t="s">
        <v>639</v>
      </c>
      <c r="B132" s="41" t="s">
        <v>126</v>
      </c>
      <c r="C132" s="41" t="s">
        <v>919</v>
      </c>
      <c r="D132" s="41" t="s">
        <v>127</v>
      </c>
      <c r="E132" s="41" t="s">
        <v>128</v>
      </c>
      <c r="F132" s="41" t="s">
        <v>21</v>
      </c>
      <c r="G132" s="41" t="s">
        <v>70</v>
      </c>
      <c r="H132" s="41" t="s">
        <v>42</v>
      </c>
      <c r="I132" s="41" t="s">
        <v>167</v>
      </c>
      <c r="J132" s="41" t="s">
        <v>174</v>
      </c>
      <c r="K132" s="131">
        <v>38400000</v>
      </c>
      <c r="L132" s="132" t="s">
        <v>172</v>
      </c>
      <c r="M132" s="41" t="s">
        <v>14</v>
      </c>
    </row>
    <row r="133" spans="1:13">
      <c r="A133" s="41" t="s">
        <v>639</v>
      </c>
      <c r="B133" s="41" t="s">
        <v>129</v>
      </c>
      <c r="C133" s="41" t="s">
        <v>919</v>
      </c>
      <c r="D133" s="41" t="s">
        <v>127</v>
      </c>
      <c r="E133" s="41" t="s">
        <v>128</v>
      </c>
      <c r="F133" s="41" t="s">
        <v>21</v>
      </c>
      <c r="G133" s="41" t="s">
        <v>74</v>
      </c>
      <c r="H133" s="41" t="s">
        <v>42</v>
      </c>
      <c r="I133" s="41" t="s">
        <v>167</v>
      </c>
      <c r="J133" s="41" t="s">
        <v>174</v>
      </c>
      <c r="K133" s="131">
        <v>40960000</v>
      </c>
      <c r="L133" s="132" t="s">
        <v>172</v>
      </c>
      <c r="M133" s="41" t="s">
        <v>14</v>
      </c>
    </row>
    <row r="134" spans="1:13">
      <c r="A134" s="41" t="s">
        <v>639</v>
      </c>
      <c r="B134" s="41" t="s">
        <v>130</v>
      </c>
      <c r="C134" s="41" t="s">
        <v>919</v>
      </c>
      <c r="D134" s="41" t="s">
        <v>127</v>
      </c>
      <c r="E134" s="41" t="s">
        <v>128</v>
      </c>
      <c r="F134" s="41" t="s">
        <v>21</v>
      </c>
      <c r="G134" s="41" t="s">
        <v>72</v>
      </c>
      <c r="H134" s="41" t="s">
        <v>42</v>
      </c>
      <c r="I134" s="41" t="s">
        <v>167</v>
      </c>
      <c r="J134" s="41" t="s">
        <v>174</v>
      </c>
      <c r="K134" s="131">
        <v>46080000</v>
      </c>
      <c r="L134" s="132" t="s">
        <v>172</v>
      </c>
      <c r="M134" s="41" t="s">
        <v>14</v>
      </c>
    </row>
    <row r="135" spans="1:13">
      <c r="A135" s="41" t="s">
        <v>639</v>
      </c>
      <c r="B135" s="41" t="s">
        <v>131</v>
      </c>
      <c r="C135" s="41" t="s">
        <v>919</v>
      </c>
      <c r="D135" s="41" t="s">
        <v>132</v>
      </c>
      <c r="E135" s="41" t="s">
        <v>133</v>
      </c>
      <c r="F135" s="41" t="s">
        <v>21</v>
      </c>
      <c r="G135" s="41" t="s">
        <v>70</v>
      </c>
      <c r="H135" s="41" t="s">
        <v>26</v>
      </c>
      <c r="I135" s="41" t="s">
        <v>167</v>
      </c>
      <c r="J135" s="41" t="s">
        <v>174</v>
      </c>
      <c r="K135" s="131">
        <v>1280000</v>
      </c>
      <c r="L135" s="132" t="s">
        <v>172</v>
      </c>
      <c r="M135" s="41" t="s">
        <v>14</v>
      </c>
    </row>
    <row r="136" spans="1:13">
      <c r="A136" s="41" t="s">
        <v>639</v>
      </c>
      <c r="B136" s="41" t="s">
        <v>134</v>
      </c>
      <c r="C136" s="41" t="s">
        <v>919</v>
      </c>
      <c r="D136" s="41" t="s">
        <v>132</v>
      </c>
      <c r="E136" s="41" t="s">
        <v>133</v>
      </c>
      <c r="F136" s="41" t="s">
        <v>21</v>
      </c>
      <c r="G136" s="41" t="s">
        <v>70</v>
      </c>
      <c r="H136" s="41" t="s">
        <v>42</v>
      </c>
      <c r="I136" s="41" t="s">
        <v>167</v>
      </c>
      <c r="J136" s="41" t="s">
        <v>174</v>
      </c>
      <c r="K136" s="131">
        <v>1920000</v>
      </c>
      <c r="L136" s="132" t="s">
        <v>172</v>
      </c>
      <c r="M136" s="41" t="s">
        <v>14</v>
      </c>
    </row>
    <row r="137" spans="1:13">
      <c r="A137" s="41" t="s">
        <v>639</v>
      </c>
      <c r="B137" s="41" t="s">
        <v>135</v>
      </c>
      <c r="C137" s="41" t="s">
        <v>919</v>
      </c>
      <c r="D137" s="41" t="s">
        <v>132</v>
      </c>
      <c r="E137" s="41" t="s">
        <v>133</v>
      </c>
      <c r="F137" s="41" t="s">
        <v>21</v>
      </c>
      <c r="G137" s="41" t="s">
        <v>74</v>
      </c>
      <c r="H137" s="41" t="s">
        <v>26</v>
      </c>
      <c r="I137" s="41" t="s">
        <v>167</v>
      </c>
      <c r="J137" s="41" t="s">
        <v>174</v>
      </c>
      <c r="K137" s="131">
        <v>1280000</v>
      </c>
      <c r="L137" s="132" t="s">
        <v>172</v>
      </c>
      <c r="M137" s="41" t="s">
        <v>14</v>
      </c>
    </row>
    <row r="138" spans="1:13">
      <c r="A138" s="41" t="s">
        <v>639</v>
      </c>
      <c r="B138" s="41" t="s">
        <v>136</v>
      </c>
      <c r="C138" s="41" t="s">
        <v>919</v>
      </c>
      <c r="D138" s="41" t="s">
        <v>132</v>
      </c>
      <c r="E138" s="41" t="s">
        <v>133</v>
      </c>
      <c r="F138" s="41" t="s">
        <v>21</v>
      </c>
      <c r="G138" s="41" t="s">
        <v>74</v>
      </c>
      <c r="H138" s="41" t="s">
        <v>42</v>
      </c>
      <c r="I138" s="41" t="s">
        <v>167</v>
      </c>
      <c r="J138" s="41" t="s">
        <v>174</v>
      </c>
      <c r="K138" s="131">
        <v>2048000</v>
      </c>
      <c r="L138" s="132" t="s">
        <v>172</v>
      </c>
      <c r="M138" s="41" t="s">
        <v>14</v>
      </c>
    </row>
    <row r="139" spans="1:13">
      <c r="A139" s="41" t="s">
        <v>639</v>
      </c>
      <c r="B139" s="41" t="s">
        <v>137</v>
      </c>
      <c r="C139" s="41" t="s">
        <v>919</v>
      </c>
      <c r="D139" s="41" t="s">
        <v>132</v>
      </c>
      <c r="E139" s="41" t="s">
        <v>133</v>
      </c>
      <c r="F139" s="41" t="s">
        <v>21</v>
      </c>
      <c r="G139" s="41" t="s">
        <v>72</v>
      </c>
      <c r="H139" s="41" t="s">
        <v>26</v>
      </c>
      <c r="I139" s="41" t="s">
        <v>167</v>
      </c>
      <c r="J139" s="41" t="s">
        <v>174</v>
      </c>
      <c r="K139" s="131">
        <v>1280000</v>
      </c>
      <c r="L139" s="132" t="s">
        <v>172</v>
      </c>
      <c r="M139" s="41" t="s">
        <v>14</v>
      </c>
    </row>
    <row r="140" spans="1:13">
      <c r="A140" s="41" t="s">
        <v>639</v>
      </c>
      <c r="B140" s="41" t="s">
        <v>138</v>
      </c>
      <c r="C140" s="41" t="s">
        <v>919</v>
      </c>
      <c r="D140" s="41" t="s">
        <v>132</v>
      </c>
      <c r="E140" s="41" t="s">
        <v>133</v>
      </c>
      <c r="F140" s="41" t="s">
        <v>21</v>
      </c>
      <c r="G140" s="41" t="s">
        <v>72</v>
      </c>
      <c r="H140" s="41" t="s">
        <v>42</v>
      </c>
      <c r="I140" s="41" t="s">
        <v>167</v>
      </c>
      <c r="J140" s="41" t="s">
        <v>174</v>
      </c>
      <c r="K140" s="131">
        <v>2304000</v>
      </c>
      <c r="L140" s="132" t="s">
        <v>172</v>
      </c>
      <c r="M140" s="41" t="s">
        <v>14</v>
      </c>
    </row>
    <row r="141" spans="1:13">
      <c r="A141" s="41" t="s">
        <v>639</v>
      </c>
      <c r="B141" s="41" t="s">
        <v>147</v>
      </c>
      <c r="C141" s="41" t="s">
        <v>919</v>
      </c>
      <c r="D141" s="41" t="s">
        <v>148</v>
      </c>
      <c r="E141" s="41" t="s">
        <v>128</v>
      </c>
      <c r="F141" s="41" t="s">
        <v>21</v>
      </c>
      <c r="G141" s="41" t="s">
        <v>70</v>
      </c>
      <c r="H141" s="41" t="s">
        <v>42</v>
      </c>
      <c r="I141" s="41" t="s">
        <v>762</v>
      </c>
      <c r="J141" s="41" t="s">
        <v>174</v>
      </c>
      <c r="K141" s="131">
        <v>38400000</v>
      </c>
      <c r="L141" s="132" t="s">
        <v>172</v>
      </c>
      <c r="M141" s="41" t="s">
        <v>14</v>
      </c>
    </row>
    <row r="142" spans="1:13">
      <c r="A142" s="41" t="s">
        <v>639</v>
      </c>
      <c r="B142" s="41" t="s">
        <v>149</v>
      </c>
      <c r="C142" s="41" t="s">
        <v>919</v>
      </c>
      <c r="D142" s="41" t="s">
        <v>148</v>
      </c>
      <c r="E142" s="41" t="s">
        <v>128</v>
      </c>
      <c r="F142" s="41" t="s">
        <v>21</v>
      </c>
      <c r="G142" s="41" t="s">
        <v>74</v>
      </c>
      <c r="H142" s="41" t="s">
        <v>42</v>
      </c>
      <c r="I142" s="41" t="s">
        <v>762</v>
      </c>
      <c r="J142" s="41" t="s">
        <v>174</v>
      </c>
      <c r="K142" s="131">
        <v>40960000</v>
      </c>
      <c r="L142" s="132" t="s">
        <v>172</v>
      </c>
      <c r="M142" s="41" t="s">
        <v>14</v>
      </c>
    </row>
    <row r="143" spans="1:13">
      <c r="A143" s="41" t="s">
        <v>639</v>
      </c>
      <c r="B143" s="41" t="s">
        <v>150</v>
      </c>
      <c r="C143" s="41" t="s">
        <v>919</v>
      </c>
      <c r="D143" s="41" t="s">
        <v>148</v>
      </c>
      <c r="E143" s="41" t="s">
        <v>128</v>
      </c>
      <c r="F143" s="41" t="s">
        <v>21</v>
      </c>
      <c r="G143" s="41" t="s">
        <v>72</v>
      </c>
      <c r="H143" s="41" t="s">
        <v>42</v>
      </c>
      <c r="I143" s="41" t="s">
        <v>762</v>
      </c>
      <c r="J143" s="41" t="s">
        <v>174</v>
      </c>
      <c r="K143" s="131">
        <v>46080000</v>
      </c>
      <c r="L143" s="132" t="s">
        <v>172</v>
      </c>
      <c r="M143" s="41" t="s">
        <v>14</v>
      </c>
    </row>
    <row r="144" spans="1:13">
      <c r="A144" s="41" t="s">
        <v>639</v>
      </c>
      <c r="B144" s="41" t="s">
        <v>151</v>
      </c>
      <c r="C144" s="41" t="s">
        <v>919</v>
      </c>
      <c r="D144" s="41" t="s">
        <v>152</v>
      </c>
      <c r="E144" s="41" t="s">
        <v>29</v>
      </c>
      <c r="F144" s="41" t="s">
        <v>21</v>
      </c>
      <c r="G144" s="41" t="s">
        <v>70</v>
      </c>
      <c r="H144" s="41" t="s">
        <v>26</v>
      </c>
      <c r="I144" s="41" t="s">
        <v>762</v>
      </c>
      <c r="J144" s="41" t="s">
        <v>174</v>
      </c>
      <c r="K144" s="131">
        <v>162000</v>
      </c>
      <c r="L144" s="132" t="s">
        <v>172</v>
      </c>
      <c r="M144" s="41" t="s">
        <v>14</v>
      </c>
    </row>
    <row r="145" spans="1:13">
      <c r="A145" s="41" t="s">
        <v>639</v>
      </c>
      <c r="B145" s="41" t="s">
        <v>153</v>
      </c>
      <c r="C145" s="41" t="s">
        <v>919</v>
      </c>
      <c r="D145" s="41" t="s">
        <v>152</v>
      </c>
      <c r="E145" s="41" t="s">
        <v>29</v>
      </c>
      <c r="F145" s="41" t="s">
        <v>21</v>
      </c>
      <c r="G145" s="41" t="s">
        <v>70</v>
      </c>
      <c r="H145" s="41" t="s">
        <v>42</v>
      </c>
      <c r="I145" s="41" t="s">
        <v>762</v>
      </c>
      <c r="J145" s="41" t="s">
        <v>174</v>
      </c>
      <c r="K145" s="131">
        <v>257000</v>
      </c>
      <c r="L145" s="132" t="s">
        <v>172</v>
      </c>
      <c r="M145" s="41" t="s">
        <v>14</v>
      </c>
    </row>
    <row r="146" spans="1:13">
      <c r="A146" s="41" t="s">
        <v>639</v>
      </c>
      <c r="B146" s="41" t="s">
        <v>154</v>
      </c>
      <c r="C146" s="41" t="s">
        <v>919</v>
      </c>
      <c r="D146" s="41" t="s">
        <v>152</v>
      </c>
      <c r="E146" s="41" t="s">
        <v>29</v>
      </c>
      <c r="F146" s="41" t="s">
        <v>21</v>
      </c>
      <c r="G146" s="41" t="s">
        <v>74</v>
      </c>
      <c r="H146" s="41" t="s">
        <v>26</v>
      </c>
      <c r="I146" s="41" t="s">
        <v>762</v>
      </c>
      <c r="J146" s="41" t="s">
        <v>174</v>
      </c>
      <c r="K146" s="131">
        <v>162000</v>
      </c>
      <c r="L146" s="132" t="s">
        <v>172</v>
      </c>
      <c r="M146" s="41" t="s">
        <v>14</v>
      </c>
    </row>
    <row r="147" spans="1:13">
      <c r="A147" s="41" t="s">
        <v>639</v>
      </c>
      <c r="B147" s="41" t="s">
        <v>155</v>
      </c>
      <c r="C147" s="41" t="s">
        <v>919</v>
      </c>
      <c r="D147" s="41" t="s">
        <v>152</v>
      </c>
      <c r="E147" s="41" t="s">
        <v>29</v>
      </c>
      <c r="F147" s="41" t="s">
        <v>21</v>
      </c>
      <c r="G147" s="41" t="s">
        <v>74</v>
      </c>
      <c r="H147" s="41" t="s">
        <v>42</v>
      </c>
      <c r="I147" s="41" t="s">
        <v>762</v>
      </c>
      <c r="J147" s="41" t="s">
        <v>174</v>
      </c>
      <c r="K147" s="131">
        <v>287000</v>
      </c>
      <c r="L147" s="132" t="s">
        <v>172</v>
      </c>
      <c r="M147" s="41" t="s">
        <v>14</v>
      </c>
    </row>
    <row r="148" spans="1:13">
      <c r="A148" s="41" t="s">
        <v>639</v>
      </c>
      <c r="B148" s="41" t="s">
        <v>156</v>
      </c>
      <c r="C148" s="41" t="s">
        <v>919</v>
      </c>
      <c r="D148" s="41" t="s">
        <v>152</v>
      </c>
      <c r="E148" s="41" t="s">
        <v>29</v>
      </c>
      <c r="F148" s="41" t="s">
        <v>21</v>
      </c>
      <c r="G148" s="41" t="s">
        <v>72</v>
      </c>
      <c r="H148" s="41" t="s">
        <v>26</v>
      </c>
      <c r="I148" s="41" t="s">
        <v>762</v>
      </c>
      <c r="J148" s="41" t="s">
        <v>174</v>
      </c>
      <c r="K148" s="131">
        <v>162000</v>
      </c>
      <c r="L148" s="132" t="s">
        <v>172</v>
      </c>
      <c r="M148" s="41" t="s">
        <v>14</v>
      </c>
    </row>
    <row r="149" spans="1:13">
      <c r="A149" s="41" t="s">
        <v>639</v>
      </c>
      <c r="B149" s="41" t="s">
        <v>157</v>
      </c>
      <c r="C149" s="41" t="s">
        <v>919</v>
      </c>
      <c r="D149" s="41" t="s">
        <v>152</v>
      </c>
      <c r="E149" s="41" t="s">
        <v>29</v>
      </c>
      <c r="F149" s="41" t="s">
        <v>21</v>
      </c>
      <c r="G149" s="41" t="s">
        <v>72</v>
      </c>
      <c r="H149" s="41" t="s">
        <v>42</v>
      </c>
      <c r="I149" s="41" t="s">
        <v>762</v>
      </c>
      <c r="J149" s="41" t="s">
        <v>174</v>
      </c>
      <c r="K149" s="131">
        <v>305000</v>
      </c>
      <c r="L149" s="132" t="s">
        <v>172</v>
      </c>
      <c r="M149" s="41" t="s">
        <v>14</v>
      </c>
    </row>
    <row r="150" spans="1:13">
      <c r="A150" s="41" t="s">
        <v>639</v>
      </c>
      <c r="B150" s="41" t="s">
        <v>158</v>
      </c>
      <c r="C150" s="41" t="s">
        <v>919</v>
      </c>
      <c r="D150" s="41" t="s">
        <v>159</v>
      </c>
      <c r="E150" s="41" t="s">
        <v>29</v>
      </c>
      <c r="F150" s="41" t="s">
        <v>21</v>
      </c>
      <c r="G150" s="41" t="s">
        <v>70</v>
      </c>
      <c r="H150" s="41" t="s">
        <v>26</v>
      </c>
      <c r="I150" s="41" t="s">
        <v>762</v>
      </c>
      <c r="J150" s="41" t="s">
        <v>174</v>
      </c>
      <c r="K150" s="131">
        <v>162000</v>
      </c>
      <c r="L150" s="132" t="s">
        <v>172</v>
      </c>
      <c r="M150" s="41" t="s">
        <v>14</v>
      </c>
    </row>
    <row r="151" spans="1:13">
      <c r="A151" s="41" t="s">
        <v>639</v>
      </c>
      <c r="B151" s="41" t="s">
        <v>160</v>
      </c>
      <c r="C151" s="41" t="s">
        <v>919</v>
      </c>
      <c r="D151" s="41" t="s">
        <v>159</v>
      </c>
      <c r="E151" s="41" t="s">
        <v>29</v>
      </c>
      <c r="F151" s="41" t="s">
        <v>21</v>
      </c>
      <c r="G151" s="41" t="s">
        <v>70</v>
      </c>
      <c r="H151" s="41" t="s">
        <v>42</v>
      </c>
      <c r="I151" s="41" t="s">
        <v>762</v>
      </c>
      <c r="J151" s="41" t="s">
        <v>174</v>
      </c>
      <c r="K151" s="41">
        <v>257000</v>
      </c>
      <c r="L151" s="132" t="s">
        <v>172</v>
      </c>
      <c r="M151" s="41" t="s">
        <v>14</v>
      </c>
    </row>
    <row r="152" spans="1:13">
      <c r="A152" s="41" t="s">
        <v>639</v>
      </c>
      <c r="B152" s="41" t="s">
        <v>161</v>
      </c>
      <c r="C152" s="41" t="s">
        <v>919</v>
      </c>
      <c r="D152" s="41" t="s">
        <v>159</v>
      </c>
      <c r="E152" s="41" t="s">
        <v>29</v>
      </c>
      <c r="F152" s="41" t="s">
        <v>21</v>
      </c>
      <c r="G152" s="41" t="s">
        <v>74</v>
      </c>
      <c r="H152" s="41" t="s">
        <v>26</v>
      </c>
      <c r="I152" s="41" t="s">
        <v>762</v>
      </c>
      <c r="J152" s="41" t="s">
        <v>174</v>
      </c>
      <c r="K152" s="41">
        <v>162000</v>
      </c>
      <c r="L152" s="132" t="s">
        <v>172</v>
      </c>
      <c r="M152" s="41" t="s">
        <v>14</v>
      </c>
    </row>
    <row r="153" spans="1:13">
      <c r="A153" s="41" t="s">
        <v>639</v>
      </c>
      <c r="B153" s="41" t="s">
        <v>162</v>
      </c>
      <c r="C153" s="41" t="s">
        <v>919</v>
      </c>
      <c r="D153" s="41" t="s">
        <v>159</v>
      </c>
      <c r="E153" s="41" t="s">
        <v>29</v>
      </c>
      <c r="F153" s="41" t="s">
        <v>21</v>
      </c>
      <c r="G153" s="41" t="s">
        <v>74</v>
      </c>
      <c r="H153" s="41" t="s">
        <v>42</v>
      </c>
      <c r="I153" s="41" t="s">
        <v>762</v>
      </c>
      <c r="J153" s="41" t="s">
        <v>174</v>
      </c>
      <c r="K153" s="41">
        <v>287000</v>
      </c>
      <c r="L153" s="132" t="s">
        <v>172</v>
      </c>
      <c r="M153" s="41" t="s">
        <v>14</v>
      </c>
    </row>
    <row r="154" spans="1:13">
      <c r="A154" s="41" t="s">
        <v>639</v>
      </c>
      <c r="B154" s="41" t="s">
        <v>163</v>
      </c>
      <c r="C154" s="41" t="s">
        <v>919</v>
      </c>
      <c r="D154" s="41" t="s">
        <v>159</v>
      </c>
      <c r="E154" s="41" t="s">
        <v>29</v>
      </c>
      <c r="F154" s="41" t="s">
        <v>21</v>
      </c>
      <c r="G154" s="41" t="s">
        <v>72</v>
      </c>
      <c r="H154" s="41" t="s">
        <v>26</v>
      </c>
      <c r="I154" s="41" t="s">
        <v>762</v>
      </c>
      <c r="J154" s="41" t="s">
        <v>174</v>
      </c>
      <c r="K154" s="41">
        <v>162000</v>
      </c>
      <c r="L154" s="132" t="s">
        <v>172</v>
      </c>
      <c r="M154" s="41" t="s">
        <v>14</v>
      </c>
    </row>
    <row r="155" spans="1:13">
      <c r="A155" s="41" t="s">
        <v>639</v>
      </c>
      <c r="B155" s="41" t="s">
        <v>164</v>
      </c>
      <c r="C155" s="41" t="s">
        <v>919</v>
      </c>
      <c r="D155" s="41" t="s">
        <v>159</v>
      </c>
      <c r="E155" s="41" t="s">
        <v>29</v>
      </c>
      <c r="F155" s="41" t="s">
        <v>21</v>
      </c>
      <c r="G155" s="41" t="s">
        <v>72</v>
      </c>
      <c r="H155" s="41" t="s">
        <v>42</v>
      </c>
      <c r="I155" s="41" t="s">
        <v>762</v>
      </c>
      <c r="J155" s="41" t="s">
        <v>174</v>
      </c>
      <c r="K155" s="41">
        <v>305000</v>
      </c>
      <c r="L155" s="132" t="s">
        <v>172</v>
      </c>
      <c r="M155" s="41" t="s">
        <v>14</v>
      </c>
    </row>
  </sheetData>
  <mergeCells count="1">
    <mergeCell ref="A1:M1"/>
  </mergeCells>
  <conditionalFormatting sqref="B2:B143 B151:B1048576">
    <cfRule type="duplicateValues" dxfId="31" priority="86"/>
    <cfRule type="duplicateValues" dxfId="30" priority="89"/>
    <cfRule type="duplicateValues" dxfId="29" priority="90"/>
  </conditionalFormatting>
  <conditionalFormatting sqref="B144:B150">
    <cfRule type="duplicateValues" dxfId="28" priority="1"/>
    <cfRule type="duplicateValues" dxfId="27" priority="2"/>
    <cfRule type="duplicateValues" dxfId="26" priority="3"/>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324"/>
  <sheetViews>
    <sheetView zoomScaleNormal="100" workbookViewId="0">
      <pane ySplit="2" topLeftCell="A161" activePane="bottomLeft" state="frozen"/>
      <selection activeCell="B16" sqref="B16:P16"/>
      <selection pane="bottomLeft" activeCell="A3" sqref="A3:A165"/>
    </sheetView>
  </sheetViews>
  <sheetFormatPr baseColWidth="10" defaultColWidth="12.36328125" defaultRowHeight="14.5"/>
  <cols>
    <col min="1" max="1" width="15.36328125" style="7" bestFit="1" customWidth="1"/>
    <col min="2" max="2" width="18" style="7" bestFit="1" customWidth="1"/>
    <col min="3" max="3" width="25.36328125" style="7" bestFit="1" customWidth="1"/>
    <col min="4" max="4" width="56.453125" style="7" customWidth="1"/>
    <col min="5" max="5" width="72.54296875" style="7" bestFit="1" customWidth="1"/>
    <col min="6" max="6" width="9" style="7" bestFit="1" customWidth="1"/>
    <col min="7" max="7" width="12.08984375" style="7" bestFit="1" customWidth="1"/>
    <col min="8" max="8" width="13" style="7" bestFit="1" customWidth="1"/>
    <col min="9" max="9" width="12.08984375" style="7" bestFit="1" customWidth="1"/>
    <col min="10" max="10" width="51.54296875" style="7" bestFit="1" customWidth="1"/>
    <col min="11" max="11" width="18.08984375" style="7" bestFit="1" customWidth="1"/>
    <col min="12" max="12" width="12.90625" style="7" bestFit="1" customWidth="1"/>
    <col min="13" max="13" width="10.6328125" style="111" bestFit="1" customWidth="1"/>
    <col min="14" max="16384" width="12.36328125" style="7"/>
  </cols>
  <sheetData>
    <row r="1" spans="1:1015 1027:2042 2054:3069 3081:4096 4108:5110 5122:6137 6149:7164 7176:8191 8203:9205 9217:10232 10244:11259 11271:12286 12298:14327 14339:15354 15366:16381" ht="46.5">
      <c r="A1" s="320" t="s">
        <v>2988</v>
      </c>
      <c r="B1" s="320"/>
      <c r="C1" s="320"/>
      <c r="D1" s="320"/>
      <c r="E1" s="320"/>
      <c r="F1" s="320"/>
      <c r="G1" s="320"/>
      <c r="H1" s="320"/>
      <c r="I1" s="320"/>
      <c r="J1" s="320"/>
      <c r="K1" s="320"/>
      <c r="L1" s="320"/>
      <c r="M1" s="320"/>
    </row>
    <row r="2" spans="1:1015 1027:2042 2054:3069 3081:4096 4108:5110 5122:6137 6149:7164 7176:8191 8203:9205 9217:10232 10244:11259 11271:12286 12298:14327 14339:15354 15366:16381" s="103" customFormat="1" ht="15">
      <c r="A2" s="84" t="s">
        <v>1445</v>
      </c>
      <c r="B2" s="84" t="s">
        <v>1430</v>
      </c>
      <c r="C2" s="84" t="s">
        <v>1446</v>
      </c>
      <c r="D2" s="84" t="s">
        <v>4</v>
      </c>
      <c r="E2" s="84" t="s">
        <v>5</v>
      </c>
      <c r="F2" s="84" t="s">
        <v>6</v>
      </c>
      <c r="G2" s="84" t="s">
        <v>7</v>
      </c>
      <c r="H2" s="84" t="s">
        <v>8</v>
      </c>
      <c r="I2" s="84" t="s">
        <v>9</v>
      </c>
      <c r="J2" s="84" t="s">
        <v>1434</v>
      </c>
      <c r="K2" s="84" t="s">
        <v>1432</v>
      </c>
      <c r="L2" s="84" t="s">
        <v>1433</v>
      </c>
      <c r="M2" s="84" t="s">
        <v>3</v>
      </c>
      <c r="N2" s="102"/>
      <c r="Z2" s="104"/>
      <c r="AA2" s="102"/>
      <c r="AM2" s="104"/>
      <c r="AN2" s="102"/>
      <c r="AZ2" s="104"/>
      <c r="BA2" s="102"/>
      <c r="BM2" s="104"/>
      <c r="BN2" s="102"/>
      <c r="BZ2" s="104"/>
      <c r="CA2" s="102"/>
      <c r="CM2" s="104"/>
      <c r="CN2" s="102"/>
      <c r="CZ2" s="104"/>
      <c r="DA2" s="102"/>
      <c r="DM2" s="104"/>
      <c r="DN2" s="102"/>
      <c r="DZ2" s="104"/>
      <c r="EA2" s="102"/>
      <c r="EM2" s="104"/>
      <c r="EN2" s="102"/>
      <c r="EZ2" s="104"/>
      <c r="FA2" s="102"/>
      <c r="FM2" s="104"/>
      <c r="FN2" s="102"/>
      <c r="FZ2" s="104"/>
      <c r="GA2" s="102"/>
      <c r="GM2" s="104"/>
      <c r="GN2" s="102"/>
      <c r="GZ2" s="104"/>
      <c r="HA2" s="102"/>
      <c r="HM2" s="104"/>
      <c r="HN2" s="102"/>
      <c r="HZ2" s="104"/>
      <c r="IA2" s="102"/>
      <c r="IM2" s="104"/>
      <c r="IN2" s="102"/>
      <c r="IZ2" s="104"/>
      <c r="JA2" s="102"/>
      <c r="JM2" s="104"/>
      <c r="JN2" s="102"/>
      <c r="JZ2" s="104"/>
      <c r="KA2" s="102"/>
      <c r="KM2" s="104"/>
      <c r="KN2" s="102"/>
      <c r="KZ2" s="104"/>
      <c r="LA2" s="102"/>
      <c r="LM2" s="104"/>
      <c r="LN2" s="102"/>
      <c r="LZ2" s="104"/>
      <c r="MA2" s="102"/>
      <c r="MM2" s="104"/>
      <c r="MN2" s="102"/>
      <c r="MZ2" s="104"/>
      <c r="NA2" s="102"/>
      <c r="NM2" s="104"/>
      <c r="NN2" s="102"/>
      <c r="NZ2" s="104"/>
      <c r="OA2" s="102"/>
      <c r="OM2" s="104"/>
      <c r="ON2" s="102"/>
      <c r="OZ2" s="104"/>
      <c r="PA2" s="102"/>
      <c r="PM2" s="104"/>
      <c r="PN2" s="102"/>
      <c r="PZ2" s="104"/>
      <c r="QA2" s="102"/>
      <c r="QM2" s="104"/>
      <c r="QN2" s="102"/>
      <c r="QZ2" s="104"/>
      <c r="RA2" s="102"/>
      <c r="RM2" s="104"/>
      <c r="RN2" s="102"/>
      <c r="RZ2" s="104"/>
      <c r="SA2" s="102"/>
      <c r="SM2" s="104"/>
      <c r="SN2" s="102"/>
      <c r="SZ2" s="104"/>
      <c r="TA2" s="102"/>
      <c r="TM2" s="104"/>
      <c r="TN2" s="102"/>
      <c r="TZ2" s="104"/>
      <c r="UA2" s="102"/>
      <c r="UM2" s="104"/>
      <c r="UN2" s="102"/>
      <c r="UZ2" s="104"/>
      <c r="VA2" s="102"/>
      <c r="VM2" s="104"/>
      <c r="VN2" s="102"/>
      <c r="VZ2" s="104"/>
      <c r="WA2" s="102"/>
      <c r="WM2" s="104"/>
      <c r="WN2" s="102"/>
      <c r="WZ2" s="104"/>
      <c r="XA2" s="102"/>
      <c r="XM2" s="104"/>
      <c r="XN2" s="102"/>
      <c r="XZ2" s="104"/>
      <c r="YA2" s="102"/>
      <c r="YM2" s="104"/>
      <c r="YN2" s="102"/>
      <c r="YZ2" s="104"/>
      <c r="ZA2" s="102"/>
      <c r="ZM2" s="104"/>
      <c r="ZN2" s="102"/>
      <c r="ZZ2" s="104"/>
      <c r="AAA2" s="102"/>
      <c r="AAM2" s="104"/>
      <c r="AAN2" s="102"/>
      <c r="AAZ2" s="104"/>
      <c r="ABA2" s="102"/>
      <c r="ABM2" s="104"/>
      <c r="ABN2" s="102"/>
      <c r="ABZ2" s="104"/>
      <c r="ACA2" s="102"/>
      <c r="ACM2" s="104"/>
      <c r="ACN2" s="102"/>
      <c r="ACZ2" s="104"/>
      <c r="ADA2" s="102"/>
      <c r="ADM2" s="104"/>
      <c r="ADN2" s="102"/>
      <c r="ADZ2" s="104"/>
      <c r="AEA2" s="102"/>
      <c r="AEM2" s="104"/>
      <c r="AEN2" s="102"/>
      <c r="AEZ2" s="104"/>
      <c r="AFA2" s="102"/>
      <c r="AFM2" s="104"/>
      <c r="AFN2" s="102"/>
      <c r="AFZ2" s="104"/>
      <c r="AGA2" s="102"/>
      <c r="AGM2" s="104"/>
      <c r="AGN2" s="102"/>
      <c r="AGZ2" s="104"/>
      <c r="AHA2" s="102"/>
      <c r="AHM2" s="104"/>
      <c r="AHN2" s="102"/>
      <c r="AHZ2" s="104"/>
      <c r="AIA2" s="102"/>
      <c r="AIM2" s="104"/>
      <c r="AIN2" s="102"/>
      <c r="AIZ2" s="104"/>
      <c r="AJA2" s="102"/>
      <c r="AJM2" s="104"/>
      <c r="AJN2" s="102"/>
      <c r="AJZ2" s="104"/>
      <c r="AKA2" s="102"/>
      <c r="AKM2" s="104"/>
      <c r="AKN2" s="102"/>
      <c r="AKZ2" s="104"/>
      <c r="ALA2" s="102"/>
      <c r="ALM2" s="104"/>
      <c r="ALN2" s="102"/>
      <c r="ALZ2" s="104"/>
      <c r="AMA2" s="102"/>
      <c r="AMM2" s="104"/>
      <c r="AMN2" s="102"/>
      <c r="AMZ2" s="104"/>
      <c r="ANA2" s="102"/>
      <c r="ANM2" s="104"/>
      <c r="ANN2" s="102"/>
      <c r="ANZ2" s="104"/>
      <c r="AOA2" s="102"/>
      <c r="AOM2" s="104"/>
      <c r="AON2" s="102"/>
      <c r="AOZ2" s="104"/>
      <c r="APA2" s="102"/>
      <c r="APM2" s="104"/>
      <c r="APN2" s="102"/>
      <c r="APZ2" s="104"/>
      <c r="AQA2" s="102"/>
      <c r="AQM2" s="104"/>
      <c r="AQN2" s="102"/>
      <c r="AQZ2" s="104"/>
      <c r="ARA2" s="102"/>
      <c r="ARM2" s="104"/>
      <c r="ARN2" s="102"/>
      <c r="ARZ2" s="104"/>
      <c r="ASA2" s="102"/>
      <c r="ASM2" s="104"/>
      <c r="ASN2" s="102"/>
      <c r="ASZ2" s="104"/>
      <c r="ATA2" s="102"/>
      <c r="ATM2" s="104"/>
      <c r="ATN2" s="102"/>
      <c r="ATZ2" s="104"/>
      <c r="AUA2" s="102"/>
      <c r="AUM2" s="104"/>
      <c r="AUN2" s="102"/>
      <c r="AUZ2" s="104"/>
      <c r="AVA2" s="102"/>
      <c r="AVM2" s="104"/>
      <c r="AVN2" s="102"/>
      <c r="AVZ2" s="104"/>
      <c r="AWA2" s="102"/>
      <c r="AWM2" s="104"/>
      <c r="AWN2" s="102"/>
      <c r="AWZ2" s="104"/>
      <c r="AXA2" s="102"/>
      <c r="AXM2" s="104"/>
      <c r="AXN2" s="102"/>
      <c r="AXZ2" s="104"/>
      <c r="AYA2" s="102"/>
      <c r="AYM2" s="104"/>
      <c r="AYN2" s="102"/>
      <c r="AYZ2" s="104"/>
      <c r="AZA2" s="102"/>
      <c r="AZM2" s="104"/>
      <c r="AZN2" s="102"/>
      <c r="AZZ2" s="104"/>
      <c r="BAA2" s="102"/>
      <c r="BAM2" s="104"/>
      <c r="BAN2" s="102"/>
      <c r="BAZ2" s="104"/>
      <c r="BBA2" s="102"/>
      <c r="BBM2" s="104"/>
      <c r="BBN2" s="102"/>
      <c r="BBZ2" s="104"/>
      <c r="BCA2" s="102"/>
      <c r="BCM2" s="104"/>
      <c r="BCN2" s="102"/>
      <c r="BCZ2" s="104"/>
      <c r="BDA2" s="102"/>
      <c r="BDM2" s="104"/>
      <c r="BDN2" s="102"/>
      <c r="BDZ2" s="104"/>
      <c r="BEA2" s="102"/>
      <c r="BEM2" s="104"/>
      <c r="BEN2" s="102"/>
      <c r="BEZ2" s="104"/>
      <c r="BFA2" s="102"/>
      <c r="BFM2" s="104"/>
      <c r="BFN2" s="102"/>
      <c r="BFZ2" s="104"/>
      <c r="BGA2" s="102"/>
      <c r="BGM2" s="104"/>
      <c r="BGN2" s="102"/>
      <c r="BGZ2" s="104"/>
      <c r="BHA2" s="102"/>
      <c r="BHM2" s="104"/>
      <c r="BHN2" s="102"/>
      <c r="BHZ2" s="104"/>
      <c r="BIA2" s="102"/>
      <c r="BIM2" s="104"/>
      <c r="BIN2" s="102"/>
      <c r="BIZ2" s="104"/>
      <c r="BJA2" s="102"/>
      <c r="BJM2" s="104"/>
      <c r="BJN2" s="102"/>
      <c r="BJZ2" s="104"/>
      <c r="BKA2" s="102"/>
      <c r="BKM2" s="104"/>
      <c r="BKN2" s="102"/>
      <c r="BKZ2" s="104"/>
      <c r="BLA2" s="102"/>
      <c r="BLM2" s="104"/>
      <c r="BLN2" s="102"/>
      <c r="BLZ2" s="104"/>
      <c r="BMA2" s="102"/>
      <c r="BMM2" s="104"/>
      <c r="BMN2" s="102"/>
      <c r="BMZ2" s="104"/>
      <c r="BNA2" s="102"/>
      <c r="BNM2" s="104"/>
      <c r="BNN2" s="102"/>
      <c r="BNZ2" s="104"/>
      <c r="BOA2" s="102"/>
      <c r="BOM2" s="104"/>
      <c r="BON2" s="102"/>
      <c r="BOZ2" s="104"/>
      <c r="BPA2" s="102"/>
      <c r="BPM2" s="104"/>
      <c r="BPN2" s="102"/>
      <c r="BPZ2" s="104"/>
      <c r="BQA2" s="102"/>
      <c r="BQM2" s="104"/>
      <c r="BQN2" s="102"/>
      <c r="BQZ2" s="104"/>
      <c r="BRA2" s="102"/>
      <c r="BRM2" s="104"/>
      <c r="BRN2" s="102"/>
      <c r="BRZ2" s="104"/>
      <c r="BSA2" s="102"/>
      <c r="BSM2" s="104"/>
      <c r="BSN2" s="102"/>
      <c r="BSZ2" s="104"/>
      <c r="BTA2" s="102"/>
      <c r="BTM2" s="104"/>
      <c r="BTN2" s="102"/>
      <c r="BTZ2" s="104"/>
      <c r="BUA2" s="102"/>
      <c r="BUM2" s="104"/>
      <c r="BUN2" s="102"/>
      <c r="BUZ2" s="104"/>
      <c r="BVA2" s="102"/>
      <c r="BVM2" s="104"/>
      <c r="BVN2" s="102"/>
      <c r="BVZ2" s="104"/>
      <c r="BWA2" s="102"/>
      <c r="BWM2" s="104"/>
      <c r="BWN2" s="102"/>
      <c r="BWZ2" s="104"/>
      <c r="BXA2" s="102"/>
      <c r="BXM2" s="104"/>
      <c r="BXN2" s="102"/>
      <c r="BXZ2" s="104"/>
      <c r="BYA2" s="102"/>
      <c r="BYM2" s="104"/>
      <c r="BYN2" s="102"/>
      <c r="BYZ2" s="104"/>
      <c r="BZA2" s="102"/>
      <c r="BZM2" s="104"/>
      <c r="BZN2" s="102"/>
      <c r="BZZ2" s="104"/>
      <c r="CAA2" s="102"/>
      <c r="CAM2" s="104"/>
      <c r="CAN2" s="102"/>
      <c r="CAZ2" s="104"/>
      <c r="CBA2" s="102"/>
      <c r="CBM2" s="104"/>
      <c r="CBN2" s="102"/>
      <c r="CBZ2" s="104"/>
      <c r="CCA2" s="102"/>
      <c r="CCM2" s="104"/>
      <c r="CCN2" s="102"/>
      <c r="CCZ2" s="104"/>
      <c r="CDA2" s="102"/>
      <c r="CDM2" s="104"/>
      <c r="CDN2" s="102"/>
      <c r="CDZ2" s="104"/>
      <c r="CEA2" s="102"/>
      <c r="CEM2" s="104"/>
      <c r="CEN2" s="102"/>
      <c r="CEZ2" s="104"/>
      <c r="CFA2" s="102"/>
      <c r="CFM2" s="104"/>
      <c r="CFN2" s="102"/>
      <c r="CFZ2" s="104"/>
      <c r="CGA2" s="102"/>
      <c r="CGM2" s="104"/>
      <c r="CGN2" s="102"/>
      <c r="CGZ2" s="104"/>
      <c r="CHA2" s="102"/>
      <c r="CHM2" s="104"/>
      <c r="CHN2" s="102"/>
      <c r="CHZ2" s="104"/>
      <c r="CIA2" s="102"/>
      <c r="CIM2" s="104"/>
      <c r="CIN2" s="102"/>
      <c r="CIZ2" s="104"/>
      <c r="CJA2" s="102"/>
      <c r="CJM2" s="104"/>
      <c r="CJN2" s="102"/>
      <c r="CJZ2" s="104"/>
      <c r="CKA2" s="102"/>
      <c r="CKM2" s="104"/>
      <c r="CKN2" s="102"/>
      <c r="CKZ2" s="104"/>
      <c r="CLA2" s="102"/>
      <c r="CLM2" s="104"/>
      <c r="CLN2" s="102"/>
      <c r="CLZ2" s="104"/>
      <c r="CMA2" s="102"/>
      <c r="CMM2" s="104"/>
      <c r="CMN2" s="102"/>
      <c r="CMZ2" s="104"/>
      <c r="CNA2" s="102"/>
      <c r="CNM2" s="104"/>
      <c r="CNN2" s="102"/>
      <c r="CNZ2" s="104"/>
      <c r="COA2" s="102"/>
      <c r="COM2" s="104"/>
      <c r="CON2" s="102"/>
      <c r="COZ2" s="104"/>
      <c r="CPA2" s="102"/>
      <c r="CPM2" s="104"/>
      <c r="CPN2" s="102"/>
      <c r="CPZ2" s="104"/>
      <c r="CQA2" s="102"/>
      <c r="CQM2" s="104"/>
      <c r="CQN2" s="102"/>
      <c r="CQZ2" s="104"/>
      <c r="CRA2" s="102"/>
      <c r="CRM2" s="104"/>
      <c r="CRN2" s="102"/>
      <c r="CRZ2" s="104"/>
      <c r="CSA2" s="102"/>
      <c r="CSM2" s="104"/>
      <c r="CSN2" s="102"/>
      <c r="CSZ2" s="104"/>
      <c r="CTA2" s="102"/>
      <c r="CTM2" s="104"/>
      <c r="CTN2" s="102"/>
      <c r="CTZ2" s="104"/>
      <c r="CUA2" s="102"/>
      <c r="CUM2" s="104"/>
      <c r="CUN2" s="102"/>
      <c r="CUZ2" s="104"/>
      <c r="CVA2" s="102"/>
      <c r="CVM2" s="104"/>
      <c r="CVN2" s="102"/>
      <c r="CVZ2" s="104"/>
      <c r="CWA2" s="102"/>
      <c r="CWM2" s="104"/>
      <c r="CWN2" s="102"/>
      <c r="CWZ2" s="104"/>
      <c r="CXA2" s="102"/>
      <c r="CXM2" s="104"/>
      <c r="CXN2" s="102"/>
      <c r="CXZ2" s="104"/>
      <c r="CYA2" s="102"/>
      <c r="CYM2" s="104"/>
      <c r="CYN2" s="102"/>
      <c r="CYZ2" s="104"/>
      <c r="CZA2" s="102"/>
      <c r="CZM2" s="104"/>
      <c r="CZN2" s="102"/>
      <c r="CZZ2" s="104"/>
      <c r="DAA2" s="102"/>
      <c r="DAM2" s="104"/>
      <c r="DAN2" s="102"/>
      <c r="DAZ2" s="104"/>
      <c r="DBA2" s="102"/>
      <c r="DBM2" s="104"/>
      <c r="DBN2" s="102"/>
      <c r="DBZ2" s="104"/>
      <c r="DCA2" s="102"/>
      <c r="DCM2" s="104"/>
      <c r="DCN2" s="102"/>
      <c r="DCZ2" s="104"/>
      <c r="DDA2" s="102"/>
      <c r="DDM2" s="104"/>
      <c r="DDN2" s="102"/>
      <c r="DDZ2" s="104"/>
      <c r="DEA2" s="102"/>
      <c r="DEM2" s="104"/>
      <c r="DEN2" s="102"/>
      <c r="DEZ2" s="104"/>
      <c r="DFA2" s="102"/>
      <c r="DFM2" s="104"/>
      <c r="DFN2" s="102"/>
      <c r="DFZ2" s="104"/>
      <c r="DGA2" s="102"/>
      <c r="DGM2" s="104"/>
      <c r="DGN2" s="102"/>
      <c r="DGZ2" s="104"/>
      <c r="DHA2" s="102"/>
      <c r="DHM2" s="104"/>
      <c r="DHN2" s="102"/>
      <c r="DHZ2" s="104"/>
      <c r="DIA2" s="102"/>
      <c r="DIM2" s="104"/>
      <c r="DIN2" s="102"/>
      <c r="DIZ2" s="104"/>
      <c r="DJA2" s="102"/>
      <c r="DJM2" s="104"/>
      <c r="DJN2" s="102"/>
      <c r="DJZ2" s="104"/>
      <c r="DKA2" s="102"/>
      <c r="DKM2" s="104"/>
      <c r="DKN2" s="102"/>
      <c r="DKZ2" s="104"/>
      <c r="DLA2" s="102"/>
      <c r="DLM2" s="104"/>
      <c r="DLN2" s="102"/>
      <c r="DLZ2" s="104"/>
      <c r="DMA2" s="102"/>
      <c r="DMM2" s="104"/>
      <c r="DMN2" s="102"/>
      <c r="DMZ2" s="104"/>
      <c r="DNA2" s="102"/>
      <c r="DNM2" s="104"/>
      <c r="DNN2" s="102"/>
      <c r="DNZ2" s="104"/>
      <c r="DOA2" s="102"/>
      <c r="DOM2" s="104"/>
      <c r="DON2" s="102"/>
      <c r="DOZ2" s="104"/>
      <c r="DPA2" s="102"/>
      <c r="DPM2" s="104"/>
      <c r="DPN2" s="102"/>
      <c r="DPZ2" s="104"/>
      <c r="DQA2" s="102"/>
      <c r="DQM2" s="104"/>
      <c r="DQN2" s="102"/>
      <c r="DQZ2" s="104"/>
      <c r="DRA2" s="102"/>
      <c r="DRM2" s="104"/>
      <c r="DRN2" s="102"/>
      <c r="DRZ2" s="104"/>
      <c r="DSA2" s="102"/>
      <c r="DSM2" s="104"/>
      <c r="DSN2" s="102"/>
      <c r="DSZ2" s="104"/>
      <c r="DTA2" s="102"/>
      <c r="DTM2" s="104"/>
      <c r="DTN2" s="102"/>
      <c r="DTZ2" s="104"/>
      <c r="DUA2" s="102"/>
      <c r="DUM2" s="104"/>
      <c r="DUN2" s="102"/>
      <c r="DUZ2" s="104"/>
      <c r="DVA2" s="102"/>
      <c r="DVM2" s="104"/>
      <c r="DVN2" s="102"/>
      <c r="DVZ2" s="104"/>
      <c r="DWA2" s="102"/>
      <c r="DWM2" s="104"/>
      <c r="DWN2" s="102"/>
      <c r="DWZ2" s="104"/>
      <c r="DXA2" s="102"/>
      <c r="DXM2" s="104"/>
      <c r="DXN2" s="102"/>
      <c r="DXZ2" s="104"/>
      <c r="DYA2" s="102"/>
      <c r="DYM2" s="104"/>
      <c r="DYN2" s="102"/>
      <c r="DYZ2" s="104"/>
      <c r="DZA2" s="102"/>
      <c r="DZM2" s="104"/>
      <c r="DZN2" s="102"/>
      <c r="DZZ2" s="104"/>
      <c r="EAA2" s="102"/>
      <c r="EAM2" s="104"/>
      <c r="EAN2" s="102"/>
      <c r="EAZ2" s="104"/>
      <c r="EBA2" s="102"/>
      <c r="EBM2" s="104"/>
      <c r="EBN2" s="102"/>
      <c r="EBZ2" s="104"/>
      <c r="ECA2" s="102"/>
      <c r="ECM2" s="104"/>
      <c r="ECN2" s="102"/>
      <c r="ECZ2" s="104"/>
      <c r="EDA2" s="102"/>
      <c r="EDM2" s="104"/>
      <c r="EDN2" s="102"/>
      <c r="EDZ2" s="104"/>
      <c r="EEA2" s="102"/>
      <c r="EEM2" s="104"/>
      <c r="EEN2" s="102"/>
      <c r="EEZ2" s="104"/>
      <c r="EFA2" s="102"/>
      <c r="EFM2" s="104"/>
      <c r="EFN2" s="102"/>
      <c r="EFZ2" s="104"/>
      <c r="EGA2" s="102"/>
      <c r="EGM2" s="104"/>
      <c r="EGN2" s="102"/>
      <c r="EGZ2" s="104"/>
      <c r="EHA2" s="102"/>
      <c r="EHM2" s="104"/>
      <c r="EHN2" s="102"/>
      <c r="EHZ2" s="104"/>
      <c r="EIA2" s="102"/>
      <c r="EIM2" s="104"/>
      <c r="EIN2" s="102"/>
      <c r="EIZ2" s="104"/>
      <c r="EJA2" s="102"/>
      <c r="EJM2" s="104"/>
      <c r="EJN2" s="102"/>
      <c r="EJZ2" s="104"/>
      <c r="EKA2" s="102"/>
      <c r="EKM2" s="104"/>
      <c r="EKN2" s="102"/>
      <c r="EKZ2" s="104"/>
      <c r="ELA2" s="102"/>
      <c r="ELM2" s="104"/>
      <c r="ELN2" s="102"/>
      <c r="ELZ2" s="104"/>
      <c r="EMA2" s="102"/>
      <c r="EMM2" s="104"/>
      <c r="EMN2" s="102"/>
      <c r="EMZ2" s="104"/>
      <c r="ENA2" s="102"/>
      <c r="ENM2" s="104"/>
      <c r="ENN2" s="102"/>
      <c r="ENZ2" s="104"/>
      <c r="EOA2" s="102"/>
      <c r="EOM2" s="104"/>
      <c r="EON2" s="102"/>
      <c r="EOZ2" s="104"/>
      <c r="EPA2" s="102"/>
      <c r="EPM2" s="104"/>
      <c r="EPN2" s="102"/>
      <c r="EPZ2" s="104"/>
      <c r="EQA2" s="102"/>
      <c r="EQM2" s="104"/>
      <c r="EQN2" s="102"/>
      <c r="EQZ2" s="104"/>
      <c r="ERA2" s="102"/>
      <c r="ERM2" s="104"/>
      <c r="ERN2" s="102"/>
      <c r="ERZ2" s="104"/>
      <c r="ESA2" s="102"/>
      <c r="ESM2" s="104"/>
      <c r="ESN2" s="102"/>
      <c r="ESZ2" s="104"/>
      <c r="ETA2" s="102"/>
      <c r="ETM2" s="104"/>
      <c r="ETN2" s="102"/>
      <c r="ETZ2" s="104"/>
      <c r="EUA2" s="102"/>
      <c r="EUM2" s="104"/>
      <c r="EUN2" s="102"/>
      <c r="EUZ2" s="104"/>
      <c r="EVA2" s="102"/>
      <c r="EVM2" s="104"/>
      <c r="EVN2" s="102"/>
      <c r="EVZ2" s="104"/>
      <c r="EWA2" s="102"/>
      <c r="EWM2" s="104"/>
      <c r="EWN2" s="102"/>
      <c r="EWZ2" s="104"/>
      <c r="EXA2" s="102"/>
      <c r="EXM2" s="104"/>
      <c r="EXN2" s="102"/>
      <c r="EXZ2" s="104"/>
      <c r="EYA2" s="102"/>
      <c r="EYM2" s="104"/>
      <c r="EYN2" s="102"/>
      <c r="EYZ2" s="104"/>
      <c r="EZA2" s="102"/>
      <c r="EZM2" s="104"/>
      <c r="EZN2" s="102"/>
      <c r="EZZ2" s="104"/>
      <c r="FAA2" s="102"/>
      <c r="FAM2" s="104"/>
      <c r="FAN2" s="102"/>
      <c r="FAZ2" s="104"/>
      <c r="FBA2" s="102"/>
      <c r="FBM2" s="104"/>
      <c r="FBN2" s="102"/>
      <c r="FBZ2" s="104"/>
      <c r="FCA2" s="102"/>
      <c r="FCM2" s="104"/>
      <c r="FCN2" s="102"/>
      <c r="FCZ2" s="104"/>
      <c r="FDA2" s="102"/>
      <c r="FDM2" s="104"/>
      <c r="FDN2" s="102"/>
      <c r="FDZ2" s="104"/>
      <c r="FEA2" s="102"/>
      <c r="FEM2" s="104"/>
      <c r="FEN2" s="102"/>
      <c r="FEZ2" s="104"/>
      <c r="FFA2" s="102"/>
      <c r="FFM2" s="104"/>
      <c r="FFN2" s="102"/>
      <c r="FFZ2" s="104"/>
      <c r="FGA2" s="102"/>
      <c r="FGM2" s="104"/>
      <c r="FGN2" s="102"/>
      <c r="FGZ2" s="104"/>
      <c r="FHA2" s="102"/>
      <c r="FHM2" s="104"/>
      <c r="FHN2" s="102"/>
      <c r="FHZ2" s="104"/>
      <c r="FIA2" s="102"/>
      <c r="FIM2" s="104"/>
      <c r="FIN2" s="102"/>
      <c r="FIZ2" s="104"/>
      <c r="FJA2" s="102"/>
      <c r="FJM2" s="104"/>
      <c r="FJN2" s="102"/>
      <c r="FJZ2" s="104"/>
      <c r="FKA2" s="102"/>
      <c r="FKM2" s="104"/>
      <c r="FKN2" s="102"/>
      <c r="FKZ2" s="104"/>
      <c r="FLA2" s="102"/>
      <c r="FLM2" s="104"/>
      <c r="FLN2" s="102"/>
      <c r="FLZ2" s="104"/>
      <c r="FMA2" s="102"/>
      <c r="FMM2" s="104"/>
      <c r="FMN2" s="102"/>
      <c r="FMZ2" s="104"/>
      <c r="FNA2" s="102"/>
      <c r="FNM2" s="104"/>
      <c r="FNN2" s="102"/>
      <c r="FNZ2" s="104"/>
      <c r="FOA2" s="102"/>
      <c r="FOM2" s="104"/>
      <c r="FON2" s="102"/>
      <c r="FOZ2" s="104"/>
      <c r="FPA2" s="102"/>
      <c r="FPM2" s="104"/>
      <c r="FPN2" s="102"/>
      <c r="FPZ2" s="104"/>
      <c r="FQA2" s="102"/>
      <c r="FQM2" s="104"/>
      <c r="FQN2" s="102"/>
      <c r="FQZ2" s="104"/>
      <c r="FRA2" s="102"/>
      <c r="FRM2" s="104"/>
      <c r="FRN2" s="102"/>
      <c r="FRZ2" s="104"/>
      <c r="FSA2" s="102"/>
      <c r="FSM2" s="104"/>
      <c r="FSN2" s="102"/>
      <c r="FSZ2" s="104"/>
      <c r="FTA2" s="102"/>
      <c r="FTM2" s="104"/>
      <c r="FTN2" s="102"/>
      <c r="FTZ2" s="104"/>
      <c r="FUA2" s="102"/>
      <c r="FUM2" s="104"/>
      <c r="FUN2" s="102"/>
      <c r="FUZ2" s="104"/>
      <c r="FVA2" s="102"/>
      <c r="FVM2" s="104"/>
      <c r="FVN2" s="102"/>
      <c r="FVZ2" s="104"/>
      <c r="FWA2" s="102"/>
      <c r="FWM2" s="104"/>
      <c r="FWN2" s="102"/>
      <c r="FWZ2" s="104"/>
      <c r="FXA2" s="102"/>
      <c r="FXM2" s="104"/>
      <c r="FXN2" s="102"/>
      <c r="FXZ2" s="104"/>
      <c r="FYA2" s="102"/>
      <c r="FYM2" s="104"/>
      <c r="FYN2" s="102"/>
      <c r="FYZ2" s="104"/>
      <c r="FZA2" s="102"/>
      <c r="FZM2" s="104"/>
      <c r="FZN2" s="102"/>
      <c r="FZZ2" s="104"/>
      <c r="GAA2" s="102"/>
      <c r="GAM2" s="104"/>
      <c r="GAN2" s="102"/>
      <c r="GAZ2" s="104"/>
      <c r="GBA2" s="102"/>
      <c r="GBM2" s="104"/>
      <c r="GBN2" s="102"/>
      <c r="GBZ2" s="104"/>
      <c r="GCA2" s="102"/>
      <c r="GCM2" s="104"/>
      <c r="GCN2" s="102"/>
      <c r="GCZ2" s="104"/>
      <c r="GDA2" s="102"/>
      <c r="GDM2" s="104"/>
      <c r="GDN2" s="102"/>
      <c r="GDZ2" s="104"/>
      <c r="GEA2" s="102"/>
      <c r="GEM2" s="104"/>
      <c r="GEN2" s="102"/>
      <c r="GEZ2" s="104"/>
      <c r="GFA2" s="102"/>
      <c r="GFM2" s="104"/>
      <c r="GFN2" s="102"/>
      <c r="GFZ2" s="104"/>
      <c r="GGA2" s="102"/>
      <c r="GGM2" s="104"/>
      <c r="GGN2" s="102"/>
      <c r="GGZ2" s="104"/>
      <c r="GHA2" s="102"/>
      <c r="GHM2" s="104"/>
      <c r="GHN2" s="102"/>
      <c r="GHZ2" s="104"/>
      <c r="GIA2" s="102"/>
      <c r="GIM2" s="104"/>
      <c r="GIN2" s="102"/>
      <c r="GIZ2" s="104"/>
      <c r="GJA2" s="102"/>
      <c r="GJM2" s="104"/>
      <c r="GJN2" s="102"/>
      <c r="GJZ2" s="104"/>
      <c r="GKA2" s="102"/>
      <c r="GKM2" s="104"/>
      <c r="GKN2" s="102"/>
      <c r="GKZ2" s="104"/>
      <c r="GLA2" s="102"/>
      <c r="GLM2" s="104"/>
      <c r="GLN2" s="102"/>
      <c r="GLZ2" s="104"/>
      <c r="GMA2" s="102"/>
      <c r="GMM2" s="104"/>
      <c r="GMN2" s="102"/>
      <c r="GMZ2" s="104"/>
      <c r="GNA2" s="102"/>
      <c r="GNM2" s="104"/>
      <c r="GNN2" s="102"/>
      <c r="GNZ2" s="104"/>
      <c r="GOA2" s="102"/>
      <c r="GOM2" s="104"/>
      <c r="GON2" s="102"/>
      <c r="GOZ2" s="104"/>
      <c r="GPA2" s="102"/>
      <c r="GPM2" s="104"/>
      <c r="GPN2" s="102"/>
      <c r="GPZ2" s="104"/>
      <c r="GQA2" s="102"/>
      <c r="GQM2" s="104"/>
      <c r="GQN2" s="102"/>
      <c r="GQZ2" s="104"/>
      <c r="GRA2" s="102"/>
      <c r="GRM2" s="104"/>
      <c r="GRN2" s="102"/>
      <c r="GRZ2" s="104"/>
      <c r="GSA2" s="102"/>
      <c r="GSM2" s="104"/>
      <c r="GSN2" s="102"/>
      <c r="GSZ2" s="104"/>
      <c r="GTA2" s="102"/>
      <c r="GTM2" s="104"/>
      <c r="GTN2" s="102"/>
      <c r="GTZ2" s="104"/>
      <c r="GUA2" s="102"/>
      <c r="GUM2" s="104"/>
      <c r="GUN2" s="102"/>
      <c r="GUZ2" s="104"/>
      <c r="GVA2" s="102"/>
      <c r="GVM2" s="104"/>
      <c r="GVN2" s="102"/>
      <c r="GVZ2" s="104"/>
      <c r="GWA2" s="102"/>
      <c r="GWM2" s="104"/>
      <c r="GWN2" s="102"/>
      <c r="GWZ2" s="104"/>
      <c r="GXA2" s="102"/>
      <c r="GXM2" s="104"/>
      <c r="GXN2" s="102"/>
      <c r="GXZ2" s="104"/>
      <c r="GYA2" s="102"/>
      <c r="GYM2" s="104"/>
      <c r="GYN2" s="102"/>
      <c r="GYZ2" s="104"/>
      <c r="GZA2" s="102"/>
      <c r="GZM2" s="104"/>
      <c r="GZN2" s="102"/>
      <c r="GZZ2" s="104"/>
      <c r="HAA2" s="102"/>
      <c r="HAM2" s="104"/>
      <c r="HAN2" s="102"/>
      <c r="HAZ2" s="104"/>
      <c r="HBA2" s="102"/>
      <c r="HBM2" s="104"/>
      <c r="HBN2" s="102"/>
      <c r="HBZ2" s="104"/>
      <c r="HCA2" s="102"/>
      <c r="HCM2" s="104"/>
      <c r="HCN2" s="102"/>
      <c r="HCZ2" s="104"/>
      <c r="HDA2" s="102"/>
      <c r="HDM2" s="104"/>
      <c r="HDN2" s="102"/>
      <c r="HDZ2" s="104"/>
      <c r="HEA2" s="102"/>
      <c r="HEM2" s="104"/>
      <c r="HEN2" s="102"/>
      <c r="HEZ2" s="104"/>
      <c r="HFA2" s="102"/>
      <c r="HFM2" s="104"/>
      <c r="HFN2" s="102"/>
      <c r="HFZ2" s="104"/>
      <c r="HGA2" s="102"/>
      <c r="HGM2" s="104"/>
      <c r="HGN2" s="102"/>
      <c r="HGZ2" s="104"/>
      <c r="HHA2" s="102"/>
      <c r="HHM2" s="104"/>
      <c r="HHN2" s="102"/>
      <c r="HHZ2" s="104"/>
      <c r="HIA2" s="102"/>
      <c r="HIM2" s="104"/>
      <c r="HIN2" s="102"/>
      <c r="HIZ2" s="104"/>
      <c r="HJA2" s="102"/>
      <c r="HJM2" s="104"/>
      <c r="HJN2" s="102"/>
      <c r="HJZ2" s="104"/>
      <c r="HKA2" s="102"/>
      <c r="HKM2" s="104"/>
      <c r="HKN2" s="102"/>
      <c r="HKZ2" s="104"/>
      <c r="HLA2" s="102"/>
      <c r="HLM2" s="104"/>
      <c r="HLN2" s="102"/>
      <c r="HLZ2" s="104"/>
      <c r="HMA2" s="102"/>
      <c r="HMM2" s="104"/>
      <c r="HMN2" s="102"/>
      <c r="HMZ2" s="104"/>
      <c r="HNA2" s="102"/>
      <c r="HNM2" s="104"/>
      <c r="HNN2" s="102"/>
      <c r="HNZ2" s="104"/>
      <c r="HOA2" s="102"/>
      <c r="HOM2" s="104"/>
      <c r="HON2" s="102"/>
      <c r="HOZ2" s="104"/>
      <c r="HPA2" s="102"/>
      <c r="HPM2" s="104"/>
      <c r="HPN2" s="102"/>
      <c r="HPZ2" s="104"/>
      <c r="HQA2" s="102"/>
      <c r="HQM2" s="104"/>
      <c r="HQN2" s="102"/>
      <c r="HQZ2" s="104"/>
      <c r="HRA2" s="102"/>
      <c r="HRM2" s="104"/>
      <c r="HRN2" s="102"/>
      <c r="HRZ2" s="104"/>
      <c r="HSA2" s="102"/>
      <c r="HSM2" s="104"/>
      <c r="HSN2" s="102"/>
      <c r="HSZ2" s="104"/>
      <c r="HTA2" s="102"/>
      <c r="HTM2" s="104"/>
      <c r="HTN2" s="102"/>
      <c r="HTZ2" s="104"/>
      <c r="HUA2" s="102"/>
      <c r="HUM2" s="104"/>
      <c r="HUN2" s="102"/>
      <c r="HUZ2" s="104"/>
      <c r="HVA2" s="102"/>
      <c r="HVM2" s="104"/>
      <c r="HVN2" s="102"/>
      <c r="HVZ2" s="104"/>
      <c r="HWA2" s="102"/>
      <c r="HWM2" s="104"/>
      <c r="HWN2" s="102"/>
      <c r="HWZ2" s="104"/>
      <c r="HXA2" s="102"/>
      <c r="HXM2" s="104"/>
      <c r="HXN2" s="102"/>
      <c r="HXZ2" s="104"/>
      <c r="HYA2" s="102"/>
      <c r="HYM2" s="104"/>
      <c r="HYN2" s="102"/>
      <c r="HYZ2" s="104"/>
      <c r="HZA2" s="102"/>
      <c r="HZM2" s="104"/>
      <c r="HZN2" s="102"/>
      <c r="HZZ2" s="104"/>
      <c r="IAA2" s="102"/>
      <c r="IAM2" s="104"/>
      <c r="IAN2" s="102"/>
      <c r="IAZ2" s="104"/>
      <c r="IBA2" s="102"/>
      <c r="IBM2" s="104"/>
      <c r="IBN2" s="102"/>
      <c r="IBZ2" s="104"/>
      <c r="ICA2" s="102"/>
      <c r="ICM2" s="104"/>
      <c r="ICN2" s="102"/>
      <c r="ICZ2" s="104"/>
      <c r="IDA2" s="102"/>
      <c r="IDM2" s="104"/>
      <c r="IDN2" s="102"/>
      <c r="IDZ2" s="104"/>
      <c r="IEA2" s="102"/>
      <c r="IEM2" s="104"/>
      <c r="IEN2" s="102"/>
      <c r="IEZ2" s="104"/>
      <c r="IFA2" s="102"/>
      <c r="IFM2" s="104"/>
      <c r="IFN2" s="102"/>
      <c r="IFZ2" s="104"/>
      <c r="IGA2" s="102"/>
      <c r="IGM2" s="104"/>
      <c r="IGN2" s="102"/>
      <c r="IGZ2" s="104"/>
      <c r="IHA2" s="102"/>
      <c r="IHM2" s="104"/>
      <c r="IHN2" s="102"/>
      <c r="IHZ2" s="104"/>
      <c r="IIA2" s="102"/>
      <c r="IIM2" s="104"/>
      <c r="IIN2" s="102"/>
      <c r="IIZ2" s="104"/>
      <c r="IJA2" s="102"/>
      <c r="IJM2" s="104"/>
      <c r="IJN2" s="102"/>
      <c r="IJZ2" s="104"/>
      <c r="IKA2" s="102"/>
      <c r="IKM2" s="104"/>
      <c r="IKN2" s="102"/>
      <c r="IKZ2" s="104"/>
      <c r="ILA2" s="102"/>
      <c r="ILM2" s="104"/>
      <c r="ILN2" s="102"/>
      <c r="ILZ2" s="104"/>
      <c r="IMA2" s="102"/>
      <c r="IMM2" s="104"/>
      <c r="IMN2" s="102"/>
      <c r="IMZ2" s="104"/>
      <c r="INA2" s="102"/>
      <c r="INM2" s="104"/>
      <c r="INN2" s="102"/>
      <c r="INZ2" s="104"/>
      <c r="IOA2" s="102"/>
      <c r="IOM2" s="104"/>
      <c r="ION2" s="102"/>
      <c r="IOZ2" s="104"/>
      <c r="IPA2" s="102"/>
      <c r="IPM2" s="104"/>
      <c r="IPN2" s="102"/>
      <c r="IPZ2" s="104"/>
      <c r="IQA2" s="102"/>
      <c r="IQM2" s="104"/>
      <c r="IQN2" s="102"/>
      <c r="IQZ2" s="104"/>
      <c r="IRA2" s="102"/>
      <c r="IRM2" s="104"/>
      <c r="IRN2" s="102"/>
      <c r="IRZ2" s="104"/>
      <c r="ISA2" s="102"/>
      <c r="ISM2" s="104"/>
      <c r="ISN2" s="102"/>
      <c r="ISZ2" s="104"/>
      <c r="ITA2" s="102"/>
      <c r="ITM2" s="104"/>
      <c r="ITN2" s="102"/>
      <c r="ITZ2" s="104"/>
      <c r="IUA2" s="102"/>
      <c r="IUM2" s="104"/>
      <c r="IUN2" s="102"/>
      <c r="IUZ2" s="104"/>
      <c r="IVA2" s="102"/>
      <c r="IVM2" s="104"/>
      <c r="IVN2" s="102"/>
      <c r="IVZ2" s="104"/>
      <c r="IWA2" s="102"/>
      <c r="IWM2" s="104"/>
      <c r="IWN2" s="102"/>
      <c r="IWZ2" s="104"/>
      <c r="IXA2" s="102"/>
      <c r="IXM2" s="104"/>
      <c r="IXN2" s="102"/>
      <c r="IXZ2" s="104"/>
      <c r="IYA2" s="102"/>
      <c r="IYM2" s="104"/>
      <c r="IYN2" s="102"/>
      <c r="IYZ2" s="104"/>
      <c r="IZA2" s="102"/>
      <c r="IZM2" s="104"/>
      <c r="IZN2" s="102"/>
      <c r="IZZ2" s="104"/>
      <c r="JAA2" s="102"/>
      <c r="JAM2" s="104"/>
      <c r="JAN2" s="102"/>
      <c r="JAZ2" s="104"/>
      <c r="JBA2" s="102"/>
      <c r="JBM2" s="104"/>
      <c r="JBN2" s="102"/>
      <c r="JBZ2" s="104"/>
      <c r="JCA2" s="102"/>
      <c r="JCM2" s="104"/>
      <c r="JCN2" s="102"/>
      <c r="JCZ2" s="104"/>
      <c r="JDA2" s="102"/>
      <c r="JDM2" s="104"/>
      <c r="JDN2" s="102"/>
      <c r="JDZ2" s="104"/>
      <c r="JEA2" s="102"/>
      <c r="JEM2" s="104"/>
      <c r="JEN2" s="102"/>
      <c r="JEZ2" s="104"/>
      <c r="JFA2" s="102"/>
      <c r="JFM2" s="104"/>
      <c r="JFN2" s="102"/>
      <c r="JFZ2" s="104"/>
      <c r="JGA2" s="102"/>
      <c r="JGM2" s="104"/>
      <c r="JGN2" s="102"/>
      <c r="JGZ2" s="104"/>
      <c r="JHA2" s="102"/>
      <c r="JHM2" s="104"/>
      <c r="JHN2" s="102"/>
      <c r="JHZ2" s="104"/>
      <c r="JIA2" s="102"/>
      <c r="JIM2" s="104"/>
      <c r="JIN2" s="102"/>
      <c r="JIZ2" s="104"/>
      <c r="JJA2" s="102"/>
      <c r="JJM2" s="104"/>
      <c r="JJN2" s="102"/>
      <c r="JJZ2" s="104"/>
      <c r="JKA2" s="102"/>
      <c r="JKM2" s="104"/>
      <c r="JKN2" s="102"/>
      <c r="JKZ2" s="104"/>
      <c r="JLA2" s="102"/>
      <c r="JLM2" s="104"/>
      <c r="JLN2" s="102"/>
      <c r="JLZ2" s="104"/>
      <c r="JMA2" s="102"/>
      <c r="JMM2" s="104"/>
      <c r="JMN2" s="102"/>
      <c r="JMZ2" s="104"/>
      <c r="JNA2" s="102"/>
      <c r="JNM2" s="104"/>
      <c r="JNN2" s="102"/>
      <c r="JNZ2" s="104"/>
      <c r="JOA2" s="102"/>
      <c r="JOM2" s="104"/>
      <c r="JON2" s="102"/>
      <c r="JOZ2" s="104"/>
      <c r="JPA2" s="102"/>
      <c r="JPM2" s="104"/>
      <c r="JPN2" s="102"/>
      <c r="JPZ2" s="104"/>
      <c r="JQA2" s="102"/>
      <c r="JQM2" s="104"/>
      <c r="JQN2" s="102"/>
      <c r="JQZ2" s="104"/>
      <c r="JRA2" s="102"/>
      <c r="JRM2" s="104"/>
      <c r="JRN2" s="102"/>
      <c r="JRZ2" s="104"/>
      <c r="JSA2" s="102"/>
      <c r="JSM2" s="104"/>
      <c r="JSN2" s="102"/>
      <c r="JSZ2" s="104"/>
      <c r="JTA2" s="102"/>
      <c r="JTM2" s="104"/>
      <c r="JTN2" s="102"/>
      <c r="JTZ2" s="104"/>
      <c r="JUA2" s="102"/>
      <c r="JUM2" s="104"/>
      <c r="JUN2" s="102"/>
      <c r="JUZ2" s="104"/>
      <c r="JVA2" s="102"/>
      <c r="JVM2" s="104"/>
      <c r="JVN2" s="102"/>
      <c r="JVZ2" s="104"/>
      <c r="JWA2" s="102"/>
      <c r="JWM2" s="104"/>
      <c r="JWN2" s="102"/>
      <c r="JWZ2" s="104"/>
      <c r="JXA2" s="102"/>
      <c r="JXM2" s="104"/>
      <c r="JXN2" s="102"/>
      <c r="JXZ2" s="104"/>
      <c r="JYA2" s="102"/>
      <c r="JYM2" s="104"/>
      <c r="JYN2" s="102"/>
      <c r="JYZ2" s="104"/>
      <c r="JZA2" s="102"/>
      <c r="JZM2" s="104"/>
      <c r="JZN2" s="102"/>
      <c r="JZZ2" s="104"/>
      <c r="KAA2" s="102"/>
      <c r="KAM2" s="104"/>
      <c r="KAN2" s="102"/>
      <c r="KAZ2" s="104"/>
      <c r="KBA2" s="102"/>
      <c r="KBM2" s="104"/>
      <c r="KBN2" s="102"/>
      <c r="KBZ2" s="104"/>
      <c r="KCA2" s="102"/>
      <c r="KCM2" s="104"/>
      <c r="KCN2" s="102"/>
      <c r="KCZ2" s="104"/>
      <c r="KDA2" s="102"/>
      <c r="KDM2" s="104"/>
      <c r="KDN2" s="102"/>
      <c r="KDZ2" s="104"/>
      <c r="KEA2" s="102"/>
      <c r="KEM2" s="104"/>
      <c r="KEN2" s="102"/>
      <c r="KEZ2" s="104"/>
      <c r="KFA2" s="102"/>
      <c r="KFM2" s="104"/>
      <c r="KFN2" s="102"/>
      <c r="KFZ2" s="104"/>
      <c r="KGA2" s="102"/>
      <c r="KGM2" s="104"/>
      <c r="KGN2" s="102"/>
      <c r="KGZ2" s="104"/>
      <c r="KHA2" s="102"/>
      <c r="KHM2" s="104"/>
      <c r="KHN2" s="102"/>
      <c r="KHZ2" s="104"/>
      <c r="KIA2" s="102"/>
      <c r="KIM2" s="104"/>
      <c r="KIN2" s="102"/>
      <c r="KIZ2" s="104"/>
      <c r="KJA2" s="102"/>
      <c r="KJM2" s="104"/>
      <c r="KJN2" s="102"/>
      <c r="KJZ2" s="104"/>
      <c r="KKA2" s="102"/>
      <c r="KKM2" s="104"/>
      <c r="KKN2" s="102"/>
      <c r="KKZ2" s="104"/>
      <c r="KLA2" s="102"/>
      <c r="KLM2" s="104"/>
      <c r="KLN2" s="102"/>
      <c r="KLZ2" s="104"/>
      <c r="KMA2" s="102"/>
      <c r="KMM2" s="104"/>
      <c r="KMN2" s="102"/>
      <c r="KMZ2" s="104"/>
      <c r="KNA2" s="102"/>
      <c r="KNM2" s="104"/>
      <c r="KNN2" s="102"/>
      <c r="KNZ2" s="104"/>
      <c r="KOA2" s="102"/>
      <c r="KOM2" s="104"/>
      <c r="KON2" s="102"/>
      <c r="KOZ2" s="104"/>
      <c r="KPA2" s="102"/>
      <c r="KPM2" s="104"/>
      <c r="KPN2" s="102"/>
      <c r="KPZ2" s="104"/>
      <c r="KQA2" s="102"/>
      <c r="KQM2" s="104"/>
      <c r="KQN2" s="102"/>
      <c r="KQZ2" s="104"/>
      <c r="KRA2" s="102"/>
      <c r="KRM2" s="104"/>
      <c r="KRN2" s="102"/>
      <c r="KRZ2" s="104"/>
      <c r="KSA2" s="102"/>
      <c r="KSM2" s="104"/>
      <c r="KSN2" s="102"/>
      <c r="KSZ2" s="104"/>
      <c r="KTA2" s="102"/>
      <c r="KTM2" s="104"/>
      <c r="KTN2" s="102"/>
      <c r="KTZ2" s="104"/>
      <c r="KUA2" s="102"/>
      <c r="KUM2" s="104"/>
      <c r="KUN2" s="102"/>
      <c r="KUZ2" s="104"/>
      <c r="KVA2" s="102"/>
      <c r="KVM2" s="104"/>
      <c r="KVN2" s="102"/>
      <c r="KVZ2" s="104"/>
      <c r="KWA2" s="102"/>
      <c r="KWM2" s="104"/>
      <c r="KWN2" s="102"/>
      <c r="KWZ2" s="104"/>
      <c r="KXA2" s="102"/>
      <c r="KXM2" s="104"/>
      <c r="KXN2" s="102"/>
      <c r="KXZ2" s="104"/>
      <c r="KYA2" s="102"/>
      <c r="KYM2" s="104"/>
      <c r="KYN2" s="102"/>
      <c r="KYZ2" s="104"/>
      <c r="KZA2" s="102"/>
      <c r="KZM2" s="104"/>
      <c r="KZN2" s="102"/>
      <c r="KZZ2" s="104"/>
      <c r="LAA2" s="102"/>
      <c r="LAM2" s="104"/>
      <c r="LAN2" s="102"/>
      <c r="LAZ2" s="104"/>
      <c r="LBA2" s="102"/>
      <c r="LBM2" s="104"/>
      <c r="LBN2" s="102"/>
      <c r="LBZ2" s="104"/>
      <c r="LCA2" s="102"/>
      <c r="LCM2" s="104"/>
      <c r="LCN2" s="102"/>
      <c r="LCZ2" s="104"/>
      <c r="LDA2" s="102"/>
      <c r="LDM2" s="104"/>
      <c r="LDN2" s="102"/>
      <c r="LDZ2" s="104"/>
      <c r="LEA2" s="102"/>
      <c r="LEM2" s="104"/>
      <c r="LEN2" s="102"/>
      <c r="LEZ2" s="104"/>
      <c r="LFA2" s="102"/>
      <c r="LFM2" s="104"/>
      <c r="LFN2" s="102"/>
      <c r="LFZ2" s="104"/>
      <c r="LGA2" s="102"/>
      <c r="LGM2" s="104"/>
      <c r="LGN2" s="102"/>
      <c r="LGZ2" s="104"/>
      <c r="LHA2" s="102"/>
      <c r="LHM2" s="104"/>
      <c r="LHN2" s="102"/>
      <c r="LHZ2" s="104"/>
      <c r="LIA2" s="102"/>
      <c r="LIM2" s="104"/>
      <c r="LIN2" s="102"/>
      <c r="LIZ2" s="104"/>
      <c r="LJA2" s="102"/>
      <c r="LJM2" s="104"/>
      <c r="LJN2" s="102"/>
      <c r="LJZ2" s="104"/>
      <c r="LKA2" s="102"/>
      <c r="LKM2" s="104"/>
      <c r="LKN2" s="102"/>
      <c r="LKZ2" s="104"/>
      <c r="LLA2" s="102"/>
      <c r="LLM2" s="104"/>
      <c r="LLN2" s="102"/>
      <c r="LLZ2" s="104"/>
      <c r="LMA2" s="102"/>
      <c r="LMM2" s="104"/>
      <c r="LMN2" s="102"/>
      <c r="LMZ2" s="104"/>
      <c r="LNA2" s="102"/>
      <c r="LNM2" s="104"/>
      <c r="LNN2" s="102"/>
      <c r="LNZ2" s="104"/>
      <c r="LOA2" s="102"/>
      <c r="LOM2" s="104"/>
      <c r="LON2" s="102"/>
      <c r="LOZ2" s="104"/>
      <c r="LPA2" s="102"/>
      <c r="LPM2" s="104"/>
      <c r="LPN2" s="102"/>
      <c r="LPZ2" s="104"/>
      <c r="LQA2" s="102"/>
      <c r="LQM2" s="104"/>
      <c r="LQN2" s="102"/>
      <c r="LQZ2" s="104"/>
      <c r="LRA2" s="102"/>
      <c r="LRM2" s="104"/>
      <c r="LRN2" s="102"/>
      <c r="LRZ2" s="104"/>
      <c r="LSA2" s="102"/>
      <c r="LSM2" s="104"/>
      <c r="LSN2" s="102"/>
      <c r="LSZ2" s="104"/>
      <c r="LTA2" s="102"/>
      <c r="LTM2" s="104"/>
      <c r="LTN2" s="102"/>
      <c r="LTZ2" s="104"/>
      <c r="LUA2" s="102"/>
      <c r="LUM2" s="104"/>
      <c r="LUN2" s="102"/>
      <c r="LUZ2" s="104"/>
      <c r="LVA2" s="102"/>
      <c r="LVM2" s="104"/>
      <c r="LVN2" s="102"/>
      <c r="LVZ2" s="104"/>
      <c r="LWA2" s="102"/>
      <c r="LWM2" s="104"/>
      <c r="LWN2" s="102"/>
      <c r="LWZ2" s="104"/>
      <c r="LXA2" s="102"/>
      <c r="LXM2" s="104"/>
      <c r="LXN2" s="102"/>
      <c r="LXZ2" s="104"/>
      <c r="LYA2" s="102"/>
      <c r="LYM2" s="104"/>
      <c r="LYN2" s="102"/>
      <c r="LYZ2" s="104"/>
      <c r="LZA2" s="102"/>
      <c r="LZM2" s="104"/>
      <c r="LZN2" s="102"/>
      <c r="LZZ2" s="104"/>
      <c r="MAA2" s="102"/>
      <c r="MAM2" s="104"/>
      <c r="MAN2" s="102"/>
      <c r="MAZ2" s="104"/>
      <c r="MBA2" s="102"/>
      <c r="MBM2" s="104"/>
      <c r="MBN2" s="102"/>
      <c r="MBZ2" s="104"/>
      <c r="MCA2" s="102"/>
      <c r="MCM2" s="104"/>
      <c r="MCN2" s="102"/>
      <c r="MCZ2" s="104"/>
      <c r="MDA2" s="102"/>
      <c r="MDM2" s="104"/>
      <c r="MDN2" s="102"/>
      <c r="MDZ2" s="104"/>
      <c r="MEA2" s="102"/>
      <c r="MEM2" s="104"/>
      <c r="MEN2" s="102"/>
      <c r="MEZ2" s="104"/>
      <c r="MFA2" s="102"/>
      <c r="MFM2" s="104"/>
      <c r="MFN2" s="102"/>
      <c r="MFZ2" s="104"/>
      <c r="MGA2" s="102"/>
      <c r="MGM2" s="104"/>
      <c r="MGN2" s="102"/>
      <c r="MGZ2" s="104"/>
      <c r="MHA2" s="102"/>
      <c r="MHM2" s="104"/>
      <c r="MHN2" s="102"/>
      <c r="MHZ2" s="104"/>
      <c r="MIA2" s="102"/>
      <c r="MIM2" s="104"/>
      <c r="MIN2" s="102"/>
      <c r="MIZ2" s="104"/>
      <c r="MJA2" s="102"/>
      <c r="MJM2" s="104"/>
      <c r="MJN2" s="102"/>
      <c r="MJZ2" s="104"/>
      <c r="MKA2" s="102"/>
      <c r="MKM2" s="104"/>
      <c r="MKN2" s="102"/>
      <c r="MKZ2" s="104"/>
      <c r="MLA2" s="102"/>
      <c r="MLM2" s="104"/>
      <c r="MLN2" s="102"/>
      <c r="MLZ2" s="104"/>
      <c r="MMA2" s="102"/>
      <c r="MMM2" s="104"/>
      <c r="MMN2" s="102"/>
      <c r="MMZ2" s="104"/>
      <c r="MNA2" s="102"/>
      <c r="MNM2" s="104"/>
      <c r="MNN2" s="102"/>
      <c r="MNZ2" s="104"/>
      <c r="MOA2" s="102"/>
      <c r="MOM2" s="104"/>
      <c r="MON2" s="102"/>
      <c r="MOZ2" s="104"/>
      <c r="MPA2" s="102"/>
      <c r="MPM2" s="104"/>
      <c r="MPN2" s="102"/>
      <c r="MPZ2" s="104"/>
      <c r="MQA2" s="102"/>
      <c r="MQM2" s="104"/>
      <c r="MQN2" s="102"/>
      <c r="MQZ2" s="104"/>
      <c r="MRA2" s="102"/>
      <c r="MRM2" s="104"/>
      <c r="MRN2" s="102"/>
      <c r="MRZ2" s="104"/>
      <c r="MSA2" s="102"/>
      <c r="MSM2" s="104"/>
      <c r="MSN2" s="102"/>
      <c r="MSZ2" s="104"/>
      <c r="MTA2" s="102"/>
      <c r="MTM2" s="104"/>
      <c r="MTN2" s="102"/>
      <c r="MTZ2" s="104"/>
      <c r="MUA2" s="102"/>
      <c r="MUM2" s="104"/>
      <c r="MUN2" s="102"/>
      <c r="MUZ2" s="104"/>
      <c r="MVA2" s="102"/>
      <c r="MVM2" s="104"/>
      <c r="MVN2" s="102"/>
      <c r="MVZ2" s="104"/>
      <c r="MWA2" s="102"/>
      <c r="MWM2" s="104"/>
      <c r="MWN2" s="102"/>
      <c r="MWZ2" s="104"/>
      <c r="MXA2" s="102"/>
      <c r="MXM2" s="104"/>
      <c r="MXN2" s="102"/>
      <c r="MXZ2" s="104"/>
      <c r="MYA2" s="102"/>
      <c r="MYM2" s="104"/>
      <c r="MYN2" s="102"/>
      <c r="MYZ2" s="104"/>
      <c r="MZA2" s="102"/>
      <c r="MZM2" s="104"/>
      <c r="MZN2" s="102"/>
      <c r="MZZ2" s="104"/>
      <c r="NAA2" s="102"/>
      <c r="NAM2" s="104"/>
      <c r="NAN2" s="102"/>
      <c r="NAZ2" s="104"/>
      <c r="NBA2" s="102"/>
      <c r="NBM2" s="104"/>
      <c r="NBN2" s="102"/>
      <c r="NBZ2" s="104"/>
      <c r="NCA2" s="102"/>
      <c r="NCM2" s="104"/>
      <c r="NCN2" s="102"/>
      <c r="NCZ2" s="104"/>
      <c r="NDA2" s="102"/>
      <c r="NDM2" s="104"/>
      <c r="NDN2" s="102"/>
      <c r="NDZ2" s="104"/>
      <c r="NEA2" s="102"/>
      <c r="NEM2" s="104"/>
      <c r="NEN2" s="102"/>
      <c r="NEZ2" s="104"/>
      <c r="NFA2" s="102"/>
      <c r="NFM2" s="104"/>
      <c r="NFN2" s="102"/>
      <c r="NFZ2" s="104"/>
      <c r="NGA2" s="102"/>
      <c r="NGM2" s="104"/>
      <c r="NGN2" s="102"/>
      <c r="NGZ2" s="104"/>
      <c r="NHA2" s="102"/>
      <c r="NHM2" s="104"/>
      <c r="NHN2" s="102"/>
      <c r="NHZ2" s="104"/>
      <c r="NIA2" s="102"/>
      <c r="NIM2" s="104"/>
      <c r="NIN2" s="102"/>
      <c r="NIZ2" s="104"/>
      <c r="NJA2" s="102"/>
      <c r="NJM2" s="104"/>
      <c r="NJN2" s="102"/>
      <c r="NJZ2" s="104"/>
      <c r="NKA2" s="102"/>
      <c r="NKM2" s="104"/>
      <c r="NKN2" s="102"/>
      <c r="NKZ2" s="104"/>
      <c r="NLA2" s="102"/>
      <c r="NLM2" s="104"/>
      <c r="NLN2" s="102"/>
      <c r="NLZ2" s="104"/>
      <c r="NMA2" s="102"/>
      <c r="NMM2" s="104"/>
      <c r="NMN2" s="102"/>
      <c r="NMZ2" s="104"/>
      <c r="NNA2" s="102"/>
      <c r="NNM2" s="104"/>
      <c r="NNN2" s="102"/>
      <c r="NNZ2" s="104"/>
      <c r="NOA2" s="102"/>
      <c r="NOM2" s="104"/>
      <c r="NON2" s="102"/>
      <c r="NOZ2" s="104"/>
      <c r="NPA2" s="102"/>
      <c r="NPM2" s="104"/>
      <c r="NPN2" s="102"/>
      <c r="NPZ2" s="104"/>
      <c r="NQA2" s="102"/>
      <c r="NQM2" s="104"/>
      <c r="NQN2" s="102"/>
      <c r="NQZ2" s="104"/>
      <c r="NRA2" s="102"/>
      <c r="NRM2" s="104"/>
      <c r="NRN2" s="102"/>
      <c r="NRZ2" s="104"/>
      <c r="NSA2" s="102"/>
      <c r="NSM2" s="104"/>
      <c r="NSN2" s="102"/>
      <c r="NSZ2" s="104"/>
      <c r="NTA2" s="102"/>
      <c r="NTM2" s="104"/>
      <c r="NTN2" s="102"/>
      <c r="NTZ2" s="104"/>
      <c r="NUA2" s="102"/>
      <c r="NUM2" s="104"/>
      <c r="NUN2" s="102"/>
      <c r="NUZ2" s="104"/>
      <c r="NVA2" s="102"/>
      <c r="NVM2" s="104"/>
      <c r="NVN2" s="102"/>
      <c r="NVZ2" s="104"/>
      <c r="NWA2" s="102"/>
      <c r="NWM2" s="104"/>
      <c r="NWN2" s="102"/>
      <c r="NWZ2" s="104"/>
      <c r="NXA2" s="102"/>
      <c r="NXM2" s="104"/>
      <c r="NXN2" s="102"/>
      <c r="NXZ2" s="104"/>
      <c r="NYA2" s="102"/>
      <c r="NYM2" s="104"/>
      <c r="NYN2" s="102"/>
      <c r="NYZ2" s="104"/>
      <c r="NZA2" s="102"/>
      <c r="NZM2" s="104"/>
      <c r="NZN2" s="102"/>
      <c r="NZZ2" s="104"/>
      <c r="OAA2" s="102"/>
      <c r="OAM2" s="104"/>
      <c r="OAN2" s="102"/>
      <c r="OAZ2" s="104"/>
      <c r="OBA2" s="102"/>
      <c r="OBM2" s="104"/>
      <c r="OBN2" s="102"/>
      <c r="OBZ2" s="104"/>
      <c r="OCA2" s="102"/>
      <c r="OCM2" s="104"/>
      <c r="OCN2" s="102"/>
      <c r="OCZ2" s="104"/>
      <c r="ODA2" s="102"/>
      <c r="ODM2" s="104"/>
      <c r="ODN2" s="102"/>
      <c r="ODZ2" s="104"/>
      <c r="OEA2" s="102"/>
      <c r="OEM2" s="104"/>
      <c r="OEN2" s="102"/>
      <c r="OEZ2" s="104"/>
      <c r="OFA2" s="102"/>
      <c r="OFM2" s="104"/>
      <c r="OFN2" s="102"/>
      <c r="OFZ2" s="104"/>
      <c r="OGA2" s="102"/>
      <c r="OGM2" s="104"/>
      <c r="OGN2" s="102"/>
      <c r="OGZ2" s="104"/>
      <c r="OHA2" s="102"/>
      <c r="OHM2" s="104"/>
      <c r="OHN2" s="102"/>
      <c r="OHZ2" s="104"/>
      <c r="OIA2" s="102"/>
      <c r="OIM2" s="104"/>
      <c r="OIN2" s="102"/>
      <c r="OIZ2" s="104"/>
      <c r="OJA2" s="102"/>
      <c r="OJM2" s="104"/>
      <c r="OJN2" s="102"/>
      <c r="OJZ2" s="104"/>
      <c r="OKA2" s="102"/>
      <c r="OKM2" s="104"/>
      <c r="OKN2" s="102"/>
      <c r="OKZ2" s="104"/>
      <c r="OLA2" s="102"/>
      <c r="OLM2" s="104"/>
      <c r="OLN2" s="102"/>
      <c r="OLZ2" s="104"/>
      <c r="OMA2" s="102"/>
      <c r="OMM2" s="104"/>
      <c r="OMN2" s="102"/>
      <c r="OMZ2" s="104"/>
      <c r="ONA2" s="102"/>
      <c r="ONM2" s="104"/>
      <c r="ONN2" s="102"/>
      <c r="ONZ2" s="104"/>
      <c r="OOA2" s="102"/>
      <c r="OOM2" s="104"/>
      <c r="OON2" s="102"/>
      <c r="OOZ2" s="104"/>
      <c r="OPA2" s="102"/>
      <c r="OPM2" s="104"/>
      <c r="OPN2" s="102"/>
      <c r="OPZ2" s="104"/>
      <c r="OQA2" s="102"/>
      <c r="OQM2" s="104"/>
      <c r="OQN2" s="102"/>
      <c r="OQZ2" s="104"/>
      <c r="ORA2" s="102"/>
      <c r="ORM2" s="104"/>
      <c r="ORN2" s="102"/>
      <c r="ORZ2" s="104"/>
      <c r="OSA2" s="102"/>
      <c r="OSM2" s="104"/>
      <c r="OSN2" s="102"/>
      <c r="OSZ2" s="104"/>
      <c r="OTA2" s="102"/>
      <c r="OTM2" s="104"/>
      <c r="OTN2" s="102"/>
      <c r="OTZ2" s="104"/>
      <c r="OUA2" s="102"/>
      <c r="OUM2" s="104"/>
      <c r="OUN2" s="102"/>
      <c r="OUZ2" s="104"/>
      <c r="OVA2" s="102"/>
      <c r="OVM2" s="104"/>
      <c r="OVN2" s="102"/>
      <c r="OVZ2" s="104"/>
      <c r="OWA2" s="102"/>
      <c r="OWM2" s="104"/>
      <c r="OWN2" s="102"/>
      <c r="OWZ2" s="104"/>
      <c r="OXA2" s="102"/>
      <c r="OXM2" s="104"/>
      <c r="OXN2" s="102"/>
      <c r="OXZ2" s="104"/>
      <c r="OYA2" s="102"/>
      <c r="OYM2" s="104"/>
      <c r="OYN2" s="102"/>
      <c r="OYZ2" s="104"/>
      <c r="OZA2" s="102"/>
      <c r="OZM2" s="104"/>
      <c r="OZN2" s="102"/>
      <c r="OZZ2" s="104"/>
      <c r="PAA2" s="102"/>
      <c r="PAM2" s="104"/>
      <c r="PAN2" s="102"/>
      <c r="PAZ2" s="104"/>
      <c r="PBA2" s="102"/>
      <c r="PBM2" s="104"/>
      <c r="PBN2" s="102"/>
      <c r="PBZ2" s="104"/>
      <c r="PCA2" s="102"/>
      <c r="PCM2" s="104"/>
      <c r="PCN2" s="102"/>
      <c r="PCZ2" s="104"/>
      <c r="PDA2" s="102"/>
      <c r="PDM2" s="104"/>
      <c r="PDN2" s="102"/>
      <c r="PDZ2" s="104"/>
      <c r="PEA2" s="102"/>
      <c r="PEM2" s="104"/>
      <c r="PEN2" s="102"/>
      <c r="PEZ2" s="104"/>
      <c r="PFA2" s="102"/>
      <c r="PFM2" s="104"/>
      <c r="PFN2" s="102"/>
      <c r="PFZ2" s="104"/>
      <c r="PGA2" s="102"/>
      <c r="PGM2" s="104"/>
      <c r="PGN2" s="102"/>
      <c r="PGZ2" s="104"/>
      <c r="PHA2" s="102"/>
      <c r="PHM2" s="104"/>
      <c r="PHN2" s="102"/>
      <c r="PHZ2" s="104"/>
      <c r="PIA2" s="102"/>
      <c r="PIM2" s="104"/>
      <c r="PIN2" s="102"/>
      <c r="PIZ2" s="104"/>
      <c r="PJA2" s="102"/>
      <c r="PJM2" s="104"/>
      <c r="PJN2" s="102"/>
      <c r="PJZ2" s="104"/>
      <c r="PKA2" s="102"/>
      <c r="PKM2" s="104"/>
      <c r="PKN2" s="102"/>
      <c r="PKZ2" s="104"/>
      <c r="PLA2" s="102"/>
      <c r="PLM2" s="104"/>
      <c r="PLN2" s="102"/>
      <c r="PLZ2" s="104"/>
      <c r="PMA2" s="102"/>
      <c r="PMM2" s="104"/>
      <c r="PMN2" s="102"/>
      <c r="PMZ2" s="104"/>
      <c r="PNA2" s="102"/>
      <c r="PNM2" s="104"/>
      <c r="PNN2" s="102"/>
      <c r="PNZ2" s="104"/>
      <c r="POA2" s="102"/>
      <c r="POM2" s="104"/>
      <c r="PON2" s="102"/>
      <c r="POZ2" s="104"/>
      <c r="PPA2" s="102"/>
      <c r="PPM2" s="104"/>
      <c r="PPN2" s="102"/>
      <c r="PPZ2" s="104"/>
      <c r="PQA2" s="102"/>
      <c r="PQM2" s="104"/>
      <c r="PQN2" s="102"/>
      <c r="PQZ2" s="104"/>
      <c r="PRA2" s="102"/>
      <c r="PRM2" s="104"/>
      <c r="PRN2" s="102"/>
      <c r="PRZ2" s="104"/>
      <c r="PSA2" s="102"/>
      <c r="PSM2" s="104"/>
      <c r="PSN2" s="102"/>
      <c r="PSZ2" s="104"/>
      <c r="PTA2" s="102"/>
      <c r="PTM2" s="104"/>
      <c r="PTN2" s="102"/>
      <c r="PTZ2" s="104"/>
      <c r="PUA2" s="102"/>
      <c r="PUM2" s="104"/>
      <c r="PUN2" s="102"/>
      <c r="PUZ2" s="104"/>
      <c r="PVA2" s="102"/>
      <c r="PVM2" s="104"/>
      <c r="PVN2" s="102"/>
      <c r="PVZ2" s="104"/>
      <c r="PWA2" s="102"/>
      <c r="PWM2" s="104"/>
      <c r="PWN2" s="102"/>
      <c r="PWZ2" s="104"/>
      <c r="PXA2" s="102"/>
      <c r="PXM2" s="104"/>
      <c r="PXN2" s="102"/>
      <c r="PXZ2" s="104"/>
      <c r="PYA2" s="102"/>
      <c r="PYM2" s="104"/>
      <c r="PYN2" s="102"/>
      <c r="PYZ2" s="104"/>
      <c r="PZA2" s="102"/>
      <c r="PZM2" s="104"/>
      <c r="PZN2" s="102"/>
      <c r="PZZ2" s="104"/>
      <c r="QAA2" s="102"/>
      <c r="QAM2" s="104"/>
      <c r="QAN2" s="102"/>
      <c r="QAZ2" s="104"/>
      <c r="QBA2" s="102"/>
      <c r="QBM2" s="104"/>
      <c r="QBN2" s="102"/>
      <c r="QBZ2" s="104"/>
      <c r="QCA2" s="102"/>
      <c r="QCM2" s="104"/>
      <c r="QCN2" s="102"/>
      <c r="QCZ2" s="104"/>
      <c r="QDA2" s="102"/>
      <c r="QDM2" s="104"/>
      <c r="QDN2" s="102"/>
      <c r="QDZ2" s="104"/>
      <c r="QEA2" s="102"/>
      <c r="QEM2" s="104"/>
      <c r="QEN2" s="102"/>
      <c r="QEZ2" s="104"/>
      <c r="QFA2" s="102"/>
      <c r="QFM2" s="104"/>
      <c r="QFN2" s="102"/>
      <c r="QFZ2" s="104"/>
      <c r="QGA2" s="102"/>
      <c r="QGM2" s="104"/>
      <c r="QGN2" s="102"/>
      <c r="QGZ2" s="104"/>
      <c r="QHA2" s="102"/>
      <c r="QHM2" s="104"/>
      <c r="QHN2" s="102"/>
      <c r="QHZ2" s="104"/>
      <c r="QIA2" s="102"/>
      <c r="QIM2" s="104"/>
      <c r="QIN2" s="102"/>
      <c r="QIZ2" s="104"/>
      <c r="QJA2" s="102"/>
      <c r="QJM2" s="104"/>
      <c r="QJN2" s="102"/>
      <c r="QJZ2" s="104"/>
      <c r="QKA2" s="102"/>
      <c r="QKM2" s="104"/>
      <c r="QKN2" s="102"/>
      <c r="QKZ2" s="104"/>
      <c r="QLA2" s="102"/>
      <c r="QLM2" s="104"/>
      <c r="QLN2" s="102"/>
      <c r="QLZ2" s="104"/>
      <c r="QMA2" s="102"/>
      <c r="QMM2" s="104"/>
      <c r="QMN2" s="102"/>
      <c r="QMZ2" s="104"/>
      <c r="QNA2" s="102"/>
      <c r="QNM2" s="104"/>
      <c r="QNN2" s="102"/>
      <c r="QNZ2" s="104"/>
      <c r="QOA2" s="102"/>
      <c r="QOM2" s="104"/>
      <c r="QON2" s="102"/>
      <c r="QOZ2" s="104"/>
      <c r="QPA2" s="102"/>
      <c r="QPM2" s="104"/>
      <c r="QPN2" s="102"/>
      <c r="QPZ2" s="104"/>
      <c r="QQA2" s="102"/>
      <c r="QQM2" s="104"/>
      <c r="QQN2" s="102"/>
      <c r="QQZ2" s="104"/>
      <c r="QRA2" s="102"/>
      <c r="QRM2" s="104"/>
      <c r="QRN2" s="102"/>
      <c r="QRZ2" s="104"/>
      <c r="QSA2" s="102"/>
      <c r="QSM2" s="104"/>
      <c r="QSN2" s="102"/>
      <c r="QSZ2" s="104"/>
      <c r="QTA2" s="102"/>
      <c r="QTM2" s="104"/>
      <c r="QTN2" s="102"/>
      <c r="QTZ2" s="104"/>
      <c r="QUA2" s="102"/>
      <c r="QUM2" s="104"/>
      <c r="QUN2" s="102"/>
      <c r="QUZ2" s="104"/>
      <c r="QVA2" s="102"/>
      <c r="QVM2" s="104"/>
      <c r="QVN2" s="102"/>
      <c r="QVZ2" s="104"/>
      <c r="QWA2" s="102"/>
      <c r="QWM2" s="104"/>
      <c r="QWN2" s="102"/>
      <c r="QWZ2" s="104"/>
      <c r="QXA2" s="102"/>
      <c r="QXM2" s="104"/>
      <c r="QXN2" s="102"/>
      <c r="QXZ2" s="104"/>
      <c r="QYA2" s="102"/>
      <c r="QYM2" s="104"/>
      <c r="QYN2" s="102"/>
      <c r="QYZ2" s="104"/>
      <c r="QZA2" s="102"/>
      <c r="QZM2" s="104"/>
      <c r="QZN2" s="102"/>
      <c r="QZZ2" s="104"/>
      <c r="RAA2" s="102"/>
      <c r="RAM2" s="104"/>
      <c r="RAN2" s="102"/>
      <c r="RAZ2" s="104"/>
      <c r="RBA2" s="102"/>
      <c r="RBM2" s="104"/>
      <c r="RBN2" s="102"/>
      <c r="RBZ2" s="104"/>
      <c r="RCA2" s="102"/>
      <c r="RCM2" s="104"/>
      <c r="RCN2" s="102"/>
      <c r="RCZ2" s="104"/>
      <c r="RDA2" s="102"/>
      <c r="RDM2" s="104"/>
      <c r="RDN2" s="102"/>
      <c r="RDZ2" s="104"/>
      <c r="REA2" s="102"/>
      <c r="REM2" s="104"/>
      <c r="REN2" s="102"/>
      <c r="REZ2" s="104"/>
      <c r="RFA2" s="102"/>
      <c r="RFM2" s="104"/>
      <c r="RFN2" s="102"/>
      <c r="RFZ2" s="104"/>
      <c r="RGA2" s="102"/>
      <c r="RGM2" s="104"/>
      <c r="RGN2" s="102"/>
      <c r="RGZ2" s="104"/>
      <c r="RHA2" s="102"/>
      <c r="RHM2" s="104"/>
      <c r="RHN2" s="102"/>
      <c r="RHZ2" s="104"/>
      <c r="RIA2" s="102"/>
      <c r="RIM2" s="104"/>
      <c r="RIN2" s="102"/>
      <c r="RIZ2" s="104"/>
      <c r="RJA2" s="102"/>
      <c r="RJM2" s="104"/>
      <c r="RJN2" s="102"/>
      <c r="RJZ2" s="104"/>
      <c r="RKA2" s="102"/>
      <c r="RKM2" s="104"/>
      <c r="RKN2" s="102"/>
      <c r="RKZ2" s="104"/>
      <c r="RLA2" s="102"/>
      <c r="RLM2" s="104"/>
      <c r="RLN2" s="102"/>
      <c r="RLZ2" s="104"/>
      <c r="RMA2" s="102"/>
      <c r="RMM2" s="104"/>
      <c r="RMN2" s="102"/>
      <c r="RMZ2" s="104"/>
      <c r="RNA2" s="102"/>
      <c r="RNM2" s="104"/>
      <c r="RNN2" s="102"/>
      <c r="RNZ2" s="104"/>
      <c r="ROA2" s="102"/>
      <c r="ROM2" s="104"/>
      <c r="RON2" s="102"/>
      <c r="ROZ2" s="104"/>
      <c r="RPA2" s="102"/>
      <c r="RPM2" s="104"/>
      <c r="RPN2" s="102"/>
      <c r="RPZ2" s="104"/>
      <c r="RQA2" s="102"/>
      <c r="RQM2" s="104"/>
      <c r="RQN2" s="102"/>
      <c r="RQZ2" s="104"/>
      <c r="RRA2" s="102"/>
      <c r="RRM2" s="104"/>
      <c r="RRN2" s="102"/>
      <c r="RRZ2" s="104"/>
      <c r="RSA2" s="102"/>
      <c r="RSM2" s="104"/>
      <c r="RSN2" s="102"/>
      <c r="RSZ2" s="104"/>
      <c r="RTA2" s="102"/>
      <c r="RTM2" s="104"/>
      <c r="RTN2" s="102"/>
      <c r="RTZ2" s="104"/>
      <c r="RUA2" s="102"/>
      <c r="RUM2" s="104"/>
      <c r="RUN2" s="102"/>
      <c r="RUZ2" s="104"/>
      <c r="RVA2" s="102"/>
      <c r="RVM2" s="104"/>
      <c r="RVN2" s="102"/>
      <c r="RVZ2" s="104"/>
      <c r="RWA2" s="102"/>
      <c r="RWM2" s="104"/>
      <c r="RWN2" s="102"/>
      <c r="RWZ2" s="104"/>
      <c r="RXA2" s="102"/>
      <c r="RXM2" s="104"/>
      <c r="RXN2" s="102"/>
      <c r="RXZ2" s="104"/>
      <c r="RYA2" s="102"/>
      <c r="RYM2" s="104"/>
      <c r="RYN2" s="102"/>
      <c r="RYZ2" s="104"/>
      <c r="RZA2" s="102"/>
      <c r="RZM2" s="104"/>
      <c r="RZN2" s="102"/>
      <c r="RZZ2" s="104"/>
      <c r="SAA2" s="102"/>
      <c r="SAM2" s="104"/>
      <c r="SAN2" s="102"/>
      <c r="SAZ2" s="104"/>
      <c r="SBA2" s="102"/>
      <c r="SBM2" s="104"/>
      <c r="SBN2" s="102"/>
      <c r="SBZ2" s="104"/>
      <c r="SCA2" s="102"/>
      <c r="SCM2" s="104"/>
      <c r="SCN2" s="102"/>
      <c r="SCZ2" s="104"/>
      <c r="SDA2" s="102"/>
      <c r="SDM2" s="104"/>
      <c r="SDN2" s="102"/>
      <c r="SDZ2" s="104"/>
      <c r="SEA2" s="102"/>
      <c r="SEM2" s="104"/>
      <c r="SEN2" s="102"/>
      <c r="SEZ2" s="104"/>
      <c r="SFA2" s="102"/>
      <c r="SFM2" s="104"/>
      <c r="SFN2" s="102"/>
      <c r="SFZ2" s="104"/>
      <c r="SGA2" s="102"/>
      <c r="SGM2" s="104"/>
      <c r="SGN2" s="102"/>
      <c r="SGZ2" s="104"/>
      <c r="SHA2" s="102"/>
      <c r="SHM2" s="104"/>
      <c r="SHN2" s="102"/>
      <c r="SHZ2" s="104"/>
      <c r="SIA2" s="102"/>
      <c r="SIM2" s="104"/>
      <c r="SIN2" s="102"/>
      <c r="SIZ2" s="104"/>
      <c r="SJA2" s="102"/>
      <c r="SJM2" s="104"/>
      <c r="SJN2" s="102"/>
      <c r="SJZ2" s="104"/>
      <c r="SKA2" s="102"/>
      <c r="SKM2" s="104"/>
      <c r="SKN2" s="102"/>
      <c r="SKZ2" s="104"/>
      <c r="SLA2" s="102"/>
      <c r="SLM2" s="104"/>
      <c r="SLN2" s="102"/>
      <c r="SLZ2" s="104"/>
      <c r="SMA2" s="102"/>
      <c r="SMM2" s="104"/>
      <c r="SMN2" s="102"/>
      <c r="SMZ2" s="104"/>
      <c r="SNA2" s="102"/>
      <c r="SNM2" s="104"/>
      <c r="SNN2" s="102"/>
      <c r="SNZ2" s="104"/>
      <c r="SOA2" s="102"/>
      <c r="SOM2" s="104"/>
      <c r="SON2" s="102"/>
      <c r="SOZ2" s="104"/>
      <c r="SPA2" s="102"/>
      <c r="SPM2" s="104"/>
      <c r="SPN2" s="102"/>
      <c r="SPZ2" s="104"/>
      <c r="SQA2" s="102"/>
      <c r="SQM2" s="104"/>
      <c r="SQN2" s="102"/>
      <c r="SQZ2" s="104"/>
      <c r="SRA2" s="102"/>
      <c r="SRM2" s="104"/>
      <c r="SRN2" s="102"/>
      <c r="SRZ2" s="104"/>
      <c r="SSA2" s="102"/>
      <c r="SSM2" s="104"/>
      <c r="SSN2" s="102"/>
      <c r="SSZ2" s="104"/>
      <c r="STA2" s="102"/>
      <c r="STM2" s="104"/>
      <c r="STN2" s="102"/>
      <c r="STZ2" s="104"/>
      <c r="SUA2" s="102"/>
      <c r="SUM2" s="104"/>
      <c r="SUN2" s="102"/>
      <c r="SUZ2" s="104"/>
      <c r="SVA2" s="102"/>
      <c r="SVM2" s="104"/>
      <c r="SVN2" s="102"/>
      <c r="SVZ2" s="104"/>
      <c r="SWA2" s="102"/>
      <c r="SWM2" s="104"/>
      <c r="SWN2" s="102"/>
      <c r="SWZ2" s="104"/>
      <c r="SXA2" s="102"/>
      <c r="SXM2" s="104"/>
      <c r="SXN2" s="102"/>
      <c r="SXZ2" s="104"/>
      <c r="SYA2" s="102"/>
      <c r="SYM2" s="104"/>
      <c r="SYN2" s="102"/>
      <c r="SYZ2" s="104"/>
      <c r="SZA2" s="102"/>
      <c r="SZM2" s="104"/>
      <c r="SZN2" s="102"/>
      <c r="SZZ2" s="104"/>
      <c r="TAA2" s="102"/>
      <c r="TAM2" s="104"/>
      <c r="TAN2" s="102"/>
      <c r="TAZ2" s="104"/>
      <c r="TBA2" s="102"/>
      <c r="TBM2" s="104"/>
      <c r="TBN2" s="102"/>
      <c r="TBZ2" s="104"/>
      <c r="TCA2" s="102"/>
      <c r="TCM2" s="104"/>
      <c r="TCN2" s="102"/>
      <c r="TCZ2" s="104"/>
      <c r="TDA2" s="102"/>
      <c r="TDM2" s="104"/>
      <c r="TDN2" s="102"/>
      <c r="TDZ2" s="104"/>
      <c r="TEA2" s="102"/>
      <c r="TEM2" s="104"/>
      <c r="TEN2" s="102"/>
      <c r="TEZ2" s="104"/>
      <c r="TFA2" s="102"/>
      <c r="TFM2" s="104"/>
      <c r="TFN2" s="102"/>
      <c r="TFZ2" s="104"/>
      <c r="TGA2" s="102"/>
      <c r="TGM2" s="104"/>
      <c r="TGN2" s="102"/>
      <c r="TGZ2" s="104"/>
      <c r="THA2" s="102"/>
      <c r="THM2" s="104"/>
      <c r="THN2" s="102"/>
      <c r="THZ2" s="104"/>
      <c r="TIA2" s="102"/>
      <c r="TIM2" s="104"/>
      <c r="TIN2" s="102"/>
      <c r="TIZ2" s="104"/>
      <c r="TJA2" s="102"/>
      <c r="TJM2" s="104"/>
      <c r="TJN2" s="102"/>
      <c r="TJZ2" s="104"/>
      <c r="TKA2" s="102"/>
      <c r="TKM2" s="104"/>
      <c r="TKN2" s="102"/>
      <c r="TKZ2" s="104"/>
      <c r="TLA2" s="102"/>
      <c r="TLM2" s="104"/>
      <c r="TLN2" s="102"/>
      <c r="TLZ2" s="104"/>
      <c r="TMA2" s="102"/>
      <c r="TMM2" s="104"/>
      <c r="TMN2" s="102"/>
      <c r="TMZ2" s="104"/>
      <c r="TNA2" s="102"/>
      <c r="TNM2" s="104"/>
      <c r="TNN2" s="102"/>
      <c r="TNZ2" s="104"/>
      <c r="TOA2" s="102"/>
      <c r="TOM2" s="104"/>
      <c r="TON2" s="102"/>
      <c r="TOZ2" s="104"/>
      <c r="TPA2" s="102"/>
      <c r="TPM2" s="104"/>
      <c r="TPN2" s="102"/>
      <c r="TPZ2" s="104"/>
      <c r="TQA2" s="102"/>
      <c r="TQM2" s="104"/>
      <c r="TQN2" s="102"/>
      <c r="TQZ2" s="104"/>
      <c r="TRA2" s="102"/>
      <c r="TRM2" s="104"/>
      <c r="TRN2" s="102"/>
      <c r="TRZ2" s="104"/>
      <c r="TSA2" s="102"/>
      <c r="TSM2" s="104"/>
      <c r="TSN2" s="102"/>
      <c r="TSZ2" s="104"/>
      <c r="TTA2" s="102"/>
      <c r="TTM2" s="104"/>
      <c r="TTN2" s="102"/>
      <c r="TTZ2" s="104"/>
      <c r="TUA2" s="102"/>
      <c r="TUM2" s="104"/>
      <c r="TUN2" s="102"/>
      <c r="TUZ2" s="104"/>
      <c r="TVA2" s="102"/>
      <c r="TVM2" s="104"/>
      <c r="TVN2" s="102"/>
      <c r="TVZ2" s="104"/>
      <c r="TWA2" s="102"/>
      <c r="TWM2" s="104"/>
      <c r="TWN2" s="102"/>
      <c r="TWZ2" s="104"/>
      <c r="TXA2" s="102"/>
      <c r="TXM2" s="104"/>
      <c r="TXN2" s="102"/>
      <c r="TXZ2" s="104"/>
      <c r="TYA2" s="102"/>
      <c r="TYM2" s="104"/>
      <c r="TYN2" s="102"/>
      <c r="TYZ2" s="104"/>
      <c r="TZA2" s="102"/>
      <c r="TZM2" s="104"/>
      <c r="TZN2" s="102"/>
      <c r="TZZ2" s="104"/>
      <c r="UAA2" s="102"/>
      <c r="UAM2" s="104"/>
      <c r="UAN2" s="102"/>
      <c r="UAZ2" s="104"/>
      <c r="UBA2" s="102"/>
      <c r="UBM2" s="104"/>
      <c r="UBN2" s="102"/>
      <c r="UBZ2" s="104"/>
      <c r="UCA2" s="102"/>
      <c r="UCM2" s="104"/>
      <c r="UCN2" s="102"/>
      <c r="UCZ2" s="104"/>
      <c r="UDA2" s="102"/>
      <c r="UDM2" s="104"/>
      <c r="UDN2" s="102"/>
      <c r="UDZ2" s="104"/>
      <c r="UEA2" s="102"/>
      <c r="UEM2" s="104"/>
      <c r="UEN2" s="102"/>
      <c r="UEZ2" s="104"/>
      <c r="UFA2" s="102"/>
      <c r="UFM2" s="104"/>
      <c r="UFN2" s="102"/>
      <c r="UFZ2" s="104"/>
      <c r="UGA2" s="102"/>
      <c r="UGM2" s="104"/>
      <c r="UGN2" s="102"/>
      <c r="UGZ2" s="104"/>
      <c r="UHA2" s="102"/>
      <c r="UHM2" s="104"/>
      <c r="UHN2" s="102"/>
      <c r="UHZ2" s="104"/>
      <c r="UIA2" s="102"/>
      <c r="UIM2" s="104"/>
      <c r="UIN2" s="102"/>
      <c r="UIZ2" s="104"/>
      <c r="UJA2" s="102"/>
      <c r="UJM2" s="104"/>
      <c r="UJN2" s="102"/>
      <c r="UJZ2" s="104"/>
      <c r="UKA2" s="102"/>
      <c r="UKM2" s="104"/>
      <c r="UKN2" s="102"/>
      <c r="UKZ2" s="104"/>
      <c r="ULA2" s="102"/>
      <c r="ULM2" s="104"/>
      <c r="ULN2" s="102"/>
      <c r="ULZ2" s="104"/>
      <c r="UMA2" s="102"/>
      <c r="UMM2" s="104"/>
      <c r="UMN2" s="102"/>
      <c r="UMZ2" s="104"/>
      <c r="UNA2" s="102"/>
      <c r="UNM2" s="104"/>
      <c r="UNN2" s="102"/>
      <c r="UNZ2" s="104"/>
      <c r="UOA2" s="102"/>
      <c r="UOM2" s="104"/>
      <c r="UON2" s="102"/>
      <c r="UOZ2" s="104"/>
      <c r="UPA2" s="102"/>
      <c r="UPM2" s="104"/>
      <c r="UPN2" s="102"/>
      <c r="UPZ2" s="104"/>
      <c r="UQA2" s="102"/>
      <c r="UQM2" s="104"/>
      <c r="UQN2" s="102"/>
      <c r="UQZ2" s="104"/>
      <c r="URA2" s="102"/>
      <c r="URM2" s="104"/>
      <c r="URN2" s="102"/>
      <c r="URZ2" s="104"/>
      <c r="USA2" s="102"/>
      <c r="USM2" s="104"/>
      <c r="USN2" s="102"/>
      <c r="USZ2" s="104"/>
      <c r="UTA2" s="102"/>
      <c r="UTM2" s="104"/>
      <c r="UTN2" s="102"/>
      <c r="UTZ2" s="104"/>
      <c r="UUA2" s="102"/>
      <c r="UUM2" s="104"/>
      <c r="UUN2" s="102"/>
      <c r="UUZ2" s="104"/>
      <c r="UVA2" s="102"/>
      <c r="UVM2" s="104"/>
      <c r="UVN2" s="102"/>
      <c r="UVZ2" s="104"/>
      <c r="UWA2" s="102"/>
      <c r="UWM2" s="104"/>
      <c r="UWN2" s="102"/>
      <c r="UWZ2" s="104"/>
      <c r="UXA2" s="102"/>
      <c r="UXM2" s="104"/>
      <c r="UXN2" s="102"/>
      <c r="UXZ2" s="104"/>
      <c r="UYA2" s="102"/>
      <c r="UYM2" s="104"/>
      <c r="UYN2" s="102"/>
      <c r="UYZ2" s="104"/>
      <c r="UZA2" s="102"/>
      <c r="UZM2" s="104"/>
      <c r="UZN2" s="102"/>
      <c r="UZZ2" s="104"/>
      <c r="VAA2" s="102"/>
      <c r="VAM2" s="104"/>
      <c r="VAN2" s="102"/>
      <c r="VAZ2" s="104"/>
      <c r="VBA2" s="102"/>
      <c r="VBM2" s="104"/>
      <c r="VBN2" s="102"/>
      <c r="VBZ2" s="104"/>
      <c r="VCA2" s="102"/>
      <c r="VCM2" s="104"/>
      <c r="VCN2" s="102"/>
      <c r="VCZ2" s="104"/>
      <c r="VDA2" s="102"/>
      <c r="VDM2" s="104"/>
      <c r="VDN2" s="102"/>
      <c r="VDZ2" s="104"/>
      <c r="VEA2" s="102"/>
      <c r="VEM2" s="104"/>
      <c r="VEN2" s="102"/>
      <c r="VEZ2" s="104"/>
      <c r="VFA2" s="102"/>
      <c r="VFM2" s="104"/>
      <c r="VFN2" s="102"/>
      <c r="VFZ2" s="104"/>
      <c r="VGA2" s="102"/>
      <c r="VGM2" s="104"/>
      <c r="VGN2" s="102"/>
      <c r="VGZ2" s="104"/>
      <c r="VHA2" s="102"/>
      <c r="VHM2" s="104"/>
      <c r="VHN2" s="102"/>
      <c r="VHZ2" s="104"/>
      <c r="VIA2" s="102"/>
      <c r="VIM2" s="104"/>
      <c r="VIN2" s="102"/>
      <c r="VIZ2" s="104"/>
      <c r="VJA2" s="102"/>
      <c r="VJM2" s="104"/>
      <c r="VJN2" s="102"/>
      <c r="VJZ2" s="104"/>
      <c r="VKA2" s="102"/>
      <c r="VKM2" s="104"/>
      <c r="VKN2" s="102"/>
      <c r="VKZ2" s="104"/>
      <c r="VLA2" s="102"/>
      <c r="VLM2" s="104"/>
      <c r="VLN2" s="102"/>
      <c r="VLZ2" s="104"/>
      <c r="VMA2" s="102"/>
      <c r="VMM2" s="104"/>
      <c r="VMN2" s="102"/>
      <c r="VMZ2" s="104"/>
      <c r="VNA2" s="102"/>
      <c r="VNM2" s="104"/>
      <c r="VNN2" s="102"/>
      <c r="VNZ2" s="104"/>
      <c r="VOA2" s="102"/>
      <c r="VOM2" s="104"/>
      <c r="VON2" s="102"/>
      <c r="VOZ2" s="104"/>
      <c r="VPA2" s="102"/>
      <c r="VPM2" s="104"/>
      <c r="VPN2" s="102"/>
      <c r="VPZ2" s="104"/>
      <c r="VQA2" s="102"/>
      <c r="VQM2" s="104"/>
      <c r="VQN2" s="102"/>
      <c r="VQZ2" s="104"/>
      <c r="VRA2" s="102"/>
      <c r="VRM2" s="104"/>
      <c r="VRN2" s="102"/>
      <c r="VRZ2" s="104"/>
      <c r="VSA2" s="102"/>
      <c r="VSM2" s="104"/>
      <c r="VSN2" s="102"/>
      <c r="VSZ2" s="104"/>
      <c r="VTA2" s="102"/>
      <c r="VTM2" s="104"/>
      <c r="VTN2" s="102"/>
      <c r="VTZ2" s="104"/>
      <c r="VUA2" s="102"/>
      <c r="VUM2" s="104"/>
      <c r="VUN2" s="102"/>
      <c r="VUZ2" s="104"/>
      <c r="VVA2" s="102"/>
      <c r="VVM2" s="104"/>
      <c r="VVN2" s="102"/>
      <c r="VVZ2" s="104"/>
      <c r="VWA2" s="102"/>
      <c r="VWM2" s="104"/>
      <c r="VWN2" s="102"/>
      <c r="VWZ2" s="104"/>
      <c r="VXA2" s="102"/>
      <c r="VXM2" s="104"/>
      <c r="VXN2" s="102"/>
      <c r="VXZ2" s="104"/>
      <c r="VYA2" s="102"/>
      <c r="VYM2" s="104"/>
      <c r="VYN2" s="102"/>
      <c r="VYZ2" s="104"/>
      <c r="VZA2" s="102"/>
      <c r="VZM2" s="104"/>
      <c r="VZN2" s="102"/>
      <c r="VZZ2" s="104"/>
      <c r="WAA2" s="102"/>
      <c r="WAM2" s="104"/>
      <c r="WAN2" s="102"/>
      <c r="WAZ2" s="104"/>
      <c r="WBA2" s="102"/>
      <c r="WBM2" s="104"/>
      <c r="WBN2" s="102"/>
      <c r="WBZ2" s="104"/>
      <c r="WCA2" s="102"/>
      <c r="WCM2" s="104"/>
      <c r="WCN2" s="102"/>
      <c r="WCZ2" s="104"/>
      <c r="WDA2" s="102"/>
      <c r="WDM2" s="104"/>
      <c r="WDN2" s="102"/>
      <c r="WDZ2" s="104"/>
      <c r="WEA2" s="102"/>
      <c r="WEM2" s="104"/>
      <c r="WEN2" s="102"/>
      <c r="WEZ2" s="104"/>
      <c r="WFA2" s="102"/>
      <c r="WFM2" s="104"/>
      <c r="WFN2" s="102"/>
      <c r="WFZ2" s="104"/>
      <c r="WGA2" s="102"/>
      <c r="WGM2" s="104"/>
      <c r="WGN2" s="102"/>
      <c r="WGZ2" s="104"/>
      <c r="WHA2" s="102"/>
      <c r="WHM2" s="104"/>
      <c r="WHN2" s="102"/>
      <c r="WHZ2" s="104"/>
      <c r="WIA2" s="102"/>
      <c r="WIM2" s="104"/>
      <c r="WIN2" s="102"/>
      <c r="WIZ2" s="104"/>
      <c r="WJA2" s="102"/>
      <c r="WJM2" s="104"/>
      <c r="WJN2" s="102"/>
      <c r="WJZ2" s="104"/>
      <c r="WKA2" s="102"/>
      <c r="WKM2" s="104"/>
      <c r="WKN2" s="102"/>
      <c r="WKZ2" s="104"/>
      <c r="WLA2" s="102"/>
      <c r="WLM2" s="104"/>
      <c r="WLN2" s="102"/>
      <c r="WLZ2" s="104"/>
      <c r="WMA2" s="102"/>
      <c r="WMM2" s="104"/>
      <c r="WMN2" s="102"/>
      <c r="WMZ2" s="104"/>
      <c r="WNA2" s="102"/>
      <c r="WNM2" s="104"/>
      <c r="WNN2" s="102"/>
      <c r="WNZ2" s="104"/>
      <c r="WOA2" s="102"/>
      <c r="WOM2" s="104"/>
      <c r="WON2" s="102"/>
      <c r="WOZ2" s="104"/>
      <c r="WPA2" s="102"/>
      <c r="WPM2" s="104"/>
      <c r="WPN2" s="102"/>
      <c r="WPZ2" s="104"/>
      <c r="WQA2" s="102"/>
      <c r="WQM2" s="104"/>
      <c r="WQN2" s="102"/>
      <c r="WQZ2" s="104"/>
      <c r="WRA2" s="102"/>
      <c r="WRM2" s="104"/>
      <c r="WRN2" s="102"/>
      <c r="WRZ2" s="104"/>
      <c r="WSA2" s="102"/>
      <c r="WSM2" s="104"/>
      <c r="WSN2" s="102"/>
      <c r="WSZ2" s="104"/>
      <c r="WTA2" s="102"/>
      <c r="WTM2" s="104"/>
      <c r="WTN2" s="102"/>
      <c r="WTZ2" s="104"/>
      <c r="WUA2" s="102"/>
      <c r="WUM2" s="104"/>
      <c r="WUN2" s="102"/>
      <c r="WUZ2" s="104"/>
      <c r="WVA2" s="102"/>
      <c r="WVM2" s="104"/>
      <c r="WVN2" s="102"/>
      <c r="WVZ2" s="104"/>
      <c r="WWA2" s="102"/>
      <c r="WWM2" s="104"/>
      <c r="WWN2" s="102"/>
      <c r="WWZ2" s="104"/>
      <c r="WXA2" s="102"/>
      <c r="WXM2" s="104"/>
      <c r="WXN2" s="102"/>
      <c r="WXZ2" s="104"/>
      <c r="WYA2" s="102"/>
      <c r="WYM2" s="104"/>
      <c r="WYN2" s="102"/>
      <c r="WYZ2" s="104"/>
      <c r="WZA2" s="102"/>
      <c r="WZM2" s="104"/>
      <c r="WZN2" s="102"/>
      <c r="WZZ2" s="104"/>
      <c r="XAA2" s="102"/>
      <c r="XAM2" s="104"/>
      <c r="XAN2" s="102"/>
      <c r="XAZ2" s="104"/>
      <c r="XBA2" s="102"/>
      <c r="XBM2" s="104"/>
      <c r="XBN2" s="102"/>
      <c r="XBZ2" s="104"/>
      <c r="XCA2" s="102"/>
      <c r="XCM2" s="104"/>
      <c r="XCN2" s="102"/>
      <c r="XCZ2" s="104"/>
      <c r="XDA2" s="102"/>
      <c r="XDM2" s="104"/>
      <c r="XDN2" s="102"/>
      <c r="XDZ2" s="104"/>
      <c r="XEA2" s="102"/>
      <c r="XEM2" s="104"/>
      <c r="XEN2" s="102"/>
      <c r="XEZ2" s="104"/>
      <c r="XFA2" s="102"/>
    </row>
    <row r="3" spans="1:1015 1027:2042 2054:3069 3081:4096 4108:5110 5122:6137 6149:7164 7176:8191 8203:9205 9217:10232 10244:11259 11271:12286 12298:14327 14339:15354 15366:16381" customFormat="1">
      <c r="A3" s="258" t="s">
        <v>219</v>
      </c>
      <c r="B3" s="259" t="s">
        <v>223</v>
      </c>
      <c r="C3" s="259" t="s">
        <v>220</v>
      </c>
      <c r="D3" s="260" t="s">
        <v>3001</v>
      </c>
      <c r="E3" s="261" t="s">
        <v>91</v>
      </c>
      <c r="F3" s="261" t="s">
        <v>21</v>
      </c>
      <c r="G3" s="262" t="s">
        <v>221</v>
      </c>
      <c r="H3" s="263" t="s">
        <v>26</v>
      </c>
      <c r="I3" s="262" t="s">
        <v>166</v>
      </c>
      <c r="J3" s="263" t="s">
        <v>174</v>
      </c>
      <c r="K3" s="264">
        <v>920000</v>
      </c>
      <c r="L3" s="265" t="s">
        <v>2057</v>
      </c>
      <c r="M3" s="266" t="s">
        <v>14</v>
      </c>
    </row>
    <row r="4" spans="1:1015 1027:2042 2054:3069 3081:4096 4108:5110 5122:6137 6149:7164 7176:8191 8203:9205 9217:10232 10244:11259 11271:12286 12298:14327 14339:15354 15366:16381" customFormat="1">
      <c r="A4" s="258" t="s">
        <v>219</v>
      </c>
      <c r="B4" s="259" t="s">
        <v>224</v>
      </c>
      <c r="C4" s="259" t="s">
        <v>220</v>
      </c>
      <c r="D4" s="260" t="s">
        <v>3001</v>
      </c>
      <c r="E4" s="261" t="s">
        <v>222</v>
      </c>
      <c r="F4" s="261" t="s">
        <v>21</v>
      </c>
      <c r="G4" s="262" t="s">
        <v>70</v>
      </c>
      <c r="H4" s="263" t="s">
        <v>42</v>
      </c>
      <c r="I4" s="262" t="s">
        <v>166</v>
      </c>
      <c r="J4" s="263" t="s">
        <v>174</v>
      </c>
      <c r="K4" s="264">
        <v>8440000</v>
      </c>
      <c r="L4" s="265" t="s">
        <v>2057</v>
      </c>
      <c r="M4" s="266" t="s">
        <v>14</v>
      </c>
    </row>
    <row r="5" spans="1:1015 1027:2042 2054:3069 3081:4096 4108:5110 5122:6137 6149:7164 7176:8191 8203:9205 9217:10232 10244:11259 11271:12286 12298:14327 14339:15354 15366:16381" customFormat="1">
      <c r="A5" s="258" t="s">
        <v>219</v>
      </c>
      <c r="B5" s="259" t="s">
        <v>225</v>
      </c>
      <c r="C5" s="259" t="s">
        <v>220</v>
      </c>
      <c r="D5" s="260" t="s">
        <v>3001</v>
      </c>
      <c r="E5" s="261" t="s">
        <v>222</v>
      </c>
      <c r="F5" s="261" t="s">
        <v>21</v>
      </c>
      <c r="G5" s="262" t="s">
        <v>74</v>
      </c>
      <c r="H5" s="263" t="s">
        <v>42</v>
      </c>
      <c r="I5" s="262" t="s">
        <v>166</v>
      </c>
      <c r="J5" s="263" t="s">
        <v>174</v>
      </c>
      <c r="K5" s="264">
        <v>9040000</v>
      </c>
      <c r="L5" s="265" t="s">
        <v>2057</v>
      </c>
      <c r="M5" s="266" t="s">
        <v>14</v>
      </c>
    </row>
    <row r="6" spans="1:1015 1027:2042 2054:3069 3081:4096 4108:5110 5122:6137 6149:7164 7176:8191 8203:9205 9217:10232 10244:11259 11271:12286 12298:14327 14339:15354 15366:16381" customFormat="1">
      <c r="A6" s="258" t="s">
        <v>219</v>
      </c>
      <c r="B6" s="259" t="s">
        <v>226</v>
      </c>
      <c r="C6" s="259" t="s">
        <v>220</v>
      </c>
      <c r="D6" s="260" t="s">
        <v>3001</v>
      </c>
      <c r="E6" s="261" t="s">
        <v>222</v>
      </c>
      <c r="F6" s="261" t="s">
        <v>21</v>
      </c>
      <c r="G6" s="262" t="s">
        <v>72</v>
      </c>
      <c r="H6" s="263" t="s">
        <v>42</v>
      </c>
      <c r="I6" s="262" t="s">
        <v>166</v>
      </c>
      <c r="J6" s="263" t="s">
        <v>174</v>
      </c>
      <c r="K6" s="264">
        <v>9640000</v>
      </c>
      <c r="L6" s="265" t="s">
        <v>2057</v>
      </c>
      <c r="M6" s="266" t="s">
        <v>14</v>
      </c>
    </row>
    <row r="7" spans="1:1015 1027:2042 2054:3069 3081:4096 4108:5110 5122:6137 6149:7164 7176:8191 8203:9205 9217:10232 10244:11259 11271:12286 12298:14327 14339:15354 15366:16381" customFormat="1">
      <c r="A7" s="258" t="s">
        <v>219</v>
      </c>
      <c r="B7" s="259" t="s">
        <v>227</v>
      </c>
      <c r="C7" s="259" t="s">
        <v>220</v>
      </c>
      <c r="D7" s="260" t="s">
        <v>3002</v>
      </c>
      <c r="E7" s="261" t="s">
        <v>228</v>
      </c>
      <c r="F7" s="261" t="s">
        <v>21</v>
      </c>
      <c r="G7" s="262" t="s">
        <v>221</v>
      </c>
      <c r="H7" s="263" t="s">
        <v>26</v>
      </c>
      <c r="I7" s="262" t="s">
        <v>166</v>
      </c>
      <c r="J7" s="263" t="s">
        <v>174</v>
      </c>
      <c r="K7" s="264">
        <v>560000</v>
      </c>
      <c r="L7" s="265" t="s">
        <v>2057</v>
      </c>
      <c r="M7" s="266" t="s">
        <v>14</v>
      </c>
    </row>
    <row r="8" spans="1:1015 1027:2042 2054:3069 3081:4096 4108:5110 5122:6137 6149:7164 7176:8191 8203:9205 9217:10232 10244:11259 11271:12286 12298:14327 14339:15354 15366:16381" customFormat="1">
      <c r="A8" s="258" t="s">
        <v>219</v>
      </c>
      <c r="B8" s="259" t="s">
        <v>229</v>
      </c>
      <c r="C8" s="259" t="s">
        <v>220</v>
      </c>
      <c r="D8" s="260" t="s">
        <v>3002</v>
      </c>
      <c r="E8" s="261" t="s">
        <v>230</v>
      </c>
      <c r="F8" s="261" t="s">
        <v>21</v>
      </c>
      <c r="G8" s="262" t="s">
        <v>70</v>
      </c>
      <c r="H8" s="263" t="s">
        <v>42</v>
      </c>
      <c r="I8" s="262" t="s">
        <v>166</v>
      </c>
      <c r="J8" s="263" t="s">
        <v>174</v>
      </c>
      <c r="K8" s="264">
        <v>6080000</v>
      </c>
      <c r="L8" s="265" t="s">
        <v>2057</v>
      </c>
      <c r="M8" s="266" t="s">
        <v>14</v>
      </c>
    </row>
    <row r="9" spans="1:1015 1027:2042 2054:3069 3081:4096 4108:5110 5122:6137 6149:7164 7176:8191 8203:9205 9217:10232 10244:11259 11271:12286 12298:14327 14339:15354 15366:16381" customFormat="1">
      <c r="A9" s="258" t="s">
        <v>219</v>
      </c>
      <c r="B9" s="259" t="s">
        <v>231</v>
      </c>
      <c r="C9" s="259" t="s">
        <v>220</v>
      </c>
      <c r="D9" s="260" t="s">
        <v>3002</v>
      </c>
      <c r="E9" s="261" t="s">
        <v>230</v>
      </c>
      <c r="F9" s="261" t="s">
        <v>21</v>
      </c>
      <c r="G9" s="262" t="s">
        <v>74</v>
      </c>
      <c r="H9" s="263" t="s">
        <v>42</v>
      </c>
      <c r="I9" s="262" t="s">
        <v>166</v>
      </c>
      <c r="J9" s="263" t="s">
        <v>174</v>
      </c>
      <c r="K9" s="264">
        <v>6680000</v>
      </c>
      <c r="L9" s="265" t="s">
        <v>2057</v>
      </c>
      <c r="M9" s="266" t="s">
        <v>14</v>
      </c>
    </row>
    <row r="10" spans="1:1015 1027:2042 2054:3069 3081:4096 4108:5110 5122:6137 6149:7164 7176:8191 8203:9205 9217:10232 10244:11259 11271:12286 12298:14327 14339:15354 15366:16381" customFormat="1">
      <c r="A10" s="258" t="s">
        <v>219</v>
      </c>
      <c r="B10" s="259" t="s">
        <v>232</v>
      </c>
      <c r="C10" s="259" t="s">
        <v>220</v>
      </c>
      <c r="D10" s="260" t="s">
        <v>3002</v>
      </c>
      <c r="E10" s="261" t="s">
        <v>230</v>
      </c>
      <c r="F10" s="261" t="s">
        <v>21</v>
      </c>
      <c r="G10" s="262" t="s">
        <v>72</v>
      </c>
      <c r="H10" s="263" t="s">
        <v>42</v>
      </c>
      <c r="I10" s="262" t="s">
        <v>166</v>
      </c>
      <c r="J10" s="263" t="s">
        <v>174</v>
      </c>
      <c r="K10" s="264">
        <v>7180000</v>
      </c>
      <c r="L10" s="265" t="s">
        <v>2057</v>
      </c>
      <c r="M10" s="266" t="s">
        <v>14</v>
      </c>
    </row>
    <row r="11" spans="1:1015 1027:2042 2054:3069 3081:4096 4108:5110 5122:6137 6149:7164 7176:8191 8203:9205 9217:10232 10244:11259 11271:12286 12298:14327 14339:15354 15366:16381" customFormat="1">
      <c r="A11" s="258" t="s">
        <v>219</v>
      </c>
      <c r="B11" s="259" t="s">
        <v>10179</v>
      </c>
      <c r="C11" s="259" t="s">
        <v>220</v>
      </c>
      <c r="D11" s="260" t="s">
        <v>10180</v>
      </c>
      <c r="E11" s="261" t="s">
        <v>10181</v>
      </c>
      <c r="F11" s="261" t="s">
        <v>21</v>
      </c>
      <c r="G11" s="262" t="s">
        <v>221</v>
      </c>
      <c r="H11" s="263" t="s">
        <v>26</v>
      </c>
      <c r="I11" s="262" t="s">
        <v>167</v>
      </c>
      <c r="J11" s="263" t="s">
        <v>174</v>
      </c>
      <c r="K11" s="264">
        <v>3252000</v>
      </c>
      <c r="L11" s="265" t="s">
        <v>2057</v>
      </c>
      <c r="M11" s="266" t="s">
        <v>14</v>
      </c>
    </row>
    <row r="12" spans="1:1015 1027:2042 2054:3069 3081:4096 4108:5110 5122:6137 6149:7164 7176:8191 8203:9205 9217:10232 10244:11259 11271:12286 12298:14327 14339:15354 15366:16381" customFormat="1">
      <c r="A12" s="258" t="s">
        <v>219</v>
      </c>
      <c r="B12" s="259" t="s">
        <v>233</v>
      </c>
      <c r="C12" s="259" t="s">
        <v>220</v>
      </c>
      <c r="D12" s="260" t="s">
        <v>234</v>
      </c>
      <c r="E12" s="261" t="s">
        <v>29</v>
      </c>
      <c r="F12" s="261" t="s">
        <v>21</v>
      </c>
      <c r="G12" s="262" t="s">
        <v>221</v>
      </c>
      <c r="H12" s="263" t="s">
        <v>26</v>
      </c>
      <c r="I12" s="262" t="s">
        <v>167</v>
      </c>
      <c r="J12" s="263" t="s">
        <v>174</v>
      </c>
      <c r="K12" s="264">
        <v>140000</v>
      </c>
      <c r="L12" s="265" t="s">
        <v>2057</v>
      </c>
      <c r="M12" s="266" t="s">
        <v>14</v>
      </c>
    </row>
    <row r="13" spans="1:1015 1027:2042 2054:3069 3081:4096 4108:5110 5122:6137 6149:7164 7176:8191 8203:9205 9217:10232 10244:11259 11271:12286 12298:14327 14339:15354 15366:16381" customFormat="1">
      <c r="A13" s="258" t="s">
        <v>219</v>
      </c>
      <c r="B13" s="259" t="s">
        <v>235</v>
      </c>
      <c r="C13" s="259" t="s">
        <v>220</v>
      </c>
      <c r="D13" s="260" t="s">
        <v>3003</v>
      </c>
      <c r="E13" s="261" t="s">
        <v>128</v>
      </c>
      <c r="F13" s="261" t="s">
        <v>21</v>
      </c>
      <c r="G13" s="262" t="s">
        <v>221</v>
      </c>
      <c r="H13" s="263" t="s">
        <v>26</v>
      </c>
      <c r="I13" s="262" t="s">
        <v>167</v>
      </c>
      <c r="J13" s="263" t="s">
        <v>174</v>
      </c>
      <c r="K13" s="264">
        <v>4950000</v>
      </c>
      <c r="L13" s="265" t="s">
        <v>2057</v>
      </c>
      <c r="M13" s="266" t="s">
        <v>14</v>
      </c>
    </row>
    <row r="14" spans="1:1015 1027:2042 2054:3069 3081:4096 4108:5110 5122:6137 6149:7164 7176:8191 8203:9205 9217:10232 10244:11259 11271:12286 12298:14327 14339:15354 15366:16381" customFormat="1">
      <c r="A14" s="258" t="s">
        <v>219</v>
      </c>
      <c r="B14" s="259" t="s">
        <v>236</v>
      </c>
      <c r="C14" s="259" t="s">
        <v>220</v>
      </c>
      <c r="D14" s="260" t="s">
        <v>237</v>
      </c>
      <c r="E14" s="261" t="s">
        <v>133</v>
      </c>
      <c r="F14" s="261" t="s">
        <v>21</v>
      </c>
      <c r="G14" s="262" t="s">
        <v>221</v>
      </c>
      <c r="H14" s="263" t="s">
        <v>26</v>
      </c>
      <c r="I14" s="262" t="s">
        <v>167</v>
      </c>
      <c r="J14" s="263" t="s">
        <v>174</v>
      </c>
      <c r="K14" s="264">
        <v>2960000</v>
      </c>
      <c r="L14" s="265" t="s">
        <v>2057</v>
      </c>
      <c r="M14" s="266" t="s">
        <v>14</v>
      </c>
    </row>
    <row r="15" spans="1:1015 1027:2042 2054:3069 3081:4096 4108:5110 5122:6137 6149:7164 7176:8191 8203:9205 9217:10232 10244:11259 11271:12286 12298:14327 14339:15354 15366:16381" customFormat="1">
      <c r="A15" s="258" t="s">
        <v>219</v>
      </c>
      <c r="B15" s="259" t="s">
        <v>238</v>
      </c>
      <c r="C15" s="259" t="s">
        <v>220</v>
      </c>
      <c r="D15" s="260" t="s">
        <v>237</v>
      </c>
      <c r="E15" s="261" t="s">
        <v>133</v>
      </c>
      <c r="F15" s="261" t="s">
        <v>21</v>
      </c>
      <c r="G15" s="262" t="s">
        <v>70</v>
      </c>
      <c r="H15" s="263" t="s">
        <v>42</v>
      </c>
      <c r="I15" s="262" t="s">
        <v>167</v>
      </c>
      <c r="J15" s="263" t="s">
        <v>174</v>
      </c>
      <c r="K15" s="264">
        <v>5460000</v>
      </c>
      <c r="L15" s="265" t="s">
        <v>2057</v>
      </c>
      <c r="M15" s="266" t="s">
        <v>14</v>
      </c>
    </row>
    <row r="16" spans="1:1015 1027:2042 2054:3069 3081:4096 4108:5110 5122:6137 6149:7164 7176:8191 8203:9205 9217:10232 10244:11259 11271:12286 12298:14327 14339:15354 15366:16381" customFormat="1">
      <c r="A16" s="258" t="s">
        <v>219</v>
      </c>
      <c r="B16" s="259" t="s">
        <v>239</v>
      </c>
      <c r="C16" s="259" t="s">
        <v>220</v>
      </c>
      <c r="D16" s="260" t="s">
        <v>237</v>
      </c>
      <c r="E16" s="261" t="s">
        <v>133</v>
      </c>
      <c r="F16" s="261" t="s">
        <v>21</v>
      </c>
      <c r="G16" s="262" t="s">
        <v>74</v>
      </c>
      <c r="H16" s="263" t="s">
        <v>42</v>
      </c>
      <c r="I16" s="262" t="s">
        <v>167</v>
      </c>
      <c r="J16" s="263" t="s">
        <v>174</v>
      </c>
      <c r="K16" s="264">
        <v>60000</v>
      </c>
      <c r="L16" s="265" t="s">
        <v>2057</v>
      </c>
      <c r="M16" s="266" t="s">
        <v>14</v>
      </c>
    </row>
    <row r="17" spans="1:13" customFormat="1">
      <c r="A17" s="258" t="s">
        <v>219</v>
      </c>
      <c r="B17" s="259" t="s">
        <v>240</v>
      </c>
      <c r="C17" s="259" t="s">
        <v>220</v>
      </c>
      <c r="D17" s="260" t="s">
        <v>237</v>
      </c>
      <c r="E17" s="261" t="s">
        <v>133</v>
      </c>
      <c r="F17" s="261" t="s">
        <v>21</v>
      </c>
      <c r="G17" s="262" t="s">
        <v>72</v>
      </c>
      <c r="H17" s="263" t="s">
        <v>42</v>
      </c>
      <c r="I17" s="262" t="s">
        <v>167</v>
      </c>
      <c r="J17" s="263" t="s">
        <v>174</v>
      </c>
      <c r="K17" s="264">
        <v>6560000</v>
      </c>
      <c r="L17" s="265" t="s">
        <v>2057</v>
      </c>
      <c r="M17" s="266" t="s">
        <v>14</v>
      </c>
    </row>
    <row r="18" spans="1:13" customFormat="1">
      <c r="A18" s="258" t="s">
        <v>219</v>
      </c>
      <c r="B18" s="259" t="s">
        <v>241</v>
      </c>
      <c r="C18" s="259" t="s">
        <v>220</v>
      </c>
      <c r="D18" s="260" t="s">
        <v>242</v>
      </c>
      <c r="E18" s="261" t="s">
        <v>243</v>
      </c>
      <c r="F18" s="261" t="s">
        <v>21</v>
      </c>
      <c r="G18" s="262" t="s">
        <v>221</v>
      </c>
      <c r="H18" s="263" t="s">
        <v>26</v>
      </c>
      <c r="I18" s="262" t="s">
        <v>167</v>
      </c>
      <c r="J18" s="263" t="s">
        <v>174</v>
      </c>
      <c r="K18" s="264">
        <v>920000</v>
      </c>
      <c r="L18" s="265" t="s">
        <v>2057</v>
      </c>
      <c r="M18" s="266" t="s">
        <v>14</v>
      </c>
    </row>
    <row r="19" spans="1:13" customFormat="1">
      <c r="A19" s="258" t="s">
        <v>219</v>
      </c>
      <c r="B19" s="259" t="s">
        <v>244</v>
      </c>
      <c r="C19" s="259" t="s">
        <v>220</v>
      </c>
      <c r="D19" s="260" t="s">
        <v>148</v>
      </c>
      <c r="E19" s="261" t="s">
        <v>245</v>
      </c>
      <c r="F19" s="261" t="s">
        <v>21</v>
      </c>
      <c r="G19" s="262" t="s">
        <v>70</v>
      </c>
      <c r="H19" s="263" t="s">
        <v>42</v>
      </c>
      <c r="I19" s="262" t="s">
        <v>167</v>
      </c>
      <c r="J19" s="263" t="s">
        <v>174</v>
      </c>
      <c r="K19" s="264">
        <v>6140000</v>
      </c>
      <c r="L19" s="265" t="s">
        <v>2057</v>
      </c>
      <c r="M19" s="266" t="s">
        <v>14</v>
      </c>
    </row>
    <row r="20" spans="1:13" customFormat="1">
      <c r="A20" s="258" t="s">
        <v>219</v>
      </c>
      <c r="B20" s="259" t="s">
        <v>246</v>
      </c>
      <c r="C20" s="259" t="s">
        <v>220</v>
      </c>
      <c r="D20" s="260" t="s">
        <v>148</v>
      </c>
      <c r="E20" s="261" t="s">
        <v>245</v>
      </c>
      <c r="F20" s="261" t="s">
        <v>21</v>
      </c>
      <c r="G20" s="262" t="s">
        <v>74</v>
      </c>
      <c r="H20" s="263" t="s">
        <v>42</v>
      </c>
      <c r="I20" s="262" t="s">
        <v>167</v>
      </c>
      <c r="J20" s="263" t="s">
        <v>174</v>
      </c>
      <c r="K20" s="264">
        <v>6740000</v>
      </c>
      <c r="L20" s="265" t="s">
        <v>2057</v>
      </c>
      <c r="M20" s="266" t="s">
        <v>14</v>
      </c>
    </row>
    <row r="21" spans="1:13" customFormat="1">
      <c r="A21" s="258" t="s">
        <v>219</v>
      </c>
      <c r="B21" s="259" t="s">
        <v>247</v>
      </c>
      <c r="C21" s="259" t="s">
        <v>220</v>
      </c>
      <c r="D21" s="260" t="s">
        <v>148</v>
      </c>
      <c r="E21" s="261" t="s">
        <v>245</v>
      </c>
      <c r="F21" s="261" t="s">
        <v>21</v>
      </c>
      <c r="G21" s="262" t="s">
        <v>72</v>
      </c>
      <c r="H21" s="263" t="s">
        <v>42</v>
      </c>
      <c r="I21" s="262" t="s">
        <v>167</v>
      </c>
      <c r="J21" s="263" t="s">
        <v>174</v>
      </c>
      <c r="K21" s="264">
        <v>7340000</v>
      </c>
      <c r="L21" s="265" t="s">
        <v>2057</v>
      </c>
      <c r="M21" s="266" t="s">
        <v>14</v>
      </c>
    </row>
    <row r="22" spans="1:13" customFormat="1">
      <c r="A22" s="258" t="s">
        <v>219</v>
      </c>
      <c r="B22" s="259" t="s">
        <v>248</v>
      </c>
      <c r="C22" s="259" t="s">
        <v>220</v>
      </c>
      <c r="D22" s="260" t="s">
        <v>249</v>
      </c>
      <c r="E22" s="261" t="s">
        <v>250</v>
      </c>
      <c r="F22" s="261" t="s">
        <v>16</v>
      </c>
      <c r="G22" s="262" t="s">
        <v>206</v>
      </c>
      <c r="H22" s="263" t="s">
        <v>26</v>
      </c>
      <c r="I22" s="262" t="s">
        <v>251</v>
      </c>
      <c r="J22" s="263" t="s">
        <v>252</v>
      </c>
      <c r="K22" s="264">
        <v>28000000</v>
      </c>
      <c r="L22" s="265" t="s">
        <v>2057</v>
      </c>
      <c r="M22" s="266" t="s">
        <v>14</v>
      </c>
    </row>
    <row r="23" spans="1:13" customFormat="1" ht="29">
      <c r="A23" s="258" t="s">
        <v>219</v>
      </c>
      <c r="B23" s="259" t="s">
        <v>253</v>
      </c>
      <c r="C23" s="259" t="s">
        <v>220</v>
      </c>
      <c r="D23" s="260" t="s">
        <v>254</v>
      </c>
      <c r="E23" s="261" t="s">
        <v>255</v>
      </c>
      <c r="F23" s="261" t="s">
        <v>16</v>
      </c>
      <c r="G23" s="262" t="s">
        <v>206</v>
      </c>
      <c r="H23" s="263" t="s">
        <v>26</v>
      </c>
      <c r="I23" s="262" t="s">
        <v>251</v>
      </c>
      <c r="J23" s="263" t="s">
        <v>252</v>
      </c>
      <c r="K23" s="264">
        <v>1300000</v>
      </c>
      <c r="L23" s="265" t="s">
        <v>2057</v>
      </c>
      <c r="M23" s="266" t="s">
        <v>14</v>
      </c>
    </row>
    <row r="24" spans="1:13" customFormat="1">
      <c r="A24" s="258" t="s">
        <v>219</v>
      </c>
      <c r="B24" s="259" t="s">
        <v>256</v>
      </c>
      <c r="C24" s="259" t="s">
        <v>220</v>
      </c>
      <c r="D24" s="260" t="s">
        <v>257</v>
      </c>
      <c r="E24" s="261" t="s">
        <v>250</v>
      </c>
      <c r="F24" s="261" t="s">
        <v>16</v>
      </c>
      <c r="G24" s="262" t="s">
        <v>206</v>
      </c>
      <c r="H24" s="263" t="s">
        <v>26</v>
      </c>
      <c r="I24" s="262" t="s">
        <v>251</v>
      </c>
      <c r="J24" s="263" t="s">
        <v>252</v>
      </c>
      <c r="K24" s="264">
        <v>24000000</v>
      </c>
      <c r="L24" s="265" t="s">
        <v>2057</v>
      </c>
      <c r="M24" s="266" t="s">
        <v>14</v>
      </c>
    </row>
    <row r="25" spans="1:13" customFormat="1" ht="29">
      <c r="A25" s="258" t="s">
        <v>219</v>
      </c>
      <c r="B25" s="259" t="s">
        <v>258</v>
      </c>
      <c r="C25" s="259" t="s">
        <v>220</v>
      </c>
      <c r="D25" s="260" t="s">
        <v>259</v>
      </c>
      <c r="E25" s="261" t="s">
        <v>255</v>
      </c>
      <c r="F25" s="261" t="s">
        <v>16</v>
      </c>
      <c r="G25" s="262" t="s">
        <v>206</v>
      </c>
      <c r="H25" s="263" t="s">
        <v>26</v>
      </c>
      <c r="I25" s="262" t="s">
        <v>251</v>
      </c>
      <c r="J25" s="263" t="s">
        <v>252</v>
      </c>
      <c r="K25" s="264">
        <v>900000</v>
      </c>
      <c r="L25" s="265" t="s">
        <v>2057</v>
      </c>
      <c r="M25" s="266" t="s">
        <v>14</v>
      </c>
    </row>
    <row r="26" spans="1:13" customFormat="1">
      <c r="A26" s="258" t="s">
        <v>219</v>
      </c>
      <c r="B26" s="259" t="s">
        <v>260</v>
      </c>
      <c r="C26" s="259" t="s">
        <v>220</v>
      </c>
      <c r="D26" s="260" t="s">
        <v>261</v>
      </c>
      <c r="E26" s="261" t="s">
        <v>250</v>
      </c>
      <c r="F26" s="261" t="s">
        <v>16</v>
      </c>
      <c r="G26" s="262" t="s">
        <v>206</v>
      </c>
      <c r="H26" s="263" t="s">
        <v>26</v>
      </c>
      <c r="I26" s="262" t="s">
        <v>251</v>
      </c>
      <c r="J26" s="263" t="s">
        <v>252</v>
      </c>
      <c r="K26" s="264">
        <v>32000000</v>
      </c>
      <c r="L26" s="265" t="s">
        <v>2057</v>
      </c>
      <c r="M26" s="266" t="s">
        <v>14</v>
      </c>
    </row>
    <row r="27" spans="1:13" customFormat="1">
      <c r="A27" s="258" t="s">
        <v>219</v>
      </c>
      <c r="B27" s="259" t="s">
        <v>262</v>
      </c>
      <c r="C27" s="259" t="s">
        <v>220</v>
      </c>
      <c r="D27" s="260" t="s">
        <v>263</v>
      </c>
      <c r="E27" s="261" t="s">
        <v>255</v>
      </c>
      <c r="F27" s="261" t="s">
        <v>16</v>
      </c>
      <c r="G27" s="262" t="s">
        <v>206</v>
      </c>
      <c r="H27" s="263" t="s">
        <v>26</v>
      </c>
      <c r="I27" s="262" t="s">
        <v>251</v>
      </c>
      <c r="J27" s="263" t="s">
        <v>252</v>
      </c>
      <c r="K27" s="264">
        <v>1700000</v>
      </c>
      <c r="L27" s="265" t="s">
        <v>2057</v>
      </c>
      <c r="M27" s="266" t="s">
        <v>14</v>
      </c>
    </row>
    <row r="28" spans="1:13" customFormat="1">
      <c r="A28" s="258" t="s">
        <v>219</v>
      </c>
      <c r="B28" s="259" t="s">
        <v>264</v>
      </c>
      <c r="C28" s="259" t="s">
        <v>220</v>
      </c>
      <c r="D28" s="260" t="s">
        <v>265</v>
      </c>
      <c r="E28" s="261" t="s">
        <v>250</v>
      </c>
      <c r="F28" s="261" t="s">
        <v>16</v>
      </c>
      <c r="G28" s="262" t="s">
        <v>206</v>
      </c>
      <c r="H28" s="263" t="s">
        <v>26</v>
      </c>
      <c r="I28" s="262" t="s">
        <v>251</v>
      </c>
      <c r="J28" s="263" t="s">
        <v>252</v>
      </c>
      <c r="K28" s="264">
        <v>24000000</v>
      </c>
      <c r="L28" s="265" t="s">
        <v>2057</v>
      </c>
      <c r="M28" s="266" t="s">
        <v>14</v>
      </c>
    </row>
    <row r="29" spans="1:13" customFormat="1" ht="29">
      <c r="A29" s="258" t="s">
        <v>219</v>
      </c>
      <c r="B29" s="259" t="s">
        <v>266</v>
      </c>
      <c r="C29" s="259" t="s">
        <v>220</v>
      </c>
      <c r="D29" s="260" t="s">
        <v>267</v>
      </c>
      <c r="E29" s="261" t="s">
        <v>255</v>
      </c>
      <c r="F29" s="261" t="s">
        <v>16</v>
      </c>
      <c r="G29" s="262" t="s">
        <v>206</v>
      </c>
      <c r="H29" s="263" t="s">
        <v>26</v>
      </c>
      <c r="I29" s="262" t="s">
        <v>251</v>
      </c>
      <c r="J29" s="263" t="s">
        <v>252</v>
      </c>
      <c r="K29" s="264">
        <v>900000</v>
      </c>
      <c r="L29" s="265" t="s">
        <v>2057</v>
      </c>
      <c r="M29" s="266" t="s">
        <v>14</v>
      </c>
    </row>
    <row r="30" spans="1:13" customFormat="1">
      <c r="A30" s="258" t="s">
        <v>219</v>
      </c>
      <c r="B30" s="259" t="s">
        <v>268</v>
      </c>
      <c r="C30" s="259" t="s">
        <v>220</v>
      </c>
      <c r="D30" s="260" t="s">
        <v>269</v>
      </c>
      <c r="E30" s="261" t="s">
        <v>250</v>
      </c>
      <c r="F30" s="261" t="s">
        <v>16</v>
      </c>
      <c r="G30" s="262" t="s">
        <v>206</v>
      </c>
      <c r="H30" s="263" t="s">
        <v>26</v>
      </c>
      <c r="I30" s="262" t="s">
        <v>251</v>
      </c>
      <c r="J30" s="263" t="s">
        <v>252</v>
      </c>
      <c r="K30" s="264">
        <v>26500000</v>
      </c>
      <c r="L30" s="265" t="s">
        <v>2057</v>
      </c>
      <c r="M30" s="266" t="s">
        <v>14</v>
      </c>
    </row>
    <row r="31" spans="1:13" customFormat="1" ht="29">
      <c r="A31" s="258" t="s">
        <v>219</v>
      </c>
      <c r="B31" s="259" t="s">
        <v>270</v>
      </c>
      <c r="C31" s="259" t="s">
        <v>220</v>
      </c>
      <c r="D31" s="260" t="s">
        <v>271</v>
      </c>
      <c r="E31" s="261" t="s">
        <v>255</v>
      </c>
      <c r="F31" s="261" t="s">
        <v>16</v>
      </c>
      <c r="G31" s="262" t="s">
        <v>206</v>
      </c>
      <c r="H31" s="263" t="s">
        <v>26</v>
      </c>
      <c r="I31" s="262" t="s">
        <v>251</v>
      </c>
      <c r="J31" s="263" t="s">
        <v>252</v>
      </c>
      <c r="K31" s="264">
        <v>1150000</v>
      </c>
      <c r="L31" s="265" t="s">
        <v>2057</v>
      </c>
      <c r="M31" s="266" t="s">
        <v>14</v>
      </c>
    </row>
    <row r="32" spans="1:13" customFormat="1">
      <c r="A32" s="258" t="s">
        <v>219</v>
      </c>
      <c r="B32" s="259" t="s">
        <v>272</v>
      </c>
      <c r="C32" s="259" t="s">
        <v>220</v>
      </c>
      <c r="D32" s="260" t="s">
        <v>273</v>
      </c>
      <c r="E32" s="261" t="s">
        <v>274</v>
      </c>
      <c r="F32" s="261" t="s">
        <v>16</v>
      </c>
      <c r="G32" s="262" t="s">
        <v>206</v>
      </c>
      <c r="H32" s="263" t="s">
        <v>26</v>
      </c>
      <c r="I32" s="262" t="s">
        <v>251</v>
      </c>
      <c r="J32" s="263" t="s">
        <v>252</v>
      </c>
      <c r="K32" s="264">
        <v>25000000</v>
      </c>
      <c r="L32" s="265" t="s">
        <v>2057</v>
      </c>
      <c r="M32" s="266" t="s">
        <v>14</v>
      </c>
    </row>
    <row r="33" spans="1:13" customFormat="1">
      <c r="A33" s="258" t="s">
        <v>219</v>
      </c>
      <c r="B33" s="259" t="s">
        <v>275</v>
      </c>
      <c r="C33" s="259" t="s">
        <v>220</v>
      </c>
      <c r="D33" s="260" t="s">
        <v>276</v>
      </c>
      <c r="E33" s="261" t="s">
        <v>255</v>
      </c>
      <c r="F33" s="261" t="s">
        <v>16</v>
      </c>
      <c r="G33" s="262" t="s">
        <v>206</v>
      </c>
      <c r="H33" s="263" t="s">
        <v>26</v>
      </c>
      <c r="I33" s="262" t="s">
        <v>251</v>
      </c>
      <c r="J33" s="263" t="s">
        <v>252</v>
      </c>
      <c r="K33" s="264">
        <v>1000000</v>
      </c>
      <c r="L33" s="265" t="s">
        <v>2057</v>
      </c>
      <c r="M33" s="266" t="s">
        <v>14</v>
      </c>
    </row>
    <row r="34" spans="1:13" customFormat="1">
      <c r="A34" s="258" t="s">
        <v>219</v>
      </c>
      <c r="B34" s="259" t="s">
        <v>277</v>
      </c>
      <c r="C34" s="259" t="s">
        <v>220</v>
      </c>
      <c r="D34" s="260" t="s">
        <v>278</v>
      </c>
      <c r="E34" s="261" t="s">
        <v>250</v>
      </c>
      <c r="F34" s="261" t="s">
        <v>16</v>
      </c>
      <c r="G34" s="262" t="s">
        <v>206</v>
      </c>
      <c r="H34" s="263" t="s">
        <v>26</v>
      </c>
      <c r="I34" s="262" t="s">
        <v>251</v>
      </c>
      <c r="J34" s="263" t="s">
        <v>252</v>
      </c>
      <c r="K34" s="264">
        <v>35000000</v>
      </c>
      <c r="L34" s="265" t="s">
        <v>2057</v>
      </c>
      <c r="M34" s="266" t="s">
        <v>14</v>
      </c>
    </row>
    <row r="35" spans="1:13" customFormat="1">
      <c r="A35" s="258" t="s">
        <v>219</v>
      </c>
      <c r="B35" s="259" t="s">
        <v>279</v>
      </c>
      <c r="C35" s="259" t="s">
        <v>220</v>
      </c>
      <c r="D35" s="260" t="s">
        <v>280</v>
      </c>
      <c r="E35" s="261" t="s">
        <v>255</v>
      </c>
      <c r="F35" s="261" t="s">
        <v>16</v>
      </c>
      <c r="G35" s="262" t="s">
        <v>206</v>
      </c>
      <c r="H35" s="263" t="s">
        <v>26</v>
      </c>
      <c r="I35" s="262" t="s">
        <v>251</v>
      </c>
      <c r="J35" s="263" t="s">
        <v>252</v>
      </c>
      <c r="K35" s="264">
        <v>2000000</v>
      </c>
      <c r="L35" s="265" t="s">
        <v>2057</v>
      </c>
      <c r="M35" s="266" t="s">
        <v>14</v>
      </c>
    </row>
    <row r="36" spans="1:13" customFormat="1" ht="29">
      <c r="A36" s="258" t="s">
        <v>219</v>
      </c>
      <c r="B36" s="259" t="s">
        <v>281</v>
      </c>
      <c r="C36" s="259" t="s">
        <v>220</v>
      </c>
      <c r="D36" s="260" t="s">
        <v>282</v>
      </c>
      <c r="E36" s="261" t="s">
        <v>255</v>
      </c>
      <c r="F36" s="261" t="s">
        <v>16</v>
      </c>
      <c r="G36" s="262" t="s">
        <v>206</v>
      </c>
      <c r="H36" s="263" t="s">
        <v>26</v>
      </c>
      <c r="I36" s="262" t="s">
        <v>251</v>
      </c>
      <c r="J36" s="263" t="s">
        <v>252</v>
      </c>
      <c r="K36" s="264">
        <v>350000</v>
      </c>
      <c r="L36" s="265" t="s">
        <v>2057</v>
      </c>
      <c r="M36" s="266" t="s">
        <v>14</v>
      </c>
    </row>
    <row r="37" spans="1:13" customFormat="1">
      <c r="A37" s="258" t="s">
        <v>219</v>
      </c>
      <c r="B37" s="259" t="s">
        <v>283</v>
      </c>
      <c r="C37" s="259" t="s">
        <v>220</v>
      </c>
      <c r="D37" s="260" t="s">
        <v>284</v>
      </c>
      <c r="E37" s="261" t="s">
        <v>255</v>
      </c>
      <c r="F37" s="261" t="s">
        <v>16</v>
      </c>
      <c r="G37" s="262" t="s">
        <v>206</v>
      </c>
      <c r="H37" s="263" t="s">
        <v>26</v>
      </c>
      <c r="I37" s="262" t="s">
        <v>251</v>
      </c>
      <c r="J37" s="263" t="s">
        <v>252</v>
      </c>
      <c r="K37" s="264">
        <v>350000</v>
      </c>
      <c r="L37" s="265" t="s">
        <v>2057</v>
      </c>
      <c r="M37" s="266" t="s">
        <v>14</v>
      </c>
    </row>
    <row r="38" spans="1:13" customFormat="1" ht="29">
      <c r="A38" s="258" t="s">
        <v>219</v>
      </c>
      <c r="B38" s="259" t="s">
        <v>285</v>
      </c>
      <c r="C38" s="259" t="s">
        <v>220</v>
      </c>
      <c r="D38" s="260" t="s">
        <v>286</v>
      </c>
      <c r="E38" s="261" t="s">
        <v>255</v>
      </c>
      <c r="F38" s="261" t="s">
        <v>16</v>
      </c>
      <c r="G38" s="262" t="s">
        <v>206</v>
      </c>
      <c r="H38" s="263" t="s">
        <v>26</v>
      </c>
      <c r="I38" s="262" t="s">
        <v>251</v>
      </c>
      <c r="J38" s="263" t="s">
        <v>252</v>
      </c>
      <c r="K38" s="264">
        <v>200000</v>
      </c>
      <c r="L38" s="265" t="s">
        <v>2057</v>
      </c>
      <c r="M38" s="266" t="s">
        <v>14</v>
      </c>
    </row>
    <row r="39" spans="1:13" customFormat="1" ht="29">
      <c r="A39" s="258" t="s">
        <v>219</v>
      </c>
      <c r="B39" s="259" t="s">
        <v>287</v>
      </c>
      <c r="C39" s="259" t="s">
        <v>220</v>
      </c>
      <c r="D39" s="260" t="s">
        <v>288</v>
      </c>
      <c r="E39" s="261" t="s">
        <v>255</v>
      </c>
      <c r="F39" s="261" t="s">
        <v>16</v>
      </c>
      <c r="G39" s="262" t="s">
        <v>206</v>
      </c>
      <c r="H39" s="263" t="s">
        <v>26</v>
      </c>
      <c r="I39" s="262" t="s">
        <v>251</v>
      </c>
      <c r="J39" s="263" t="s">
        <v>252</v>
      </c>
      <c r="K39" s="264">
        <v>250000</v>
      </c>
      <c r="L39" s="265" t="s">
        <v>2057</v>
      </c>
      <c r="M39" s="266" t="s">
        <v>14</v>
      </c>
    </row>
    <row r="40" spans="1:13" customFormat="1">
      <c r="A40" s="258" t="s">
        <v>219</v>
      </c>
      <c r="B40" s="259" t="s">
        <v>289</v>
      </c>
      <c r="C40" s="259" t="s">
        <v>220</v>
      </c>
      <c r="D40" s="260" t="s">
        <v>290</v>
      </c>
      <c r="E40" s="261" t="s">
        <v>255</v>
      </c>
      <c r="F40" s="261" t="s">
        <v>16</v>
      </c>
      <c r="G40" s="262" t="s">
        <v>206</v>
      </c>
      <c r="H40" s="263" t="s">
        <v>26</v>
      </c>
      <c r="I40" s="262" t="s">
        <v>251</v>
      </c>
      <c r="J40" s="263" t="s">
        <v>252</v>
      </c>
      <c r="K40" s="264">
        <v>250000</v>
      </c>
      <c r="L40" s="265" t="s">
        <v>2057</v>
      </c>
      <c r="M40" s="266" t="s">
        <v>14</v>
      </c>
    </row>
    <row r="41" spans="1:13" customFormat="1" ht="29">
      <c r="A41" s="258" t="s">
        <v>219</v>
      </c>
      <c r="B41" s="259" t="s">
        <v>291</v>
      </c>
      <c r="C41" s="259" t="s">
        <v>220</v>
      </c>
      <c r="D41" s="260" t="s">
        <v>292</v>
      </c>
      <c r="E41" s="261" t="s">
        <v>255</v>
      </c>
      <c r="F41" s="261" t="s">
        <v>16</v>
      </c>
      <c r="G41" s="262" t="s">
        <v>206</v>
      </c>
      <c r="H41" s="263" t="s">
        <v>26</v>
      </c>
      <c r="I41" s="262" t="s">
        <v>251</v>
      </c>
      <c r="J41" s="263" t="s">
        <v>252</v>
      </c>
      <c r="K41" s="264">
        <v>50000</v>
      </c>
      <c r="L41" s="265" t="s">
        <v>2057</v>
      </c>
      <c r="M41" s="266" t="s">
        <v>14</v>
      </c>
    </row>
    <row r="42" spans="1:13" customFormat="1" ht="29">
      <c r="A42" s="258" t="s">
        <v>219</v>
      </c>
      <c r="B42" s="259" t="s">
        <v>293</v>
      </c>
      <c r="C42" s="259" t="s">
        <v>220</v>
      </c>
      <c r="D42" s="260" t="s">
        <v>294</v>
      </c>
      <c r="E42" s="261" t="s">
        <v>255</v>
      </c>
      <c r="F42" s="261" t="s">
        <v>16</v>
      </c>
      <c r="G42" s="262" t="s">
        <v>206</v>
      </c>
      <c r="H42" s="263" t="s">
        <v>26</v>
      </c>
      <c r="I42" s="262" t="s">
        <v>251</v>
      </c>
      <c r="J42" s="263" t="s">
        <v>252</v>
      </c>
      <c r="K42" s="264">
        <v>50000</v>
      </c>
      <c r="L42" s="265" t="s">
        <v>2057</v>
      </c>
      <c r="M42" s="266" t="s">
        <v>14</v>
      </c>
    </row>
    <row r="43" spans="1:13" customFormat="1" ht="29">
      <c r="A43" s="258" t="s">
        <v>219</v>
      </c>
      <c r="B43" s="259" t="s">
        <v>295</v>
      </c>
      <c r="C43" s="259" t="s">
        <v>220</v>
      </c>
      <c r="D43" s="260" t="s">
        <v>296</v>
      </c>
      <c r="E43" s="261" t="s">
        <v>255</v>
      </c>
      <c r="F43" s="261" t="s">
        <v>16</v>
      </c>
      <c r="G43" s="262" t="s">
        <v>206</v>
      </c>
      <c r="H43" s="263" t="s">
        <v>26</v>
      </c>
      <c r="I43" s="262" t="s">
        <v>251</v>
      </c>
      <c r="J43" s="263" t="s">
        <v>252</v>
      </c>
      <c r="K43" s="264">
        <v>50000</v>
      </c>
      <c r="L43" s="265" t="s">
        <v>2057</v>
      </c>
      <c r="M43" s="266" t="s">
        <v>14</v>
      </c>
    </row>
    <row r="44" spans="1:13" customFormat="1" ht="29">
      <c r="A44" s="258" t="s">
        <v>219</v>
      </c>
      <c r="B44" s="259" t="s">
        <v>297</v>
      </c>
      <c r="C44" s="259" t="s">
        <v>220</v>
      </c>
      <c r="D44" s="260" t="s">
        <v>298</v>
      </c>
      <c r="E44" s="261" t="s">
        <v>255</v>
      </c>
      <c r="F44" s="261" t="s">
        <v>16</v>
      </c>
      <c r="G44" s="262" t="s">
        <v>206</v>
      </c>
      <c r="H44" s="263" t="s">
        <v>26</v>
      </c>
      <c r="I44" s="262" t="s">
        <v>251</v>
      </c>
      <c r="J44" s="263" t="s">
        <v>252</v>
      </c>
      <c r="K44" s="264">
        <v>180000</v>
      </c>
      <c r="L44" s="265" t="s">
        <v>2057</v>
      </c>
      <c r="M44" s="266" t="s">
        <v>14</v>
      </c>
    </row>
    <row r="45" spans="1:13" customFormat="1">
      <c r="A45" s="258" t="s">
        <v>219</v>
      </c>
      <c r="B45" s="259" t="s">
        <v>299</v>
      </c>
      <c r="C45" s="259" t="s">
        <v>220</v>
      </c>
      <c r="D45" s="260" t="s">
        <v>300</v>
      </c>
      <c r="E45" s="261" t="s">
        <v>255</v>
      </c>
      <c r="F45" s="261" t="s">
        <v>16</v>
      </c>
      <c r="G45" s="262" t="s">
        <v>206</v>
      </c>
      <c r="H45" s="263" t="s">
        <v>26</v>
      </c>
      <c r="I45" s="262" t="s">
        <v>251</v>
      </c>
      <c r="J45" s="263" t="s">
        <v>252</v>
      </c>
      <c r="K45" s="264">
        <v>350000</v>
      </c>
      <c r="L45" s="265" t="s">
        <v>2057</v>
      </c>
      <c r="M45" s="266" t="s">
        <v>14</v>
      </c>
    </row>
    <row r="46" spans="1:13" customFormat="1" ht="29">
      <c r="A46" s="258" t="s">
        <v>219</v>
      </c>
      <c r="B46" s="259" t="s">
        <v>301</v>
      </c>
      <c r="C46" s="259" t="s">
        <v>220</v>
      </c>
      <c r="D46" s="260" t="s">
        <v>302</v>
      </c>
      <c r="E46" s="261" t="s">
        <v>255</v>
      </c>
      <c r="F46" s="261" t="s">
        <v>16</v>
      </c>
      <c r="G46" s="262" t="s">
        <v>206</v>
      </c>
      <c r="H46" s="263" t="s">
        <v>26</v>
      </c>
      <c r="I46" s="262" t="s">
        <v>251</v>
      </c>
      <c r="J46" s="263" t="s">
        <v>252</v>
      </c>
      <c r="K46" s="264">
        <v>200000</v>
      </c>
      <c r="L46" s="265" t="s">
        <v>2057</v>
      </c>
      <c r="M46" s="266" t="s">
        <v>14</v>
      </c>
    </row>
    <row r="47" spans="1:13" customFormat="1">
      <c r="A47" s="258" t="s">
        <v>219</v>
      </c>
      <c r="B47" s="259" t="s">
        <v>303</v>
      </c>
      <c r="C47" s="259" t="s">
        <v>220</v>
      </c>
      <c r="D47" s="260" t="s">
        <v>304</v>
      </c>
      <c r="E47" s="261" t="s">
        <v>255</v>
      </c>
      <c r="F47" s="261" t="s">
        <v>16</v>
      </c>
      <c r="G47" s="262" t="s">
        <v>206</v>
      </c>
      <c r="H47" s="263" t="s">
        <v>26</v>
      </c>
      <c r="I47" s="262" t="s">
        <v>251</v>
      </c>
      <c r="J47" s="263" t="s">
        <v>252</v>
      </c>
      <c r="K47" s="264">
        <v>300000</v>
      </c>
      <c r="L47" s="265" t="s">
        <v>2057</v>
      </c>
      <c r="M47" s="266" t="s">
        <v>14</v>
      </c>
    </row>
    <row r="48" spans="1:13" customFormat="1" ht="29">
      <c r="A48" s="258" t="s">
        <v>219</v>
      </c>
      <c r="B48" s="259" t="s">
        <v>305</v>
      </c>
      <c r="C48" s="259" t="s">
        <v>220</v>
      </c>
      <c r="D48" s="260" t="s">
        <v>3004</v>
      </c>
      <c r="E48" s="261" t="s">
        <v>306</v>
      </c>
      <c r="F48" s="261" t="s">
        <v>16</v>
      </c>
      <c r="G48" s="262" t="s">
        <v>206</v>
      </c>
      <c r="H48" s="263" t="s">
        <v>26</v>
      </c>
      <c r="I48" s="262" t="s">
        <v>251</v>
      </c>
      <c r="J48" s="263" t="s">
        <v>252</v>
      </c>
      <c r="K48" s="264">
        <v>16000000</v>
      </c>
      <c r="L48" s="265" t="s">
        <v>2057</v>
      </c>
      <c r="M48" s="266" t="s">
        <v>14</v>
      </c>
    </row>
    <row r="49" spans="1:13" customFormat="1" ht="29">
      <c r="A49" s="258" t="s">
        <v>219</v>
      </c>
      <c r="B49" s="259" t="s">
        <v>307</v>
      </c>
      <c r="C49" s="259" t="s">
        <v>220</v>
      </c>
      <c r="D49" s="260" t="s">
        <v>3005</v>
      </c>
      <c r="E49" s="261" t="s">
        <v>306</v>
      </c>
      <c r="F49" s="261" t="s">
        <v>16</v>
      </c>
      <c r="G49" s="262" t="s">
        <v>206</v>
      </c>
      <c r="H49" s="263" t="s">
        <v>26</v>
      </c>
      <c r="I49" s="262" t="s">
        <v>251</v>
      </c>
      <c r="J49" s="263" t="s">
        <v>252</v>
      </c>
      <c r="K49" s="264">
        <v>28000000</v>
      </c>
      <c r="L49" s="265" t="s">
        <v>2057</v>
      </c>
      <c r="M49" s="266" t="s">
        <v>14</v>
      </c>
    </row>
    <row r="50" spans="1:13" customFormat="1" ht="29">
      <c r="A50" s="258" t="s">
        <v>219</v>
      </c>
      <c r="B50" s="259" t="s">
        <v>308</v>
      </c>
      <c r="C50" s="259" t="s">
        <v>220</v>
      </c>
      <c r="D50" s="260" t="s">
        <v>3006</v>
      </c>
      <c r="E50" s="261" t="s">
        <v>306</v>
      </c>
      <c r="F50" s="261" t="s">
        <v>16</v>
      </c>
      <c r="G50" s="262" t="s">
        <v>206</v>
      </c>
      <c r="H50" s="263" t="s">
        <v>26</v>
      </c>
      <c r="I50" s="262" t="s">
        <v>251</v>
      </c>
      <c r="J50" s="263" t="s">
        <v>252</v>
      </c>
      <c r="K50" s="264">
        <v>16000000</v>
      </c>
      <c r="L50" s="265" t="s">
        <v>2057</v>
      </c>
      <c r="M50" s="266" t="s">
        <v>14</v>
      </c>
    </row>
    <row r="51" spans="1:13" customFormat="1" ht="29">
      <c r="A51" s="258" t="s">
        <v>219</v>
      </c>
      <c r="B51" s="259" t="s">
        <v>309</v>
      </c>
      <c r="C51" s="259" t="s">
        <v>220</v>
      </c>
      <c r="D51" s="260" t="s">
        <v>3007</v>
      </c>
      <c r="E51" s="261" t="s">
        <v>306</v>
      </c>
      <c r="F51" s="261" t="s">
        <v>16</v>
      </c>
      <c r="G51" s="262" t="s">
        <v>206</v>
      </c>
      <c r="H51" s="263" t="s">
        <v>26</v>
      </c>
      <c r="I51" s="262" t="s">
        <v>251</v>
      </c>
      <c r="J51" s="263" t="s">
        <v>252</v>
      </c>
      <c r="K51" s="264">
        <v>28000000</v>
      </c>
      <c r="L51" s="265" t="s">
        <v>2057</v>
      </c>
      <c r="M51" s="266" t="s">
        <v>14</v>
      </c>
    </row>
    <row r="52" spans="1:13" customFormat="1" ht="29">
      <c r="A52" s="258" t="s">
        <v>219</v>
      </c>
      <c r="B52" s="259" t="s">
        <v>310</v>
      </c>
      <c r="C52" s="259" t="s">
        <v>220</v>
      </c>
      <c r="D52" s="260" t="s">
        <v>3008</v>
      </c>
      <c r="E52" s="261" t="s">
        <v>306</v>
      </c>
      <c r="F52" s="261" t="s">
        <v>16</v>
      </c>
      <c r="G52" s="262" t="s">
        <v>206</v>
      </c>
      <c r="H52" s="263" t="s">
        <v>26</v>
      </c>
      <c r="I52" s="262" t="s">
        <v>251</v>
      </c>
      <c r="J52" s="263" t="s">
        <v>252</v>
      </c>
      <c r="K52" s="264">
        <v>16000000</v>
      </c>
      <c r="L52" s="265" t="s">
        <v>2057</v>
      </c>
      <c r="M52" s="266" t="s">
        <v>14</v>
      </c>
    </row>
    <row r="53" spans="1:13" customFormat="1" ht="29">
      <c r="A53" s="258" t="s">
        <v>219</v>
      </c>
      <c r="B53" s="259" t="s">
        <v>311</v>
      </c>
      <c r="C53" s="259" t="s">
        <v>220</v>
      </c>
      <c r="D53" s="260" t="s">
        <v>3009</v>
      </c>
      <c r="E53" s="261" t="s">
        <v>306</v>
      </c>
      <c r="F53" s="261" t="s">
        <v>16</v>
      </c>
      <c r="G53" s="262" t="s">
        <v>206</v>
      </c>
      <c r="H53" s="263" t="s">
        <v>26</v>
      </c>
      <c r="I53" s="262" t="s">
        <v>251</v>
      </c>
      <c r="J53" s="263" t="s">
        <v>252</v>
      </c>
      <c r="K53" s="264">
        <v>28000000</v>
      </c>
      <c r="L53" s="265" t="s">
        <v>2057</v>
      </c>
      <c r="M53" s="266" t="s">
        <v>14</v>
      </c>
    </row>
    <row r="54" spans="1:13" customFormat="1" ht="29">
      <c r="A54" s="258" t="s">
        <v>219</v>
      </c>
      <c r="B54" s="259" t="s">
        <v>2154</v>
      </c>
      <c r="C54" s="259" t="s">
        <v>220</v>
      </c>
      <c r="D54" s="260" t="s">
        <v>3010</v>
      </c>
      <c r="E54" s="261" t="s">
        <v>306</v>
      </c>
      <c r="F54" s="261" t="s">
        <v>16</v>
      </c>
      <c r="G54" s="262" t="s">
        <v>2155</v>
      </c>
      <c r="H54" s="263" t="s">
        <v>26</v>
      </c>
      <c r="I54" s="262" t="s">
        <v>251</v>
      </c>
      <c r="J54" s="263" t="s">
        <v>252</v>
      </c>
      <c r="K54" s="264">
        <v>16000000</v>
      </c>
      <c r="L54" s="265" t="s">
        <v>2057</v>
      </c>
      <c r="M54" s="266" t="s">
        <v>14</v>
      </c>
    </row>
    <row r="55" spans="1:13" customFormat="1" ht="29">
      <c r="A55" s="258" t="s">
        <v>219</v>
      </c>
      <c r="B55" s="259" t="s">
        <v>2156</v>
      </c>
      <c r="C55" s="259" t="s">
        <v>220</v>
      </c>
      <c r="D55" s="260" t="s">
        <v>3011</v>
      </c>
      <c r="E55" s="261" t="s">
        <v>306</v>
      </c>
      <c r="F55" s="261" t="s">
        <v>16</v>
      </c>
      <c r="G55" s="262" t="s">
        <v>2155</v>
      </c>
      <c r="H55" s="263" t="s">
        <v>26</v>
      </c>
      <c r="I55" s="262" t="s">
        <v>251</v>
      </c>
      <c r="J55" s="263" t="s">
        <v>252</v>
      </c>
      <c r="K55" s="264">
        <v>28000000</v>
      </c>
      <c r="L55" s="265" t="s">
        <v>2057</v>
      </c>
      <c r="M55" s="266" t="s">
        <v>14</v>
      </c>
    </row>
    <row r="56" spans="1:13" customFormat="1" ht="29">
      <c r="A56" s="258" t="s">
        <v>219</v>
      </c>
      <c r="B56" s="259" t="s">
        <v>2939</v>
      </c>
      <c r="C56" s="259" t="s">
        <v>220</v>
      </c>
      <c r="D56" s="260" t="s">
        <v>2940</v>
      </c>
      <c r="E56" s="261" t="s">
        <v>306</v>
      </c>
      <c r="F56" s="261" t="s">
        <v>16</v>
      </c>
      <c r="G56" s="262" t="s">
        <v>2941</v>
      </c>
      <c r="H56" s="263" t="s">
        <v>26</v>
      </c>
      <c r="I56" s="262" t="s">
        <v>251</v>
      </c>
      <c r="J56" s="263" t="s">
        <v>252</v>
      </c>
      <c r="K56" s="264">
        <v>16000000</v>
      </c>
      <c r="L56" s="265" t="s">
        <v>2057</v>
      </c>
      <c r="M56" s="266" t="s">
        <v>14</v>
      </c>
    </row>
    <row r="57" spans="1:13" customFormat="1" ht="29">
      <c r="A57" s="258" t="s">
        <v>219</v>
      </c>
      <c r="B57" s="259" t="s">
        <v>2942</v>
      </c>
      <c r="C57" s="259" t="s">
        <v>220</v>
      </c>
      <c r="D57" s="260" t="s">
        <v>3012</v>
      </c>
      <c r="E57" s="261" t="s">
        <v>306</v>
      </c>
      <c r="F57" s="261" t="s">
        <v>16</v>
      </c>
      <c r="G57" s="262" t="s">
        <v>2941</v>
      </c>
      <c r="H57" s="263" t="s">
        <v>26</v>
      </c>
      <c r="I57" s="262" t="s">
        <v>251</v>
      </c>
      <c r="J57" s="263" t="s">
        <v>252</v>
      </c>
      <c r="K57" s="264">
        <v>28000000</v>
      </c>
      <c r="L57" s="265" t="s">
        <v>2057</v>
      </c>
      <c r="M57" s="266" t="s">
        <v>14</v>
      </c>
    </row>
    <row r="58" spans="1:13" customFormat="1" ht="29">
      <c r="A58" s="258" t="s">
        <v>219</v>
      </c>
      <c r="B58" s="259" t="s">
        <v>2943</v>
      </c>
      <c r="C58" s="259" t="s">
        <v>220</v>
      </c>
      <c r="D58" s="260" t="s">
        <v>2944</v>
      </c>
      <c r="E58" s="261" t="s">
        <v>306</v>
      </c>
      <c r="F58" s="261" t="s">
        <v>16</v>
      </c>
      <c r="G58" s="262" t="s">
        <v>2941</v>
      </c>
      <c r="H58" s="263" t="s">
        <v>26</v>
      </c>
      <c r="I58" s="262" t="s">
        <v>251</v>
      </c>
      <c r="J58" s="263" t="s">
        <v>252</v>
      </c>
      <c r="K58" s="264">
        <v>40000000</v>
      </c>
      <c r="L58" s="265" t="s">
        <v>2057</v>
      </c>
      <c r="M58" s="266" t="s">
        <v>14</v>
      </c>
    </row>
    <row r="59" spans="1:13" customFormat="1" ht="29">
      <c r="A59" s="258" t="s">
        <v>219</v>
      </c>
      <c r="B59" s="259" t="s">
        <v>2945</v>
      </c>
      <c r="C59" s="259" t="s">
        <v>220</v>
      </c>
      <c r="D59" s="260" t="s">
        <v>10182</v>
      </c>
      <c r="E59" s="261" t="s">
        <v>306</v>
      </c>
      <c r="F59" s="261" t="s">
        <v>16</v>
      </c>
      <c r="G59" s="262" t="s">
        <v>2941</v>
      </c>
      <c r="H59" s="263" t="s">
        <v>26</v>
      </c>
      <c r="I59" s="262" t="s">
        <v>251</v>
      </c>
      <c r="J59" s="263" t="s">
        <v>252</v>
      </c>
      <c r="K59" s="264">
        <v>16000000</v>
      </c>
      <c r="L59" s="265" t="s">
        <v>2057</v>
      </c>
      <c r="M59" s="266" t="s">
        <v>14</v>
      </c>
    </row>
    <row r="60" spans="1:13" customFormat="1" ht="29">
      <c r="A60" s="258" t="s">
        <v>219</v>
      </c>
      <c r="B60" s="259" t="s">
        <v>2946</v>
      </c>
      <c r="C60" s="259" t="s">
        <v>220</v>
      </c>
      <c r="D60" s="260" t="s">
        <v>10183</v>
      </c>
      <c r="E60" s="261" t="s">
        <v>306</v>
      </c>
      <c r="F60" s="261" t="s">
        <v>16</v>
      </c>
      <c r="G60" s="262" t="s">
        <v>2941</v>
      </c>
      <c r="H60" s="263" t="s">
        <v>26</v>
      </c>
      <c r="I60" s="262" t="s">
        <v>251</v>
      </c>
      <c r="J60" s="263" t="s">
        <v>252</v>
      </c>
      <c r="K60" s="264">
        <v>28000000</v>
      </c>
      <c r="L60" s="265" t="s">
        <v>2057</v>
      </c>
      <c r="M60" s="266" t="s">
        <v>14</v>
      </c>
    </row>
    <row r="61" spans="1:13" customFormat="1" ht="29">
      <c r="A61" s="258" t="s">
        <v>219</v>
      </c>
      <c r="B61" s="259" t="s">
        <v>2947</v>
      </c>
      <c r="C61" s="259" t="s">
        <v>220</v>
      </c>
      <c r="D61" s="260" t="s">
        <v>10184</v>
      </c>
      <c r="E61" s="261" t="s">
        <v>306</v>
      </c>
      <c r="F61" s="261" t="s">
        <v>16</v>
      </c>
      <c r="G61" s="262" t="s">
        <v>2941</v>
      </c>
      <c r="H61" s="263" t="s">
        <v>26</v>
      </c>
      <c r="I61" s="262" t="s">
        <v>251</v>
      </c>
      <c r="J61" s="263" t="s">
        <v>252</v>
      </c>
      <c r="K61" s="264">
        <v>40000000</v>
      </c>
      <c r="L61" s="265" t="s">
        <v>2057</v>
      </c>
      <c r="M61" s="266" t="s">
        <v>14</v>
      </c>
    </row>
    <row r="62" spans="1:13" customFormat="1" ht="29">
      <c r="A62" s="258" t="s">
        <v>219</v>
      </c>
      <c r="B62" s="259" t="s">
        <v>2948</v>
      </c>
      <c r="C62" s="259" t="s">
        <v>220</v>
      </c>
      <c r="D62" s="260" t="s">
        <v>2949</v>
      </c>
      <c r="E62" s="261" t="s">
        <v>306</v>
      </c>
      <c r="F62" s="261" t="s">
        <v>16</v>
      </c>
      <c r="G62" s="262" t="s">
        <v>2941</v>
      </c>
      <c r="H62" s="263" t="s">
        <v>26</v>
      </c>
      <c r="I62" s="262" t="s">
        <v>251</v>
      </c>
      <c r="J62" s="263" t="s">
        <v>252</v>
      </c>
      <c r="K62" s="264">
        <v>40000000</v>
      </c>
      <c r="L62" s="265" t="s">
        <v>2057</v>
      </c>
      <c r="M62" s="266" t="s">
        <v>14</v>
      </c>
    </row>
    <row r="63" spans="1:13" customFormat="1" ht="29">
      <c r="A63" s="258" t="s">
        <v>219</v>
      </c>
      <c r="B63" s="259" t="s">
        <v>2950</v>
      </c>
      <c r="C63" s="259" t="s">
        <v>220</v>
      </c>
      <c r="D63" s="260" t="s">
        <v>2951</v>
      </c>
      <c r="E63" s="261" t="s">
        <v>306</v>
      </c>
      <c r="F63" s="261" t="s">
        <v>16</v>
      </c>
      <c r="G63" s="262" t="s">
        <v>2941</v>
      </c>
      <c r="H63" s="263" t="s">
        <v>26</v>
      </c>
      <c r="I63" s="262" t="s">
        <v>251</v>
      </c>
      <c r="J63" s="263" t="s">
        <v>252</v>
      </c>
      <c r="K63" s="264">
        <v>40000000</v>
      </c>
      <c r="L63" s="265" t="s">
        <v>2057</v>
      </c>
      <c r="M63" s="266" t="s">
        <v>14</v>
      </c>
    </row>
    <row r="64" spans="1:13" customFormat="1" ht="29">
      <c r="A64" s="258" t="s">
        <v>219</v>
      </c>
      <c r="B64" s="259" t="s">
        <v>2952</v>
      </c>
      <c r="C64" s="259" t="s">
        <v>220</v>
      </c>
      <c r="D64" s="260" t="s">
        <v>2953</v>
      </c>
      <c r="E64" s="261" t="s">
        <v>306</v>
      </c>
      <c r="F64" s="261" t="s">
        <v>16</v>
      </c>
      <c r="G64" s="262" t="s">
        <v>2954</v>
      </c>
      <c r="H64" s="263" t="s">
        <v>26</v>
      </c>
      <c r="I64" s="262" t="s">
        <v>251</v>
      </c>
      <c r="J64" s="263" t="s">
        <v>252</v>
      </c>
      <c r="K64" s="264">
        <v>40000000</v>
      </c>
      <c r="L64" s="265" t="s">
        <v>2057</v>
      </c>
      <c r="M64" s="266" t="s">
        <v>14</v>
      </c>
    </row>
    <row r="65" spans="1:13" customFormat="1" ht="29">
      <c r="A65" s="258" t="s">
        <v>219</v>
      </c>
      <c r="B65" s="259" t="s">
        <v>2955</v>
      </c>
      <c r="C65" s="259" t="s">
        <v>220</v>
      </c>
      <c r="D65" s="260" t="s">
        <v>2956</v>
      </c>
      <c r="E65" s="261" t="s">
        <v>306</v>
      </c>
      <c r="F65" s="261" t="s">
        <v>16</v>
      </c>
      <c r="G65" s="262" t="s">
        <v>2957</v>
      </c>
      <c r="H65" s="263" t="s">
        <v>26</v>
      </c>
      <c r="I65" s="262" t="s">
        <v>251</v>
      </c>
      <c r="J65" s="263" t="s">
        <v>252</v>
      </c>
      <c r="K65" s="264">
        <v>40000000</v>
      </c>
      <c r="L65" s="265" t="s">
        <v>2057</v>
      </c>
      <c r="M65" s="266" t="s">
        <v>14</v>
      </c>
    </row>
    <row r="66" spans="1:13" customFormat="1" ht="29">
      <c r="A66" s="258" t="s">
        <v>219</v>
      </c>
      <c r="B66" s="259" t="s">
        <v>10185</v>
      </c>
      <c r="C66" s="259" t="s">
        <v>220</v>
      </c>
      <c r="D66" s="260" t="s">
        <v>10186</v>
      </c>
      <c r="E66" s="261" t="s">
        <v>306</v>
      </c>
      <c r="F66" s="261" t="s">
        <v>16</v>
      </c>
      <c r="G66" s="262" t="s">
        <v>206</v>
      </c>
      <c r="H66" s="263" t="s">
        <v>26</v>
      </c>
      <c r="I66" s="262" t="s">
        <v>251</v>
      </c>
      <c r="J66" s="263" t="s">
        <v>252</v>
      </c>
      <c r="K66" s="264">
        <v>124254000</v>
      </c>
      <c r="L66" s="265" t="s">
        <v>2057</v>
      </c>
      <c r="M66" s="266" t="s">
        <v>14</v>
      </c>
    </row>
    <row r="67" spans="1:13" customFormat="1" ht="29">
      <c r="A67" s="258" t="s">
        <v>219</v>
      </c>
      <c r="B67" s="259" t="s">
        <v>10187</v>
      </c>
      <c r="C67" s="259" t="s">
        <v>220</v>
      </c>
      <c r="D67" s="260" t="s">
        <v>10188</v>
      </c>
      <c r="E67" s="261" t="s">
        <v>306</v>
      </c>
      <c r="F67" s="261" t="s">
        <v>16</v>
      </c>
      <c r="G67" s="262" t="s">
        <v>206</v>
      </c>
      <c r="H67" s="263" t="s">
        <v>26</v>
      </c>
      <c r="I67" s="262" t="s">
        <v>251</v>
      </c>
      <c r="J67" s="263" t="s">
        <v>252</v>
      </c>
      <c r="K67" s="264">
        <v>282404000</v>
      </c>
      <c r="L67" s="265" t="s">
        <v>2057</v>
      </c>
      <c r="M67" s="266" t="s">
        <v>14</v>
      </c>
    </row>
    <row r="68" spans="1:13" customFormat="1" ht="29">
      <c r="A68" s="258" t="s">
        <v>219</v>
      </c>
      <c r="B68" s="259" t="s">
        <v>10189</v>
      </c>
      <c r="C68" s="259" t="s">
        <v>220</v>
      </c>
      <c r="D68" s="260" t="s">
        <v>10190</v>
      </c>
      <c r="E68" s="261" t="s">
        <v>306</v>
      </c>
      <c r="F68" s="261" t="s">
        <v>16</v>
      </c>
      <c r="G68" s="262" t="s">
        <v>206</v>
      </c>
      <c r="H68" s="263" t="s">
        <v>26</v>
      </c>
      <c r="I68" s="262" t="s">
        <v>251</v>
      </c>
      <c r="J68" s="263" t="s">
        <v>252</v>
      </c>
      <c r="K68" s="264">
        <v>496854000</v>
      </c>
      <c r="L68" s="265" t="s">
        <v>2057</v>
      </c>
      <c r="M68" s="266" t="s">
        <v>14</v>
      </c>
    </row>
    <row r="69" spans="1:13" customFormat="1" ht="29">
      <c r="A69" s="258" t="s">
        <v>219</v>
      </c>
      <c r="B69" s="259" t="s">
        <v>10191</v>
      </c>
      <c r="C69" s="259" t="s">
        <v>220</v>
      </c>
      <c r="D69" s="260" t="s">
        <v>10192</v>
      </c>
      <c r="E69" s="261" t="s">
        <v>306</v>
      </c>
      <c r="F69" s="261" t="s">
        <v>16</v>
      </c>
      <c r="G69" s="262" t="s">
        <v>2941</v>
      </c>
      <c r="H69" s="263" t="s">
        <v>26</v>
      </c>
      <c r="I69" s="262" t="s">
        <v>251</v>
      </c>
      <c r="J69" s="263" t="s">
        <v>252</v>
      </c>
      <c r="K69" s="264">
        <v>787604000</v>
      </c>
      <c r="L69" s="265" t="s">
        <v>2057</v>
      </c>
      <c r="M69" s="266" t="s">
        <v>14</v>
      </c>
    </row>
    <row r="70" spans="1:13" customFormat="1">
      <c r="A70" s="258" t="s">
        <v>219</v>
      </c>
      <c r="B70" s="259" t="s">
        <v>312</v>
      </c>
      <c r="C70" s="259" t="s">
        <v>220</v>
      </c>
      <c r="D70" s="260" t="s">
        <v>313</v>
      </c>
      <c r="E70" s="261" t="s">
        <v>250</v>
      </c>
      <c r="F70" s="261" t="s">
        <v>16</v>
      </c>
      <c r="G70" s="262" t="s">
        <v>206</v>
      </c>
      <c r="H70" s="263" t="s">
        <v>26</v>
      </c>
      <c r="I70" s="262" t="s">
        <v>251</v>
      </c>
      <c r="J70" s="263" t="s">
        <v>252</v>
      </c>
      <c r="K70" s="264">
        <v>16600000</v>
      </c>
      <c r="L70" s="265" t="s">
        <v>173</v>
      </c>
      <c r="M70" s="266" t="s">
        <v>14</v>
      </c>
    </row>
    <row r="71" spans="1:13" customFormat="1" ht="29">
      <c r="A71" s="258" t="s">
        <v>219</v>
      </c>
      <c r="B71" s="259" t="s">
        <v>314</v>
      </c>
      <c r="C71" s="259" t="s">
        <v>220</v>
      </c>
      <c r="D71" s="260" t="s">
        <v>315</v>
      </c>
      <c r="E71" s="261" t="s">
        <v>255</v>
      </c>
      <c r="F71" s="261" t="s">
        <v>16</v>
      </c>
      <c r="G71" s="262" t="s">
        <v>206</v>
      </c>
      <c r="H71" s="263" t="s">
        <v>26</v>
      </c>
      <c r="I71" s="262" t="s">
        <v>251</v>
      </c>
      <c r="J71" s="263" t="s">
        <v>252</v>
      </c>
      <c r="K71" s="264">
        <v>660000</v>
      </c>
      <c r="L71" s="265" t="s">
        <v>173</v>
      </c>
      <c r="M71" s="266" t="s">
        <v>14</v>
      </c>
    </row>
    <row r="72" spans="1:13" customFormat="1">
      <c r="A72" s="258" t="s">
        <v>219</v>
      </c>
      <c r="B72" s="259" t="s">
        <v>316</v>
      </c>
      <c r="C72" s="259" t="s">
        <v>220</v>
      </c>
      <c r="D72" s="260" t="s">
        <v>317</v>
      </c>
      <c r="E72" s="261" t="s">
        <v>250</v>
      </c>
      <c r="F72" s="261" t="s">
        <v>16</v>
      </c>
      <c r="G72" s="262" t="s">
        <v>206</v>
      </c>
      <c r="H72" s="263" t="s">
        <v>26</v>
      </c>
      <c r="I72" s="262" t="s">
        <v>251</v>
      </c>
      <c r="J72" s="263" t="s">
        <v>252</v>
      </c>
      <c r="K72" s="264">
        <v>12300000</v>
      </c>
      <c r="L72" s="265" t="s">
        <v>173</v>
      </c>
      <c r="M72" s="266" t="s">
        <v>14</v>
      </c>
    </row>
    <row r="73" spans="1:13" customFormat="1">
      <c r="A73" s="258" t="s">
        <v>219</v>
      </c>
      <c r="B73" s="259" t="s">
        <v>318</v>
      </c>
      <c r="C73" s="259" t="s">
        <v>220</v>
      </c>
      <c r="D73" s="260" t="s">
        <v>319</v>
      </c>
      <c r="E73" s="261" t="s">
        <v>255</v>
      </c>
      <c r="F73" s="261" t="s">
        <v>16</v>
      </c>
      <c r="G73" s="262" t="s">
        <v>206</v>
      </c>
      <c r="H73" s="263" t="s">
        <v>26</v>
      </c>
      <c r="I73" s="262" t="s">
        <v>251</v>
      </c>
      <c r="J73" s="263" t="s">
        <v>252</v>
      </c>
      <c r="K73" s="264">
        <v>480000</v>
      </c>
      <c r="L73" s="265" t="s">
        <v>173</v>
      </c>
      <c r="M73" s="266" t="s">
        <v>14</v>
      </c>
    </row>
    <row r="74" spans="1:13" customFormat="1">
      <c r="A74" s="258" t="s">
        <v>219</v>
      </c>
      <c r="B74" s="259" t="s">
        <v>320</v>
      </c>
      <c r="C74" s="259" t="s">
        <v>220</v>
      </c>
      <c r="D74" s="260" t="s">
        <v>321</v>
      </c>
      <c r="E74" s="261" t="s">
        <v>250</v>
      </c>
      <c r="F74" s="261" t="s">
        <v>16</v>
      </c>
      <c r="G74" s="262" t="s">
        <v>206</v>
      </c>
      <c r="H74" s="263" t="s">
        <v>26</v>
      </c>
      <c r="I74" s="262" t="s">
        <v>251</v>
      </c>
      <c r="J74" s="263" t="s">
        <v>252</v>
      </c>
      <c r="K74" s="264">
        <v>18500000</v>
      </c>
      <c r="L74" s="265" t="s">
        <v>173</v>
      </c>
      <c r="M74" s="266" t="s">
        <v>14</v>
      </c>
    </row>
    <row r="75" spans="1:13" customFormat="1">
      <c r="A75" s="258" t="s">
        <v>219</v>
      </c>
      <c r="B75" s="259" t="s">
        <v>322</v>
      </c>
      <c r="C75" s="259" t="s">
        <v>220</v>
      </c>
      <c r="D75" s="260" t="s">
        <v>323</v>
      </c>
      <c r="E75" s="261" t="s">
        <v>255</v>
      </c>
      <c r="F75" s="261" t="s">
        <v>16</v>
      </c>
      <c r="G75" s="262" t="s">
        <v>206</v>
      </c>
      <c r="H75" s="263" t="s">
        <v>26</v>
      </c>
      <c r="I75" s="262" t="s">
        <v>251</v>
      </c>
      <c r="J75" s="263" t="s">
        <v>252</v>
      </c>
      <c r="K75" s="264">
        <v>850000</v>
      </c>
      <c r="L75" s="265" t="s">
        <v>173</v>
      </c>
      <c r="M75" s="266" t="s">
        <v>14</v>
      </c>
    </row>
    <row r="76" spans="1:13" customFormat="1">
      <c r="A76" s="258" t="s">
        <v>219</v>
      </c>
      <c r="B76" s="259" t="s">
        <v>324</v>
      </c>
      <c r="C76" s="259" t="s">
        <v>220</v>
      </c>
      <c r="D76" s="260" t="s">
        <v>325</v>
      </c>
      <c r="E76" s="261" t="s">
        <v>250</v>
      </c>
      <c r="F76" s="261" t="s">
        <v>16</v>
      </c>
      <c r="G76" s="262" t="s">
        <v>206</v>
      </c>
      <c r="H76" s="263" t="s">
        <v>26</v>
      </c>
      <c r="I76" s="262" t="s">
        <v>251</v>
      </c>
      <c r="J76" s="263" t="s">
        <v>252</v>
      </c>
      <c r="K76" s="264">
        <v>13300000</v>
      </c>
      <c r="L76" s="265" t="s">
        <v>173</v>
      </c>
      <c r="M76" s="266" t="s">
        <v>14</v>
      </c>
    </row>
    <row r="77" spans="1:13" customFormat="1" ht="29">
      <c r="A77" s="258" t="s">
        <v>219</v>
      </c>
      <c r="B77" s="259" t="s">
        <v>326</v>
      </c>
      <c r="C77" s="259" t="s">
        <v>220</v>
      </c>
      <c r="D77" s="260" t="s">
        <v>327</v>
      </c>
      <c r="E77" s="261" t="s">
        <v>255</v>
      </c>
      <c r="F77" s="261" t="s">
        <v>16</v>
      </c>
      <c r="G77" s="262" t="s">
        <v>206</v>
      </c>
      <c r="H77" s="263" t="s">
        <v>26</v>
      </c>
      <c r="I77" s="262" t="s">
        <v>251</v>
      </c>
      <c r="J77" s="263" t="s">
        <v>252</v>
      </c>
      <c r="K77" s="264">
        <v>430000</v>
      </c>
      <c r="L77" s="265" t="s">
        <v>173</v>
      </c>
      <c r="M77" s="266" t="s">
        <v>14</v>
      </c>
    </row>
    <row r="78" spans="1:13" customFormat="1">
      <c r="A78" s="258" t="s">
        <v>219</v>
      </c>
      <c r="B78" s="259" t="s">
        <v>328</v>
      </c>
      <c r="C78" s="259" t="s">
        <v>220</v>
      </c>
      <c r="D78" s="260" t="s">
        <v>329</v>
      </c>
      <c r="E78" s="261" t="s">
        <v>250</v>
      </c>
      <c r="F78" s="261" t="s">
        <v>16</v>
      </c>
      <c r="G78" s="262" t="s">
        <v>206</v>
      </c>
      <c r="H78" s="263" t="s">
        <v>26</v>
      </c>
      <c r="I78" s="262" t="s">
        <v>251</v>
      </c>
      <c r="J78" s="263" t="s">
        <v>252</v>
      </c>
      <c r="K78" s="264">
        <v>13500000</v>
      </c>
      <c r="L78" s="265" t="s">
        <v>173</v>
      </c>
      <c r="M78" s="266" t="s">
        <v>14</v>
      </c>
    </row>
    <row r="79" spans="1:13" customFormat="1">
      <c r="A79" s="258" t="s">
        <v>219</v>
      </c>
      <c r="B79" s="259" t="s">
        <v>330</v>
      </c>
      <c r="C79" s="259" t="s">
        <v>220</v>
      </c>
      <c r="D79" s="260" t="s">
        <v>331</v>
      </c>
      <c r="E79" s="261" t="s">
        <v>255</v>
      </c>
      <c r="F79" s="261" t="s">
        <v>16</v>
      </c>
      <c r="G79" s="262" t="s">
        <v>206</v>
      </c>
      <c r="H79" s="263" t="s">
        <v>26</v>
      </c>
      <c r="I79" s="262" t="s">
        <v>251</v>
      </c>
      <c r="J79" s="263" t="s">
        <v>252</v>
      </c>
      <c r="K79" s="264">
        <v>550000</v>
      </c>
      <c r="L79" s="265" t="s">
        <v>173</v>
      </c>
      <c r="M79" s="266" t="s">
        <v>14</v>
      </c>
    </row>
    <row r="80" spans="1:13" customFormat="1">
      <c r="A80" s="258" t="s">
        <v>219</v>
      </c>
      <c r="B80" s="259" t="s">
        <v>332</v>
      </c>
      <c r="C80" s="259" t="s">
        <v>220</v>
      </c>
      <c r="D80" s="260" t="s">
        <v>333</v>
      </c>
      <c r="E80" s="261" t="s">
        <v>274</v>
      </c>
      <c r="F80" s="261" t="s">
        <v>16</v>
      </c>
      <c r="G80" s="262" t="s">
        <v>206</v>
      </c>
      <c r="H80" s="263" t="s">
        <v>26</v>
      </c>
      <c r="I80" s="262" t="s">
        <v>251</v>
      </c>
      <c r="J80" s="263" t="s">
        <v>252</v>
      </c>
      <c r="K80" s="264">
        <v>10400000</v>
      </c>
      <c r="L80" s="265" t="s">
        <v>173</v>
      </c>
      <c r="M80" s="266" t="s">
        <v>14</v>
      </c>
    </row>
    <row r="81" spans="1:13" customFormat="1">
      <c r="A81" s="258" t="s">
        <v>219</v>
      </c>
      <c r="B81" s="259" t="s">
        <v>334</v>
      </c>
      <c r="C81" s="259" t="s">
        <v>220</v>
      </c>
      <c r="D81" s="260" t="s">
        <v>335</v>
      </c>
      <c r="E81" s="261" t="s">
        <v>255</v>
      </c>
      <c r="F81" s="261" t="s">
        <v>16</v>
      </c>
      <c r="G81" s="262" t="s">
        <v>206</v>
      </c>
      <c r="H81" s="263" t="s">
        <v>26</v>
      </c>
      <c r="I81" s="262" t="s">
        <v>251</v>
      </c>
      <c r="J81" s="263" t="s">
        <v>252</v>
      </c>
      <c r="K81" s="264">
        <v>520000</v>
      </c>
      <c r="L81" s="265" t="s">
        <v>173</v>
      </c>
      <c r="M81" s="266" t="s">
        <v>14</v>
      </c>
    </row>
    <row r="82" spans="1:13" customFormat="1">
      <c r="A82" s="258" t="s">
        <v>219</v>
      </c>
      <c r="B82" s="259" t="s">
        <v>336</v>
      </c>
      <c r="C82" s="259" t="s">
        <v>220</v>
      </c>
      <c r="D82" s="260" t="s">
        <v>337</v>
      </c>
      <c r="E82" s="261" t="s">
        <v>250</v>
      </c>
      <c r="F82" s="261" t="s">
        <v>16</v>
      </c>
      <c r="G82" s="262" t="s">
        <v>206</v>
      </c>
      <c r="H82" s="263" t="s">
        <v>26</v>
      </c>
      <c r="I82" s="262" t="s">
        <v>251</v>
      </c>
      <c r="J82" s="263" t="s">
        <v>252</v>
      </c>
      <c r="K82" s="264">
        <v>19500000</v>
      </c>
      <c r="L82" s="265" t="s">
        <v>173</v>
      </c>
      <c r="M82" s="266" t="s">
        <v>14</v>
      </c>
    </row>
    <row r="83" spans="1:13" customFormat="1">
      <c r="A83" s="258" t="s">
        <v>219</v>
      </c>
      <c r="B83" s="259" t="s">
        <v>338</v>
      </c>
      <c r="C83" s="259" t="s">
        <v>220</v>
      </c>
      <c r="D83" s="260" t="s">
        <v>339</v>
      </c>
      <c r="E83" s="261" t="s">
        <v>255</v>
      </c>
      <c r="F83" s="261" t="s">
        <v>16</v>
      </c>
      <c r="G83" s="262" t="s">
        <v>206</v>
      </c>
      <c r="H83" s="263" t="s">
        <v>26</v>
      </c>
      <c r="I83" s="262" t="s">
        <v>251</v>
      </c>
      <c r="J83" s="263" t="s">
        <v>252</v>
      </c>
      <c r="K83" s="264">
        <v>950000</v>
      </c>
      <c r="L83" s="265" t="s">
        <v>173</v>
      </c>
      <c r="M83" s="266" t="s">
        <v>14</v>
      </c>
    </row>
    <row r="84" spans="1:13" customFormat="1" ht="29">
      <c r="A84" s="258" t="s">
        <v>219</v>
      </c>
      <c r="B84" s="259" t="s">
        <v>340</v>
      </c>
      <c r="C84" s="259" t="s">
        <v>220</v>
      </c>
      <c r="D84" s="260" t="s">
        <v>341</v>
      </c>
      <c r="E84" s="261" t="s">
        <v>255</v>
      </c>
      <c r="F84" s="261" t="s">
        <v>16</v>
      </c>
      <c r="G84" s="262" t="s">
        <v>206</v>
      </c>
      <c r="H84" s="263" t="s">
        <v>26</v>
      </c>
      <c r="I84" s="262" t="s">
        <v>251</v>
      </c>
      <c r="J84" s="263" t="s">
        <v>252</v>
      </c>
      <c r="K84" s="264">
        <v>160000</v>
      </c>
      <c r="L84" s="265" t="s">
        <v>173</v>
      </c>
      <c r="M84" s="266" t="s">
        <v>14</v>
      </c>
    </row>
    <row r="85" spans="1:13" customFormat="1">
      <c r="A85" s="258" t="s">
        <v>219</v>
      </c>
      <c r="B85" s="259" t="s">
        <v>342</v>
      </c>
      <c r="C85" s="259" t="s">
        <v>220</v>
      </c>
      <c r="D85" s="260" t="s">
        <v>343</v>
      </c>
      <c r="E85" s="261" t="s">
        <v>255</v>
      </c>
      <c r="F85" s="261" t="s">
        <v>16</v>
      </c>
      <c r="G85" s="262" t="s">
        <v>206</v>
      </c>
      <c r="H85" s="263" t="s">
        <v>26</v>
      </c>
      <c r="I85" s="262" t="s">
        <v>251</v>
      </c>
      <c r="J85" s="263" t="s">
        <v>252</v>
      </c>
      <c r="K85" s="264">
        <v>160000</v>
      </c>
      <c r="L85" s="265" t="s">
        <v>173</v>
      </c>
      <c r="M85" s="266" t="s">
        <v>14</v>
      </c>
    </row>
    <row r="86" spans="1:13" customFormat="1">
      <c r="A86" s="258" t="s">
        <v>219</v>
      </c>
      <c r="B86" s="259" t="s">
        <v>344</v>
      </c>
      <c r="C86" s="259" t="s">
        <v>220</v>
      </c>
      <c r="D86" s="260" t="s">
        <v>345</v>
      </c>
      <c r="E86" s="261" t="s">
        <v>255</v>
      </c>
      <c r="F86" s="261" t="s">
        <v>16</v>
      </c>
      <c r="G86" s="262" t="s">
        <v>206</v>
      </c>
      <c r="H86" s="263" t="s">
        <v>26</v>
      </c>
      <c r="I86" s="262" t="s">
        <v>251</v>
      </c>
      <c r="J86" s="263" t="s">
        <v>252</v>
      </c>
      <c r="K86" s="264">
        <v>100000</v>
      </c>
      <c r="L86" s="265" t="s">
        <v>173</v>
      </c>
      <c r="M86" s="266" t="s">
        <v>14</v>
      </c>
    </row>
    <row r="87" spans="1:13" customFormat="1">
      <c r="A87" s="258" t="s">
        <v>219</v>
      </c>
      <c r="B87" s="259" t="s">
        <v>346</v>
      </c>
      <c r="C87" s="259" t="s">
        <v>220</v>
      </c>
      <c r="D87" s="260" t="s">
        <v>347</v>
      </c>
      <c r="E87" s="261" t="s">
        <v>255</v>
      </c>
      <c r="F87" s="261" t="s">
        <v>16</v>
      </c>
      <c r="G87" s="262" t="s">
        <v>206</v>
      </c>
      <c r="H87" s="263" t="s">
        <v>26</v>
      </c>
      <c r="I87" s="262" t="s">
        <v>251</v>
      </c>
      <c r="J87" s="263" t="s">
        <v>252</v>
      </c>
      <c r="K87" s="264">
        <v>120000</v>
      </c>
      <c r="L87" s="265" t="s">
        <v>173</v>
      </c>
      <c r="M87" s="266" t="s">
        <v>14</v>
      </c>
    </row>
    <row r="88" spans="1:13" customFormat="1">
      <c r="A88" s="258" t="s">
        <v>219</v>
      </c>
      <c r="B88" s="259" t="s">
        <v>348</v>
      </c>
      <c r="C88" s="259" t="s">
        <v>220</v>
      </c>
      <c r="D88" s="260" t="s">
        <v>349</v>
      </c>
      <c r="E88" s="261" t="s">
        <v>255</v>
      </c>
      <c r="F88" s="261" t="s">
        <v>16</v>
      </c>
      <c r="G88" s="262" t="s">
        <v>206</v>
      </c>
      <c r="H88" s="263" t="s">
        <v>26</v>
      </c>
      <c r="I88" s="262" t="s">
        <v>251</v>
      </c>
      <c r="J88" s="263" t="s">
        <v>252</v>
      </c>
      <c r="K88" s="264">
        <v>120000</v>
      </c>
      <c r="L88" s="265" t="s">
        <v>173</v>
      </c>
      <c r="M88" s="266" t="s">
        <v>14</v>
      </c>
    </row>
    <row r="89" spans="1:13" customFormat="1">
      <c r="A89" s="258" t="s">
        <v>219</v>
      </c>
      <c r="B89" s="259" t="s">
        <v>350</v>
      </c>
      <c r="C89" s="259" t="s">
        <v>220</v>
      </c>
      <c r="D89" s="260" t="s">
        <v>351</v>
      </c>
      <c r="E89" s="261" t="s">
        <v>255</v>
      </c>
      <c r="F89" s="261" t="s">
        <v>16</v>
      </c>
      <c r="G89" s="262" t="s">
        <v>206</v>
      </c>
      <c r="H89" s="263" t="s">
        <v>26</v>
      </c>
      <c r="I89" s="262" t="s">
        <v>251</v>
      </c>
      <c r="J89" s="263" t="s">
        <v>252</v>
      </c>
      <c r="K89" s="264">
        <v>40000</v>
      </c>
      <c r="L89" s="265" t="s">
        <v>173</v>
      </c>
      <c r="M89" s="266" t="s">
        <v>14</v>
      </c>
    </row>
    <row r="90" spans="1:13" customFormat="1" ht="29">
      <c r="A90" s="258" t="s">
        <v>219</v>
      </c>
      <c r="B90" s="259" t="s">
        <v>352</v>
      </c>
      <c r="C90" s="259" t="s">
        <v>220</v>
      </c>
      <c r="D90" s="260" t="s">
        <v>353</v>
      </c>
      <c r="E90" s="261" t="s">
        <v>255</v>
      </c>
      <c r="F90" s="261" t="s">
        <v>16</v>
      </c>
      <c r="G90" s="262" t="s">
        <v>206</v>
      </c>
      <c r="H90" s="263" t="s">
        <v>26</v>
      </c>
      <c r="I90" s="262" t="s">
        <v>251</v>
      </c>
      <c r="J90" s="263" t="s">
        <v>252</v>
      </c>
      <c r="K90" s="264">
        <v>40000</v>
      </c>
      <c r="L90" s="265" t="s">
        <v>173</v>
      </c>
      <c r="M90" s="266" t="s">
        <v>14</v>
      </c>
    </row>
    <row r="91" spans="1:13" customFormat="1" ht="29">
      <c r="A91" s="258" t="s">
        <v>219</v>
      </c>
      <c r="B91" s="259" t="s">
        <v>354</v>
      </c>
      <c r="C91" s="259" t="s">
        <v>220</v>
      </c>
      <c r="D91" s="260" t="s">
        <v>355</v>
      </c>
      <c r="E91" s="261" t="s">
        <v>255</v>
      </c>
      <c r="F91" s="261" t="s">
        <v>16</v>
      </c>
      <c r="G91" s="262" t="s">
        <v>206</v>
      </c>
      <c r="H91" s="263" t="s">
        <v>26</v>
      </c>
      <c r="I91" s="262" t="s">
        <v>251</v>
      </c>
      <c r="J91" s="263" t="s">
        <v>252</v>
      </c>
      <c r="K91" s="264">
        <v>40000</v>
      </c>
      <c r="L91" s="265" t="s">
        <v>173</v>
      </c>
      <c r="M91" s="266" t="s">
        <v>14</v>
      </c>
    </row>
    <row r="92" spans="1:13" customFormat="1" ht="29">
      <c r="A92" s="258" t="s">
        <v>219</v>
      </c>
      <c r="B92" s="259" t="s">
        <v>356</v>
      </c>
      <c r="C92" s="259" t="s">
        <v>220</v>
      </c>
      <c r="D92" s="260" t="s">
        <v>357</v>
      </c>
      <c r="E92" s="261" t="s">
        <v>255</v>
      </c>
      <c r="F92" s="261" t="s">
        <v>16</v>
      </c>
      <c r="G92" s="262" t="s">
        <v>206</v>
      </c>
      <c r="H92" s="263" t="s">
        <v>26</v>
      </c>
      <c r="I92" s="262" t="s">
        <v>251</v>
      </c>
      <c r="J92" s="263" t="s">
        <v>252</v>
      </c>
      <c r="K92" s="264">
        <v>92000</v>
      </c>
      <c r="L92" s="265" t="s">
        <v>173</v>
      </c>
      <c r="M92" s="266" t="s">
        <v>14</v>
      </c>
    </row>
    <row r="93" spans="1:13" customFormat="1">
      <c r="A93" s="258" t="s">
        <v>219</v>
      </c>
      <c r="B93" s="259" t="s">
        <v>358</v>
      </c>
      <c r="C93" s="259" t="s">
        <v>220</v>
      </c>
      <c r="D93" s="260" t="s">
        <v>359</v>
      </c>
      <c r="E93" s="261" t="s">
        <v>255</v>
      </c>
      <c r="F93" s="261" t="s">
        <v>16</v>
      </c>
      <c r="G93" s="262" t="s">
        <v>206</v>
      </c>
      <c r="H93" s="263" t="s">
        <v>26</v>
      </c>
      <c r="I93" s="262" t="s">
        <v>251</v>
      </c>
      <c r="J93" s="263" t="s">
        <v>252</v>
      </c>
      <c r="K93" s="264">
        <v>160000</v>
      </c>
      <c r="L93" s="265" t="s">
        <v>173</v>
      </c>
      <c r="M93" s="266" t="s">
        <v>14</v>
      </c>
    </row>
    <row r="94" spans="1:13" customFormat="1" ht="29">
      <c r="A94" s="258" t="s">
        <v>219</v>
      </c>
      <c r="B94" s="259" t="s">
        <v>360</v>
      </c>
      <c r="C94" s="259" t="s">
        <v>220</v>
      </c>
      <c r="D94" s="260" t="s">
        <v>361</v>
      </c>
      <c r="E94" s="261" t="s">
        <v>255</v>
      </c>
      <c r="F94" s="261" t="s">
        <v>16</v>
      </c>
      <c r="G94" s="262" t="s">
        <v>206</v>
      </c>
      <c r="H94" s="263" t="s">
        <v>26</v>
      </c>
      <c r="I94" s="262" t="s">
        <v>251</v>
      </c>
      <c r="J94" s="263" t="s">
        <v>252</v>
      </c>
      <c r="K94" s="264">
        <v>100000</v>
      </c>
      <c r="L94" s="265" t="s">
        <v>173</v>
      </c>
      <c r="M94" s="266" t="s">
        <v>14</v>
      </c>
    </row>
    <row r="95" spans="1:13" customFormat="1">
      <c r="A95" s="258" t="s">
        <v>219</v>
      </c>
      <c r="B95" s="259" t="s">
        <v>362</v>
      </c>
      <c r="C95" s="259" t="s">
        <v>220</v>
      </c>
      <c r="D95" s="260" t="s">
        <v>363</v>
      </c>
      <c r="E95" s="261" t="s">
        <v>255</v>
      </c>
      <c r="F95" s="261" t="s">
        <v>16</v>
      </c>
      <c r="G95" s="262" t="s">
        <v>206</v>
      </c>
      <c r="H95" s="263" t="s">
        <v>26</v>
      </c>
      <c r="I95" s="262" t="s">
        <v>251</v>
      </c>
      <c r="J95" s="263" t="s">
        <v>252</v>
      </c>
      <c r="K95" s="264">
        <v>140000</v>
      </c>
      <c r="L95" s="265" t="s">
        <v>173</v>
      </c>
      <c r="M95" s="266" t="s">
        <v>14</v>
      </c>
    </row>
    <row r="96" spans="1:13" customFormat="1" ht="29">
      <c r="A96" s="258" t="s">
        <v>219</v>
      </c>
      <c r="B96" s="259" t="s">
        <v>364</v>
      </c>
      <c r="C96" s="259" t="s">
        <v>220</v>
      </c>
      <c r="D96" s="260" t="s">
        <v>3013</v>
      </c>
      <c r="E96" s="261" t="s">
        <v>306</v>
      </c>
      <c r="F96" s="261" t="s">
        <v>16</v>
      </c>
      <c r="G96" s="262" t="s">
        <v>206</v>
      </c>
      <c r="H96" s="263" t="s">
        <v>26</v>
      </c>
      <c r="I96" s="262" t="s">
        <v>251</v>
      </c>
      <c r="J96" s="263" t="s">
        <v>252</v>
      </c>
      <c r="K96" s="264">
        <v>7200000</v>
      </c>
      <c r="L96" s="265" t="s">
        <v>173</v>
      </c>
      <c r="M96" s="266" t="s">
        <v>14</v>
      </c>
    </row>
    <row r="97" spans="1:13" customFormat="1" ht="29">
      <c r="A97" s="258" t="s">
        <v>219</v>
      </c>
      <c r="B97" s="259" t="s">
        <v>365</v>
      </c>
      <c r="C97" s="259" t="s">
        <v>220</v>
      </c>
      <c r="D97" s="260" t="s">
        <v>3014</v>
      </c>
      <c r="E97" s="261" t="s">
        <v>306</v>
      </c>
      <c r="F97" s="261" t="s">
        <v>16</v>
      </c>
      <c r="G97" s="262" t="s">
        <v>206</v>
      </c>
      <c r="H97" s="263" t="s">
        <v>26</v>
      </c>
      <c r="I97" s="262" t="s">
        <v>251</v>
      </c>
      <c r="J97" s="263" t="s">
        <v>252</v>
      </c>
      <c r="K97" s="264">
        <v>12600000</v>
      </c>
      <c r="L97" s="265" t="s">
        <v>173</v>
      </c>
      <c r="M97" s="266" t="s">
        <v>14</v>
      </c>
    </row>
    <row r="98" spans="1:13" customFormat="1" ht="29">
      <c r="A98" s="258" t="s">
        <v>219</v>
      </c>
      <c r="B98" s="259" t="s">
        <v>366</v>
      </c>
      <c r="C98" s="259" t="s">
        <v>220</v>
      </c>
      <c r="D98" s="260" t="s">
        <v>3015</v>
      </c>
      <c r="E98" s="261" t="s">
        <v>306</v>
      </c>
      <c r="F98" s="261" t="s">
        <v>16</v>
      </c>
      <c r="G98" s="262" t="s">
        <v>206</v>
      </c>
      <c r="H98" s="263" t="s">
        <v>26</v>
      </c>
      <c r="I98" s="262" t="s">
        <v>251</v>
      </c>
      <c r="J98" s="263" t="s">
        <v>252</v>
      </c>
      <c r="K98" s="264">
        <v>7200000</v>
      </c>
      <c r="L98" s="265" t="s">
        <v>173</v>
      </c>
      <c r="M98" s="266" t="s">
        <v>14</v>
      </c>
    </row>
    <row r="99" spans="1:13" customFormat="1" ht="29">
      <c r="A99" s="258" t="s">
        <v>219</v>
      </c>
      <c r="B99" s="259" t="s">
        <v>367</v>
      </c>
      <c r="C99" s="259" t="s">
        <v>220</v>
      </c>
      <c r="D99" s="260" t="s">
        <v>3016</v>
      </c>
      <c r="E99" s="261" t="s">
        <v>306</v>
      </c>
      <c r="F99" s="261" t="s">
        <v>16</v>
      </c>
      <c r="G99" s="262" t="s">
        <v>206</v>
      </c>
      <c r="H99" s="263" t="s">
        <v>26</v>
      </c>
      <c r="I99" s="262" t="s">
        <v>251</v>
      </c>
      <c r="J99" s="263" t="s">
        <v>252</v>
      </c>
      <c r="K99" s="264">
        <v>12600000</v>
      </c>
      <c r="L99" s="265" t="s">
        <v>173</v>
      </c>
      <c r="M99" s="266" t="s">
        <v>14</v>
      </c>
    </row>
    <row r="100" spans="1:13" customFormat="1" ht="29">
      <c r="A100" s="258" t="s">
        <v>219</v>
      </c>
      <c r="B100" s="259" t="s">
        <v>368</v>
      </c>
      <c r="C100" s="259" t="s">
        <v>220</v>
      </c>
      <c r="D100" s="260" t="s">
        <v>3017</v>
      </c>
      <c r="E100" s="261" t="s">
        <v>306</v>
      </c>
      <c r="F100" s="261" t="s">
        <v>16</v>
      </c>
      <c r="G100" s="262" t="s">
        <v>206</v>
      </c>
      <c r="H100" s="263" t="s">
        <v>26</v>
      </c>
      <c r="I100" s="262" t="s">
        <v>251</v>
      </c>
      <c r="J100" s="263" t="s">
        <v>252</v>
      </c>
      <c r="K100" s="264">
        <v>7200000</v>
      </c>
      <c r="L100" s="265" t="s">
        <v>173</v>
      </c>
      <c r="M100" s="266" t="s">
        <v>14</v>
      </c>
    </row>
    <row r="101" spans="1:13" customFormat="1" ht="29">
      <c r="A101" s="258" t="s">
        <v>219</v>
      </c>
      <c r="B101" s="259" t="s">
        <v>369</v>
      </c>
      <c r="C101" s="259" t="s">
        <v>220</v>
      </c>
      <c r="D101" s="260" t="s">
        <v>3018</v>
      </c>
      <c r="E101" s="261" t="s">
        <v>306</v>
      </c>
      <c r="F101" s="261" t="s">
        <v>16</v>
      </c>
      <c r="G101" s="262" t="s">
        <v>206</v>
      </c>
      <c r="H101" s="263" t="s">
        <v>26</v>
      </c>
      <c r="I101" s="262" t="s">
        <v>251</v>
      </c>
      <c r="J101" s="263" t="s">
        <v>252</v>
      </c>
      <c r="K101" s="264">
        <v>12600000</v>
      </c>
      <c r="L101" s="265" t="s">
        <v>173</v>
      </c>
      <c r="M101" s="266" t="s">
        <v>14</v>
      </c>
    </row>
    <row r="102" spans="1:13" customFormat="1" ht="29">
      <c r="A102" s="258" t="s">
        <v>219</v>
      </c>
      <c r="B102" s="259" t="s">
        <v>2157</v>
      </c>
      <c r="C102" s="259" t="s">
        <v>220</v>
      </c>
      <c r="D102" s="260" t="s">
        <v>3019</v>
      </c>
      <c r="E102" s="261" t="s">
        <v>306</v>
      </c>
      <c r="F102" s="261" t="s">
        <v>16</v>
      </c>
      <c r="G102" s="262" t="s">
        <v>2155</v>
      </c>
      <c r="H102" s="263" t="s">
        <v>26</v>
      </c>
      <c r="I102" s="262" t="s">
        <v>251</v>
      </c>
      <c r="J102" s="263" t="s">
        <v>252</v>
      </c>
      <c r="K102" s="264">
        <v>7200000</v>
      </c>
      <c r="L102" s="265" t="s">
        <v>173</v>
      </c>
      <c r="M102" s="266" t="s">
        <v>14</v>
      </c>
    </row>
    <row r="103" spans="1:13" customFormat="1" ht="29">
      <c r="A103" s="258" t="s">
        <v>219</v>
      </c>
      <c r="B103" s="259" t="s">
        <v>2158</v>
      </c>
      <c r="C103" s="259" t="s">
        <v>220</v>
      </c>
      <c r="D103" s="260" t="s">
        <v>3020</v>
      </c>
      <c r="E103" s="261" t="s">
        <v>306</v>
      </c>
      <c r="F103" s="261" t="s">
        <v>16</v>
      </c>
      <c r="G103" s="262" t="s">
        <v>2155</v>
      </c>
      <c r="H103" s="263" t="s">
        <v>26</v>
      </c>
      <c r="I103" s="262" t="s">
        <v>251</v>
      </c>
      <c r="J103" s="263" t="s">
        <v>252</v>
      </c>
      <c r="K103" s="264">
        <v>12600000</v>
      </c>
      <c r="L103" s="265" t="s">
        <v>173</v>
      </c>
      <c r="M103" s="266" t="s">
        <v>14</v>
      </c>
    </row>
    <row r="104" spans="1:13" customFormat="1" ht="29">
      <c r="A104" s="258" t="s">
        <v>219</v>
      </c>
      <c r="B104" s="259" t="s">
        <v>2958</v>
      </c>
      <c r="C104" s="259" t="s">
        <v>220</v>
      </c>
      <c r="D104" s="260" t="s">
        <v>2959</v>
      </c>
      <c r="E104" s="261" t="s">
        <v>306</v>
      </c>
      <c r="F104" s="261" t="s">
        <v>16</v>
      </c>
      <c r="G104" s="262" t="s">
        <v>2941</v>
      </c>
      <c r="H104" s="263" t="s">
        <v>26</v>
      </c>
      <c r="I104" s="262" t="s">
        <v>251</v>
      </c>
      <c r="J104" s="263" t="s">
        <v>252</v>
      </c>
      <c r="K104" s="264">
        <v>18000000</v>
      </c>
      <c r="L104" s="265" t="s">
        <v>173</v>
      </c>
      <c r="M104" s="266" t="s">
        <v>14</v>
      </c>
    </row>
    <row r="105" spans="1:13" customFormat="1" ht="29">
      <c r="A105" s="258" t="s">
        <v>219</v>
      </c>
      <c r="B105" s="259" t="s">
        <v>2960</v>
      </c>
      <c r="C105" s="259" t="s">
        <v>220</v>
      </c>
      <c r="D105" s="260" t="s">
        <v>2961</v>
      </c>
      <c r="E105" s="261" t="s">
        <v>306</v>
      </c>
      <c r="F105" s="261" t="s">
        <v>16</v>
      </c>
      <c r="G105" s="262" t="s">
        <v>206</v>
      </c>
      <c r="H105" s="263" t="s">
        <v>26</v>
      </c>
      <c r="I105" s="262" t="s">
        <v>251</v>
      </c>
      <c r="J105" s="263" t="s">
        <v>252</v>
      </c>
      <c r="K105" s="264">
        <v>7200000</v>
      </c>
      <c r="L105" s="265" t="s">
        <v>173</v>
      </c>
      <c r="M105" s="266" t="s">
        <v>14</v>
      </c>
    </row>
    <row r="106" spans="1:13" customFormat="1" ht="29">
      <c r="A106" s="258" t="s">
        <v>219</v>
      </c>
      <c r="B106" s="259" t="s">
        <v>2962</v>
      </c>
      <c r="C106" s="259" t="s">
        <v>220</v>
      </c>
      <c r="D106" s="260" t="s">
        <v>3021</v>
      </c>
      <c r="E106" s="261" t="s">
        <v>306</v>
      </c>
      <c r="F106" s="261" t="s">
        <v>16</v>
      </c>
      <c r="G106" s="262" t="s">
        <v>2941</v>
      </c>
      <c r="H106" s="263" t="s">
        <v>26</v>
      </c>
      <c r="I106" s="262" t="s">
        <v>251</v>
      </c>
      <c r="J106" s="263" t="s">
        <v>252</v>
      </c>
      <c r="K106" s="264">
        <v>12600000</v>
      </c>
      <c r="L106" s="265" t="s">
        <v>173</v>
      </c>
      <c r="M106" s="266" t="s">
        <v>14</v>
      </c>
    </row>
    <row r="107" spans="1:13" customFormat="1" ht="29">
      <c r="A107" s="258" t="s">
        <v>219</v>
      </c>
      <c r="B107" s="259" t="s">
        <v>2963</v>
      </c>
      <c r="C107" s="259" t="s">
        <v>220</v>
      </c>
      <c r="D107" s="260" t="s">
        <v>2964</v>
      </c>
      <c r="E107" s="261" t="s">
        <v>306</v>
      </c>
      <c r="F107" s="261" t="s">
        <v>16</v>
      </c>
      <c r="G107" s="262" t="s">
        <v>2941</v>
      </c>
      <c r="H107" s="263" t="s">
        <v>26</v>
      </c>
      <c r="I107" s="262" t="s">
        <v>251</v>
      </c>
      <c r="J107" s="263" t="s">
        <v>252</v>
      </c>
      <c r="K107" s="264">
        <v>18000000</v>
      </c>
      <c r="L107" s="265" t="s">
        <v>173</v>
      </c>
      <c r="M107" s="266" t="s">
        <v>14</v>
      </c>
    </row>
    <row r="108" spans="1:13" customFormat="1" ht="29">
      <c r="A108" s="258" t="s">
        <v>219</v>
      </c>
      <c r="B108" s="259" t="s">
        <v>2965</v>
      </c>
      <c r="C108" s="259" t="s">
        <v>220</v>
      </c>
      <c r="D108" s="260" t="s">
        <v>2966</v>
      </c>
      <c r="E108" s="261" t="s">
        <v>306</v>
      </c>
      <c r="F108" s="261" t="s">
        <v>16</v>
      </c>
      <c r="G108" s="262" t="s">
        <v>2954</v>
      </c>
      <c r="H108" s="263" t="s">
        <v>26</v>
      </c>
      <c r="I108" s="262" t="s">
        <v>251</v>
      </c>
      <c r="J108" s="263" t="s">
        <v>252</v>
      </c>
      <c r="K108" s="264">
        <v>18000000</v>
      </c>
      <c r="L108" s="265" t="s">
        <v>173</v>
      </c>
      <c r="M108" s="266" t="s">
        <v>14</v>
      </c>
    </row>
    <row r="109" spans="1:13" customFormat="1" ht="29">
      <c r="A109" s="258" t="s">
        <v>219</v>
      </c>
      <c r="B109" s="259" t="s">
        <v>2967</v>
      </c>
      <c r="C109" s="259" t="s">
        <v>220</v>
      </c>
      <c r="D109" s="260" t="s">
        <v>2968</v>
      </c>
      <c r="E109" s="261" t="s">
        <v>306</v>
      </c>
      <c r="F109" s="261" t="s">
        <v>16</v>
      </c>
      <c r="G109" s="262" t="s">
        <v>2957</v>
      </c>
      <c r="H109" s="263" t="s">
        <v>26</v>
      </c>
      <c r="I109" s="262" t="s">
        <v>251</v>
      </c>
      <c r="J109" s="263" t="s">
        <v>252</v>
      </c>
      <c r="K109" s="264">
        <v>18000000</v>
      </c>
      <c r="L109" s="265" t="s">
        <v>173</v>
      </c>
      <c r="M109" s="266" t="s">
        <v>14</v>
      </c>
    </row>
    <row r="110" spans="1:13" customFormat="1" ht="29">
      <c r="A110" s="258" t="s">
        <v>219</v>
      </c>
      <c r="B110" s="259" t="s">
        <v>2969</v>
      </c>
      <c r="C110" s="259" t="s">
        <v>220</v>
      </c>
      <c r="D110" s="260" t="s">
        <v>2970</v>
      </c>
      <c r="E110" s="261" t="s">
        <v>306</v>
      </c>
      <c r="F110" s="261" t="s">
        <v>16</v>
      </c>
      <c r="G110" s="262" t="s">
        <v>2971</v>
      </c>
      <c r="H110" s="263" t="s">
        <v>26</v>
      </c>
      <c r="I110" s="262" t="s">
        <v>251</v>
      </c>
      <c r="J110" s="263" t="s">
        <v>252</v>
      </c>
      <c r="K110" s="264">
        <v>18000000</v>
      </c>
      <c r="L110" s="265" t="s">
        <v>173</v>
      </c>
      <c r="M110" s="266" t="s">
        <v>14</v>
      </c>
    </row>
    <row r="111" spans="1:13" customFormat="1" ht="29">
      <c r="A111" s="258" t="s">
        <v>219</v>
      </c>
      <c r="B111" s="259" t="s">
        <v>2972</v>
      </c>
      <c r="C111" s="259" t="s">
        <v>220</v>
      </c>
      <c r="D111" s="260" t="s">
        <v>10193</v>
      </c>
      <c r="E111" s="261" t="s">
        <v>306</v>
      </c>
      <c r="F111" s="261" t="s">
        <v>16</v>
      </c>
      <c r="G111" s="262" t="s">
        <v>2973</v>
      </c>
      <c r="H111" s="263" t="s">
        <v>26</v>
      </c>
      <c r="I111" s="262" t="s">
        <v>251</v>
      </c>
      <c r="J111" s="263" t="s">
        <v>252</v>
      </c>
      <c r="K111" s="264">
        <v>7200000</v>
      </c>
      <c r="L111" s="265" t="s">
        <v>173</v>
      </c>
      <c r="M111" s="266" t="s">
        <v>14</v>
      </c>
    </row>
    <row r="112" spans="1:13" customFormat="1" ht="29">
      <c r="A112" s="258" t="s">
        <v>219</v>
      </c>
      <c r="B112" s="259" t="s">
        <v>2974</v>
      </c>
      <c r="C112" s="259" t="s">
        <v>220</v>
      </c>
      <c r="D112" s="260" t="s">
        <v>10194</v>
      </c>
      <c r="E112" s="261" t="s">
        <v>306</v>
      </c>
      <c r="F112" s="261" t="s">
        <v>16</v>
      </c>
      <c r="G112" s="262" t="s">
        <v>2975</v>
      </c>
      <c r="H112" s="263" t="s">
        <v>26</v>
      </c>
      <c r="I112" s="262" t="s">
        <v>251</v>
      </c>
      <c r="J112" s="263" t="s">
        <v>252</v>
      </c>
      <c r="K112" s="264">
        <v>12600000</v>
      </c>
      <c r="L112" s="265" t="s">
        <v>173</v>
      </c>
      <c r="M112" s="266" t="s">
        <v>14</v>
      </c>
    </row>
    <row r="113" spans="1:13" customFormat="1" ht="29">
      <c r="A113" s="258" t="s">
        <v>219</v>
      </c>
      <c r="B113" s="259" t="s">
        <v>2976</v>
      </c>
      <c r="C113" s="259" t="s">
        <v>220</v>
      </c>
      <c r="D113" s="260" t="s">
        <v>10195</v>
      </c>
      <c r="E113" s="261" t="s">
        <v>306</v>
      </c>
      <c r="F113" s="261" t="s">
        <v>16</v>
      </c>
      <c r="G113" s="262" t="s">
        <v>2977</v>
      </c>
      <c r="H113" s="263" t="s">
        <v>26</v>
      </c>
      <c r="I113" s="262" t="s">
        <v>251</v>
      </c>
      <c r="J113" s="263" t="s">
        <v>252</v>
      </c>
      <c r="K113" s="264">
        <v>18000000</v>
      </c>
      <c r="L113" s="265" t="s">
        <v>173</v>
      </c>
      <c r="M113" s="266" t="s">
        <v>14</v>
      </c>
    </row>
    <row r="114" spans="1:13" customFormat="1" ht="29">
      <c r="A114" s="258" t="s">
        <v>219</v>
      </c>
      <c r="B114" s="259" t="s">
        <v>10196</v>
      </c>
      <c r="C114" s="259" t="s">
        <v>220</v>
      </c>
      <c r="D114" s="260" t="s">
        <v>10197</v>
      </c>
      <c r="E114" s="261" t="s">
        <v>306</v>
      </c>
      <c r="F114" s="261" t="s">
        <v>16</v>
      </c>
      <c r="G114" s="262" t="s">
        <v>2971</v>
      </c>
      <c r="H114" s="263" t="s">
        <v>26</v>
      </c>
      <c r="I114" s="262" t="s">
        <v>251</v>
      </c>
      <c r="J114" s="263" t="s">
        <v>252</v>
      </c>
      <c r="K114" s="264">
        <v>63544000</v>
      </c>
      <c r="L114" s="265" t="s">
        <v>173</v>
      </c>
      <c r="M114" s="266" t="s">
        <v>14</v>
      </c>
    </row>
    <row r="115" spans="1:13" customFormat="1" ht="29">
      <c r="A115" s="258" t="s">
        <v>219</v>
      </c>
      <c r="B115" s="259" t="s">
        <v>10198</v>
      </c>
      <c r="C115" s="259" t="s">
        <v>220</v>
      </c>
      <c r="D115" s="260" t="s">
        <v>10199</v>
      </c>
      <c r="E115" s="261" t="s">
        <v>306</v>
      </c>
      <c r="F115" s="261" t="s">
        <v>16</v>
      </c>
      <c r="G115" s="262" t="s">
        <v>2973</v>
      </c>
      <c r="H115" s="263" t="s">
        <v>26</v>
      </c>
      <c r="I115" s="262" t="s">
        <v>251</v>
      </c>
      <c r="J115" s="263" t="s">
        <v>252</v>
      </c>
      <c r="K115" s="264">
        <v>140984000</v>
      </c>
      <c r="L115" s="265" t="s">
        <v>173</v>
      </c>
      <c r="M115" s="266" t="s">
        <v>14</v>
      </c>
    </row>
    <row r="116" spans="1:13" customFormat="1" ht="29">
      <c r="A116" s="258" t="s">
        <v>219</v>
      </c>
      <c r="B116" s="259" t="s">
        <v>10200</v>
      </c>
      <c r="C116" s="259" t="s">
        <v>220</v>
      </c>
      <c r="D116" s="260" t="s">
        <v>10201</v>
      </c>
      <c r="E116" s="261" t="s">
        <v>306</v>
      </c>
      <c r="F116" s="261" t="s">
        <v>16</v>
      </c>
      <c r="G116" s="262" t="s">
        <v>2975</v>
      </c>
      <c r="H116" s="263" t="s">
        <v>26</v>
      </c>
      <c r="I116" s="262" t="s">
        <v>251</v>
      </c>
      <c r="J116" s="263" t="s">
        <v>252</v>
      </c>
      <c r="K116" s="264">
        <v>243304000</v>
      </c>
      <c r="L116" s="265" t="s">
        <v>173</v>
      </c>
      <c r="M116" s="266" t="s">
        <v>14</v>
      </c>
    </row>
    <row r="117" spans="1:13" customFormat="1" ht="29">
      <c r="A117" s="258" t="s">
        <v>219</v>
      </c>
      <c r="B117" s="259" t="s">
        <v>10202</v>
      </c>
      <c r="C117" s="259" t="s">
        <v>220</v>
      </c>
      <c r="D117" s="260" t="s">
        <v>10203</v>
      </c>
      <c r="E117" s="261" t="s">
        <v>306</v>
      </c>
      <c r="F117" s="261" t="s">
        <v>16</v>
      </c>
      <c r="G117" s="262" t="s">
        <v>2977</v>
      </c>
      <c r="H117" s="263" t="s">
        <v>26</v>
      </c>
      <c r="I117" s="262" t="s">
        <v>251</v>
      </c>
      <c r="J117" s="263" t="s">
        <v>252</v>
      </c>
      <c r="K117" s="264">
        <v>380504000</v>
      </c>
      <c r="L117" s="265" t="s">
        <v>173</v>
      </c>
      <c r="M117" s="266" t="s">
        <v>14</v>
      </c>
    </row>
    <row r="118" spans="1:13" customFormat="1" ht="29">
      <c r="A118" s="258" t="s">
        <v>219</v>
      </c>
      <c r="B118" s="259" t="s">
        <v>370</v>
      </c>
      <c r="C118" s="259" t="s">
        <v>220</v>
      </c>
      <c r="D118" s="260" t="s">
        <v>10204</v>
      </c>
      <c r="E118" s="261" t="s">
        <v>250</v>
      </c>
      <c r="F118" s="261" t="s">
        <v>21</v>
      </c>
      <c r="G118" s="262" t="s">
        <v>206</v>
      </c>
      <c r="H118" s="263" t="s">
        <v>26</v>
      </c>
      <c r="I118" s="262" t="s">
        <v>251</v>
      </c>
      <c r="J118" s="263" t="s">
        <v>252</v>
      </c>
      <c r="K118" s="264">
        <v>5600000</v>
      </c>
      <c r="L118" s="265" t="s">
        <v>2057</v>
      </c>
      <c r="M118" s="266" t="s">
        <v>14</v>
      </c>
    </row>
    <row r="119" spans="1:13" customFormat="1" ht="29">
      <c r="A119" s="258" t="s">
        <v>219</v>
      </c>
      <c r="B119" s="259" t="s">
        <v>371</v>
      </c>
      <c r="C119" s="259" t="s">
        <v>220</v>
      </c>
      <c r="D119" s="260" t="s">
        <v>10205</v>
      </c>
      <c r="E119" s="261" t="s">
        <v>255</v>
      </c>
      <c r="F119" s="261" t="s">
        <v>16</v>
      </c>
      <c r="G119" s="262" t="s">
        <v>206</v>
      </c>
      <c r="H119" s="263" t="s">
        <v>26</v>
      </c>
      <c r="I119" s="262" t="s">
        <v>251</v>
      </c>
      <c r="J119" s="263" t="s">
        <v>252</v>
      </c>
      <c r="K119" s="264">
        <v>260000</v>
      </c>
      <c r="L119" s="265" t="s">
        <v>2057</v>
      </c>
      <c r="M119" s="266" t="s">
        <v>14</v>
      </c>
    </row>
    <row r="120" spans="1:13" customFormat="1" ht="29">
      <c r="A120" s="258" t="s">
        <v>219</v>
      </c>
      <c r="B120" s="259" t="s">
        <v>372</v>
      </c>
      <c r="C120" s="259" t="s">
        <v>220</v>
      </c>
      <c r="D120" s="260" t="s">
        <v>10206</v>
      </c>
      <c r="E120" s="261" t="s">
        <v>250</v>
      </c>
      <c r="F120" s="261" t="s">
        <v>16</v>
      </c>
      <c r="G120" s="262" t="s">
        <v>206</v>
      </c>
      <c r="H120" s="263" t="s">
        <v>26</v>
      </c>
      <c r="I120" s="262" t="s">
        <v>251</v>
      </c>
      <c r="J120" s="263" t="s">
        <v>252</v>
      </c>
      <c r="K120" s="264">
        <v>4800000</v>
      </c>
      <c r="L120" s="265" t="s">
        <v>2057</v>
      </c>
      <c r="M120" s="266" t="s">
        <v>14</v>
      </c>
    </row>
    <row r="121" spans="1:13" customFormat="1" ht="29">
      <c r="A121" s="258" t="s">
        <v>219</v>
      </c>
      <c r="B121" s="259" t="s">
        <v>373</v>
      </c>
      <c r="C121" s="259" t="s">
        <v>220</v>
      </c>
      <c r="D121" s="260" t="s">
        <v>10207</v>
      </c>
      <c r="E121" s="261" t="s">
        <v>255</v>
      </c>
      <c r="F121" s="261" t="s">
        <v>16</v>
      </c>
      <c r="G121" s="262" t="s">
        <v>206</v>
      </c>
      <c r="H121" s="263" t="s">
        <v>26</v>
      </c>
      <c r="I121" s="262" t="s">
        <v>251</v>
      </c>
      <c r="J121" s="263" t="s">
        <v>252</v>
      </c>
      <c r="K121" s="264">
        <v>180000</v>
      </c>
      <c r="L121" s="265" t="s">
        <v>2057</v>
      </c>
      <c r="M121" s="266" t="s">
        <v>14</v>
      </c>
    </row>
    <row r="122" spans="1:13" customFormat="1" ht="29">
      <c r="A122" s="258" t="s">
        <v>219</v>
      </c>
      <c r="B122" s="259" t="s">
        <v>374</v>
      </c>
      <c r="C122" s="259" t="s">
        <v>220</v>
      </c>
      <c r="D122" s="260" t="s">
        <v>10208</v>
      </c>
      <c r="E122" s="261" t="s">
        <v>250</v>
      </c>
      <c r="F122" s="261" t="s">
        <v>16</v>
      </c>
      <c r="G122" s="262" t="s">
        <v>206</v>
      </c>
      <c r="H122" s="263" t="s">
        <v>26</v>
      </c>
      <c r="I122" s="262" t="s">
        <v>251</v>
      </c>
      <c r="J122" s="263" t="s">
        <v>252</v>
      </c>
      <c r="K122" s="264">
        <v>6400000</v>
      </c>
      <c r="L122" s="265" t="s">
        <v>2057</v>
      </c>
      <c r="M122" s="266" t="s">
        <v>14</v>
      </c>
    </row>
    <row r="123" spans="1:13" customFormat="1" ht="29">
      <c r="A123" s="258" t="s">
        <v>219</v>
      </c>
      <c r="B123" s="259" t="s">
        <v>375</v>
      </c>
      <c r="C123" s="259" t="s">
        <v>220</v>
      </c>
      <c r="D123" s="260" t="s">
        <v>10209</v>
      </c>
      <c r="E123" s="261" t="s">
        <v>255</v>
      </c>
      <c r="F123" s="261" t="s">
        <v>16</v>
      </c>
      <c r="G123" s="262" t="s">
        <v>206</v>
      </c>
      <c r="H123" s="263" t="s">
        <v>26</v>
      </c>
      <c r="I123" s="262" t="s">
        <v>251</v>
      </c>
      <c r="J123" s="263" t="s">
        <v>252</v>
      </c>
      <c r="K123" s="264">
        <v>340000</v>
      </c>
      <c r="L123" s="265" t="s">
        <v>2057</v>
      </c>
      <c r="M123" s="266" t="s">
        <v>14</v>
      </c>
    </row>
    <row r="124" spans="1:13" customFormat="1" ht="29">
      <c r="A124" s="258" t="s">
        <v>219</v>
      </c>
      <c r="B124" s="259" t="s">
        <v>376</v>
      </c>
      <c r="C124" s="259" t="s">
        <v>220</v>
      </c>
      <c r="D124" s="260" t="s">
        <v>10210</v>
      </c>
      <c r="E124" s="261" t="s">
        <v>250</v>
      </c>
      <c r="F124" s="261" t="s">
        <v>16</v>
      </c>
      <c r="G124" s="262" t="s">
        <v>206</v>
      </c>
      <c r="H124" s="263" t="s">
        <v>26</v>
      </c>
      <c r="I124" s="262" t="s">
        <v>251</v>
      </c>
      <c r="J124" s="263" t="s">
        <v>252</v>
      </c>
      <c r="K124" s="264">
        <v>4800000</v>
      </c>
      <c r="L124" s="265" t="s">
        <v>2057</v>
      </c>
      <c r="M124" s="266" t="s">
        <v>14</v>
      </c>
    </row>
    <row r="125" spans="1:13" customFormat="1" ht="29">
      <c r="A125" s="258" t="s">
        <v>219</v>
      </c>
      <c r="B125" s="259" t="s">
        <v>377</v>
      </c>
      <c r="C125" s="259" t="s">
        <v>220</v>
      </c>
      <c r="D125" s="260" t="s">
        <v>10211</v>
      </c>
      <c r="E125" s="261" t="s">
        <v>255</v>
      </c>
      <c r="F125" s="261" t="s">
        <v>16</v>
      </c>
      <c r="G125" s="262" t="s">
        <v>206</v>
      </c>
      <c r="H125" s="263" t="s">
        <v>26</v>
      </c>
      <c r="I125" s="262" t="s">
        <v>251</v>
      </c>
      <c r="J125" s="263" t="s">
        <v>252</v>
      </c>
      <c r="K125" s="264">
        <v>180000</v>
      </c>
      <c r="L125" s="265" t="s">
        <v>2057</v>
      </c>
      <c r="M125" s="266" t="s">
        <v>14</v>
      </c>
    </row>
    <row r="126" spans="1:13" customFormat="1" ht="29">
      <c r="A126" s="258" t="s">
        <v>219</v>
      </c>
      <c r="B126" s="259" t="s">
        <v>378</v>
      </c>
      <c r="C126" s="259" t="s">
        <v>220</v>
      </c>
      <c r="D126" s="260" t="s">
        <v>10212</v>
      </c>
      <c r="E126" s="261" t="s">
        <v>250</v>
      </c>
      <c r="F126" s="261" t="s">
        <v>16</v>
      </c>
      <c r="G126" s="262" t="s">
        <v>206</v>
      </c>
      <c r="H126" s="263" t="s">
        <v>26</v>
      </c>
      <c r="I126" s="262" t="s">
        <v>251</v>
      </c>
      <c r="J126" s="263" t="s">
        <v>252</v>
      </c>
      <c r="K126" s="264">
        <v>5300000</v>
      </c>
      <c r="L126" s="265" t="s">
        <v>2057</v>
      </c>
      <c r="M126" s="266" t="s">
        <v>14</v>
      </c>
    </row>
    <row r="127" spans="1:13" customFormat="1" ht="29">
      <c r="A127" s="258" t="s">
        <v>219</v>
      </c>
      <c r="B127" s="259" t="s">
        <v>379</v>
      </c>
      <c r="C127" s="259" t="s">
        <v>220</v>
      </c>
      <c r="D127" s="260" t="s">
        <v>10213</v>
      </c>
      <c r="E127" s="261" t="s">
        <v>255</v>
      </c>
      <c r="F127" s="261" t="s">
        <v>16</v>
      </c>
      <c r="G127" s="262" t="s">
        <v>206</v>
      </c>
      <c r="H127" s="263" t="s">
        <v>26</v>
      </c>
      <c r="I127" s="262" t="s">
        <v>251</v>
      </c>
      <c r="J127" s="263" t="s">
        <v>252</v>
      </c>
      <c r="K127" s="264">
        <v>230000</v>
      </c>
      <c r="L127" s="265" t="s">
        <v>2057</v>
      </c>
      <c r="M127" s="266" t="s">
        <v>14</v>
      </c>
    </row>
    <row r="128" spans="1:13" customFormat="1" ht="29">
      <c r="A128" s="258" t="s">
        <v>219</v>
      </c>
      <c r="B128" s="259" t="s">
        <v>380</v>
      </c>
      <c r="C128" s="259" t="s">
        <v>220</v>
      </c>
      <c r="D128" s="260" t="s">
        <v>10214</v>
      </c>
      <c r="E128" s="261" t="s">
        <v>274</v>
      </c>
      <c r="F128" s="261" t="s">
        <v>16</v>
      </c>
      <c r="G128" s="262" t="s">
        <v>206</v>
      </c>
      <c r="H128" s="263" t="s">
        <v>26</v>
      </c>
      <c r="I128" s="262" t="s">
        <v>251</v>
      </c>
      <c r="J128" s="263" t="s">
        <v>252</v>
      </c>
      <c r="K128" s="264">
        <v>5000000</v>
      </c>
      <c r="L128" s="265" t="s">
        <v>2057</v>
      </c>
      <c r="M128" s="266" t="s">
        <v>14</v>
      </c>
    </row>
    <row r="129" spans="1:13" customFormat="1" ht="29">
      <c r="A129" s="258" t="s">
        <v>219</v>
      </c>
      <c r="B129" s="259" t="s">
        <v>381</v>
      </c>
      <c r="C129" s="259" t="s">
        <v>220</v>
      </c>
      <c r="D129" s="260" t="s">
        <v>10215</v>
      </c>
      <c r="E129" s="261" t="s">
        <v>255</v>
      </c>
      <c r="F129" s="261" t="s">
        <v>16</v>
      </c>
      <c r="G129" s="262" t="s">
        <v>206</v>
      </c>
      <c r="H129" s="263" t="s">
        <v>26</v>
      </c>
      <c r="I129" s="262" t="s">
        <v>251</v>
      </c>
      <c r="J129" s="263" t="s">
        <v>252</v>
      </c>
      <c r="K129" s="264">
        <v>200000</v>
      </c>
      <c r="L129" s="265" t="s">
        <v>2057</v>
      </c>
      <c r="M129" s="266" t="s">
        <v>14</v>
      </c>
    </row>
    <row r="130" spans="1:13" customFormat="1" ht="29">
      <c r="A130" s="258" t="s">
        <v>219</v>
      </c>
      <c r="B130" s="259" t="s">
        <v>382</v>
      </c>
      <c r="C130" s="259" t="s">
        <v>220</v>
      </c>
      <c r="D130" s="260" t="s">
        <v>10216</v>
      </c>
      <c r="E130" s="261" t="s">
        <v>250</v>
      </c>
      <c r="F130" s="261" t="s">
        <v>16</v>
      </c>
      <c r="G130" s="262" t="s">
        <v>206</v>
      </c>
      <c r="H130" s="263" t="s">
        <v>26</v>
      </c>
      <c r="I130" s="262" t="s">
        <v>251</v>
      </c>
      <c r="J130" s="263" t="s">
        <v>252</v>
      </c>
      <c r="K130" s="264">
        <v>7000000</v>
      </c>
      <c r="L130" s="265" t="s">
        <v>2057</v>
      </c>
      <c r="M130" s="266" t="s">
        <v>14</v>
      </c>
    </row>
    <row r="131" spans="1:13" customFormat="1" ht="29">
      <c r="A131" s="258" t="s">
        <v>219</v>
      </c>
      <c r="B131" s="259" t="s">
        <v>383</v>
      </c>
      <c r="C131" s="259" t="s">
        <v>220</v>
      </c>
      <c r="D131" s="260" t="s">
        <v>10217</v>
      </c>
      <c r="E131" s="261" t="s">
        <v>255</v>
      </c>
      <c r="F131" s="261" t="s">
        <v>16</v>
      </c>
      <c r="G131" s="262" t="s">
        <v>206</v>
      </c>
      <c r="H131" s="263" t="s">
        <v>26</v>
      </c>
      <c r="I131" s="262" t="s">
        <v>251</v>
      </c>
      <c r="J131" s="263" t="s">
        <v>252</v>
      </c>
      <c r="K131" s="264">
        <v>400000</v>
      </c>
      <c r="L131" s="265" t="s">
        <v>2057</v>
      </c>
      <c r="M131" s="266" t="s">
        <v>14</v>
      </c>
    </row>
    <row r="132" spans="1:13" customFormat="1" ht="29">
      <c r="A132" s="258" t="s">
        <v>219</v>
      </c>
      <c r="B132" s="259" t="s">
        <v>384</v>
      </c>
      <c r="C132" s="259" t="s">
        <v>220</v>
      </c>
      <c r="D132" s="260" t="s">
        <v>10218</v>
      </c>
      <c r="E132" s="261" t="s">
        <v>255</v>
      </c>
      <c r="F132" s="261" t="s">
        <v>16</v>
      </c>
      <c r="G132" s="262" t="s">
        <v>206</v>
      </c>
      <c r="H132" s="263" t="s">
        <v>26</v>
      </c>
      <c r="I132" s="262" t="s">
        <v>251</v>
      </c>
      <c r="J132" s="263" t="s">
        <v>252</v>
      </c>
      <c r="K132" s="264">
        <v>70000</v>
      </c>
      <c r="L132" s="265" t="s">
        <v>2057</v>
      </c>
      <c r="M132" s="266" t="s">
        <v>14</v>
      </c>
    </row>
    <row r="133" spans="1:13" customFormat="1" ht="29">
      <c r="A133" s="258" t="s">
        <v>219</v>
      </c>
      <c r="B133" s="259" t="s">
        <v>385</v>
      </c>
      <c r="C133" s="259" t="s">
        <v>220</v>
      </c>
      <c r="D133" s="260" t="s">
        <v>10219</v>
      </c>
      <c r="E133" s="261" t="s">
        <v>255</v>
      </c>
      <c r="F133" s="261" t="s">
        <v>16</v>
      </c>
      <c r="G133" s="262" t="s">
        <v>206</v>
      </c>
      <c r="H133" s="263" t="s">
        <v>26</v>
      </c>
      <c r="I133" s="262" t="s">
        <v>251</v>
      </c>
      <c r="J133" s="263" t="s">
        <v>252</v>
      </c>
      <c r="K133" s="264">
        <v>70000</v>
      </c>
      <c r="L133" s="265" t="s">
        <v>2057</v>
      </c>
      <c r="M133" s="266" t="s">
        <v>14</v>
      </c>
    </row>
    <row r="134" spans="1:13" customFormat="1" ht="29">
      <c r="A134" s="258" t="s">
        <v>219</v>
      </c>
      <c r="B134" s="259" t="s">
        <v>386</v>
      </c>
      <c r="C134" s="259" t="s">
        <v>220</v>
      </c>
      <c r="D134" s="260" t="s">
        <v>10220</v>
      </c>
      <c r="E134" s="261" t="s">
        <v>255</v>
      </c>
      <c r="F134" s="261" t="s">
        <v>16</v>
      </c>
      <c r="G134" s="262" t="s">
        <v>206</v>
      </c>
      <c r="H134" s="263" t="s">
        <v>26</v>
      </c>
      <c r="I134" s="262" t="s">
        <v>251</v>
      </c>
      <c r="J134" s="263" t="s">
        <v>252</v>
      </c>
      <c r="K134" s="264">
        <v>40000</v>
      </c>
      <c r="L134" s="265" t="s">
        <v>2057</v>
      </c>
      <c r="M134" s="266" t="s">
        <v>14</v>
      </c>
    </row>
    <row r="135" spans="1:13" customFormat="1" ht="29">
      <c r="A135" s="258" t="s">
        <v>219</v>
      </c>
      <c r="B135" s="259" t="s">
        <v>387</v>
      </c>
      <c r="C135" s="259" t="s">
        <v>220</v>
      </c>
      <c r="D135" s="260" t="s">
        <v>10221</v>
      </c>
      <c r="E135" s="261" t="s">
        <v>255</v>
      </c>
      <c r="F135" s="261" t="s">
        <v>16</v>
      </c>
      <c r="G135" s="262" t="s">
        <v>206</v>
      </c>
      <c r="H135" s="263" t="s">
        <v>26</v>
      </c>
      <c r="I135" s="262" t="s">
        <v>251</v>
      </c>
      <c r="J135" s="263" t="s">
        <v>252</v>
      </c>
      <c r="K135" s="264">
        <v>50000</v>
      </c>
      <c r="L135" s="265" t="s">
        <v>2057</v>
      </c>
      <c r="M135" s="266" t="s">
        <v>14</v>
      </c>
    </row>
    <row r="136" spans="1:13" customFormat="1" ht="29">
      <c r="A136" s="258" t="s">
        <v>219</v>
      </c>
      <c r="B136" s="259" t="s">
        <v>388</v>
      </c>
      <c r="C136" s="259" t="s">
        <v>220</v>
      </c>
      <c r="D136" s="260" t="s">
        <v>10222</v>
      </c>
      <c r="E136" s="261" t="s">
        <v>255</v>
      </c>
      <c r="F136" s="261" t="s">
        <v>16</v>
      </c>
      <c r="G136" s="262" t="s">
        <v>206</v>
      </c>
      <c r="H136" s="263" t="s">
        <v>26</v>
      </c>
      <c r="I136" s="262" t="s">
        <v>251</v>
      </c>
      <c r="J136" s="263" t="s">
        <v>252</v>
      </c>
      <c r="K136" s="264">
        <v>50000</v>
      </c>
      <c r="L136" s="265" t="s">
        <v>2057</v>
      </c>
      <c r="M136" s="266" t="s">
        <v>14</v>
      </c>
    </row>
    <row r="137" spans="1:13" customFormat="1" ht="29">
      <c r="A137" s="258" t="s">
        <v>219</v>
      </c>
      <c r="B137" s="259" t="s">
        <v>389</v>
      </c>
      <c r="C137" s="259" t="s">
        <v>220</v>
      </c>
      <c r="D137" s="260" t="s">
        <v>10223</v>
      </c>
      <c r="E137" s="261" t="s">
        <v>255</v>
      </c>
      <c r="F137" s="261" t="s">
        <v>16</v>
      </c>
      <c r="G137" s="262" t="s">
        <v>206</v>
      </c>
      <c r="H137" s="263" t="s">
        <v>26</v>
      </c>
      <c r="I137" s="262" t="s">
        <v>251</v>
      </c>
      <c r="J137" s="263" t="s">
        <v>252</v>
      </c>
      <c r="K137" s="264">
        <v>10000</v>
      </c>
      <c r="L137" s="265" t="s">
        <v>2057</v>
      </c>
      <c r="M137" s="266" t="s">
        <v>14</v>
      </c>
    </row>
    <row r="138" spans="1:13" customFormat="1" ht="29">
      <c r="A138" s="258" t="s">
        <v>219</v>
      </c>
      <c r="B138" s="259" t="s">
        <v>390</v>
      </c>
      <c r="C138" s="259" t="s">
        <v>220</v>
      </c>
      <c r="D138" s="260" t="s">
        <v>10224</v>
      </c>
      <c r="E138" s="261" t="s">
        <v>255</v>
      </c>
      <c r="F138" s="261" t="s">
        <v>16</v>
      </c>
      <c r="G138" s="262" t="s">
        <v>206</v>
      </c>
      <c r="H138" s="263" t="s">
        <v>26</v>
      </c>
      <c r="I138" s="262" t="s">
        <v>251</v>
      </c>
      <c r="J138" s="263" t="s">
        <v>252</v>
      </c>
      <c r="K138" s="264">
        <v>8000</v>
      </c>
      <c r="L138" s="265" t="s">
        <v>2057</v>
      </c>
      <c r="M138" s="266" t="s">
        <v>14</v>
      </c>
    </row>
    <row r="139" spans="1:13" customFormat="1" ht="29">
      <c r="A139" s="258" t="s">
        <v>219</v>
      </c>
      <c r="B139" s="259" t="s">
        <v>391</v>
      </c>
      <c r="C139" s="259" t="s">
        <v>220</v>
      </c>
      <c r="D139" s="260" t="s">
        <v>10225</v>
      </c>
      <c r="E139" s="261" t="s">
        <v>255</v>
      </c>
      <c r="F139" s="261" t="s">
        <v>16</v>
      </c>
      <c r="G139" s="262" t="s">
        <v>206</v>
      </c>
      <c r="H139" s="263" t="s">
        <v>26</v>
      </c>
      <c r="I139" s="262" t="s">
        <v>251</v>
      </c>
      <c r="J139" s="263" t="s">
        <v>252</v>
      </c>
      <c r="K139" s="264">
        <v>8000</v>
      </c>
      <c r="L139" s="265" t="s">
        <v>2057</v>
      </c>
      <c r="M139" s="266" t="s">
        <v>14</v>
      </c>
    </row>
    <row r="140" spans="1:13" customFormat="1" ht="29">
      <c r="A140" s="258" t="s">
        <v>219</v>
      </c>
      <c r="B140" s="259" t="s">
        <v>392</v>
      </c>
      <c r="C140" s="259" t="s">
        <v>220</v>
      </c>
      <c r="D140" s="260" t="s">
        <v>10226</v>
      </c>
      <c r="E140" s="261" t="s">
        <v>255</v>
      </c>
      <c r="F140" s="261" t="s">
        <v>16</v>
      </c>
      <c r="G140" s="262" t="s">
        <v>206</v>
      </c>
      <c r="H140" s="263" t="s">
        <v>26</v>
      </c>
      <c r="I140" s="262" t="s">
        <v>251</v>
      </c>
      <c r="J140" s="263" t="s">
        <v>252</v>
      </c>
      <c r="K140" s="264">
        <v>36000</v>
      </c>
      <c r="L140" s="265" t="s">
        <v>2057</v>
      </c>
      <c r="M140" s="266" t="s">
        <v>14</v>
      </c>
    </row>
    <row r="141" spans="1:13" customFormat="1" ht="29">
      <c r="A141" s="258" t="s">
        <v>219</v>
      </c>
      <c r="B141" s="259" t="s">
        <v>393</v>
      </c>
      <c r="C141" s="259" t="s">
        <v>220</v>
      </c>
      <c r="D141" s="260" t="s">
        <v>10227</v>
      </c>
      <c r="E141" s="261" t="s">
        <v>255</v>
      </c>
      <c r="F141" s="261" t="s">
        <v>16</v>
      </c>
      <c r="G141" s="262" t="s">
        <v>206</v>
      </c>
      <c r="H141" s="263" t="s">
        <v>26</v>
      </c>
      <c r="I141" s="262" t="s">
        <v>251</v>
      </c>
      <c r="J141" s="263" t="s">
        <v>252</v>
      </c>
      <c r="K141" s="264">
        <v>70000</v>
      </c>
      <c r="L141" s="265" t="s">
        <v>2057</v>
      </c>
      <c r="M141" s="266" t="s">
        <v>14</v>
      </c>
    </row>
    <row r="142" spans="1:13" customFormat="1" ht="29">
      <c r="A142" s="258" t="s">
        <v>219</v>
      </c>
      <c r="B142" s="259" t="s">
        <v>394</v>
      </c>
      <c r="C142" s="259" t="s">
        <v>220</v>
      </c>
      <c r="D142" s="260" t="s">
        <v>10228</v>
      </c>
      <c r="E142" s="261" t="s">
        <v>255</v>
      </c>
      <c r="F142" s="261" t="s">
        <v>16</v>
      </c>
      <c r="G142" s="262" t="s">
        <v>206</v>
      </c>
      <c r="H142" s="263" t="s">
        <v>26</v>
      </c>
      <c r="I142" s="262" t="s">
        <v>251</v>
      </c>
      <c r="J142" s="263" t="s">
        <v>252</v>
      </c>
      <c r="K142" s="264">
        <v>40000</v>
      </c>
      <c r="L142" s="265" t="s">
        <v>2057</v>
      </c>
      <c r="M142" s="266" t="s">
        <v>14</v>
      </c>
    </row>
    <row r="143" spans="1:13" customFormat="1" ht="29">
      <c r="A143" s="258" t="s">
        <v>219</v>
      </c>
      <c r="B143" s="259" t="s">
        <v>395</v>
      </c>
      <c r="C143" s="259" t="s">
        <v>220</v>
      </c>
      <c r="D143" s="260" t="s">
        <v>10229</v>
      </c>
      <c r="E143" s="261" t="s">
        <v>255</v>
      </c>
      <c r="F143" s="261" t="s">
        <v>16</v>
      </c>
      <c r="G143" s="262" t="s">
        <v>206</v>
      </c>
      <c r="H143" s="263" t="s">
        <v>26</v>
      </c>
      <c r="I143" s="262" t="s">
        <v>251</v>
      </c>
      <c r="J143" s="263" t="s">
        <v>252</v>
      </c>
      <c r="K143" s="264">
        <v>60000</v>
      </c>
      <c r="L143" s="265" t="s">
        <v>2057</v>
      </c>
      <c r="M143" s="266" t="s">
        <v>14</v>
      </c>
    </row>
    <row r="144" spans="1:13" customFormat="1" ht="29">
      <c r="A144" s="258" t="s">
        <v>219</v>
      </c>
      <c r="B144" s="259" t="s">
        <v>396</v>
      </c>
      <c r="C144" s="259" t="s">
        <v>220</v>
      </c>
      <c r="D144" s="260" t="s">
        <v>10230</v>
      </c>
      <c r="E144" s="261" t="s">
        <v>306</v>
      </c>
      <c r="F144" s="261" t="s">
        <v>16</v>
      </c>
      <c r="G144" s="262" t="s">
        <v>206</v>
      </c>
      <c r="H144" s="263" t="s">
        <v>26</v>
      </c>
      <c r="I144" s="262" t="s">
        <v>251</v>
      </c>
      <c r="J144" s="263" t="s">
        <v>252</v>
      </c>
      <c r="K144" s="264">
        <v>1440000</v>
      </c>
      <c r="L144" s="265" t="s">
        <v>2057</v>
      </c>
      <c r="M144" s="266" t="s">
        <v>14</v>
      </c>
    </row>
    <row r="145" spans="1:1023 1025:3068 3075:4095 4102:7163 7170:8190 8197:10240 10242:11258 11265:12285 12292:13312 13319:14335 14337:16380" customFormat="1" ht="29">
      <c r="A145" s="258" t="s">
        <v>219</v>
      </c>
      <c r="B145" s="259" t="s">
        <v>397</v>
      </c>
      <c r="C145" s="259" t="s">
        <v>220</v>
      </c>
      <c r="D145" s="260" t="s">
        <v>10231</v>
      </c>
      <c r="E145" s="261" t="s">
        <v>306</v>
      </c>
      <c r="F145" s="261" t="s">
        <v>16</v>
      </c>
      <c r="G145" s="262" t="s">
        <v>206</v>
      </c>
      <c r="H145" s="263" t="s">
        <v>26</v>
      </c>
      <c r="I145" s="262" t="s">
        <v>251</v>
      </c>
      <c r="J145" s="263" t="s">
        <v>252</v>
      </c>
      <c r="K145" s="264">
        <v>2520000</v>
      </c>
      <c r="L145" s="265" t="s">
        <v>2057</v>
      </c>
      <c r="M145" s="266" t="s">
        <v>14</v>
      </c>
    </row>
    <row r="146" spans="1:1023 1025:3068 3075:4095 4102:7163 7170:8190 8197:10240 10242:11258 11265:12285 12292:13312 13319:14335 14337:16380" customFormat="1" ht="43.5">
      <c r="A146" s="258" t="s">
        <v>219</v>
      </c>
      <c r="B146" s="259" t="s">
        <v>398</v>
      </c>
      <c r="C146" s="259" t="s">
        <v>220</v>
      </c>
      <c r="D146" s="260" t="s">
        <v>10232</v>
      </c>
      <c r="E146" s="261" t="s">
        <v>306</v>
      </c>
      <c r="F146" s="261" t="s">
        <v>16</v>
      </c>
      <c r="G146" s="262" t="s">
        <v>206</v>
      </c>
      <c r="H146" s="263" t="s">
        <v>26</v>
      </c>
      <c r="I146" s="262" t="s">
        <v>251</v>
      </c>
      <c r="J146" s="263" t="s">
        <v>252</v>
      </c>
      <c r="K146" s="264">
        <v>1440000</v>
      </c>
      <c r="L146" s="265" t="s">
        <v>2057</v>
      </c>
      <c r="M146" s="266" t="s">
        <v>14</v>
      </c>
    </row>
    <row r="147" spans="1:1023 1025:3068 3075:4095 4102:7163 7170:8190 8197:10240 10242:11258 11265:12285 12292:13312 13319:14335 14337:16380" customFormat="1" ht="29">
      <c r="A147" s="258" t="s">
        <v>219</v>
      </c>
      <c r="B147" s="259" t="s">
        <v>399</v>
      </c>
      <c r="C147" s="259" t="s">
        <v>220</v>
      </c>
      <c r="D147" s="260" t="s">
        <v>10233</v>
      </c>
      <c r="E147" s="261" t="s">
        <v>306</v>
      </c>
      <c r="F147" s="261" t="s">
        <v>16</v>
      </c>
      <c r="G147" s="262" t="s">
        <v>206</v>
      </c>
      <c r="H147" s="263" t="s">
        <v>26</v>
      </c>
      <c r="I147" s="262" t="s">
        <v>251</v>
      </c>
      <c r="J147" s="263" t="s">
        <v>252</v>
      </c>
      <c r="K147" s="264">
        <v>2520000</v>
      </c>
      <c r="L147" s="265" t="s">
        <v>2057</v>
      </c>
      <c r="M147" s="266" t="s">
        <v>14</v>
      </c>
    </row>
    <row r="148" spans="1:1023 1025:3068 3075:4095 4102:7163 7170:8190 8197:10240 10242:11258 11265:12285 12292:13312 13319:14335 14337:16380" customFormat="1" ht="29">
      <c r="A148" s="258" t="s">
        <v>219</v>
      </c>
      <c r="B148" s="259" t="s">
        <v>400</v>
      </c>
      <c r="C148" s="259" t="s">
        <v>220</v>
      </c>
      <c r="D148" s="260" t="s">
        <v>10234</v>
      </c>
      <c r="E148" s="261" t="s">
        <v>306</v>
      </c>
      <c r="F148" s="261" t="s">
        <v>16</v>
      </c>
      <c r="G148" s="262" t="s">
        <v>206</v>
      </c>
      <c r="H148" s="263" t="s">
        <v>26</v>
      </c>
      <c r="I148" s="262" t="s">
        <v>251</v>
      </c>
      <c r="J148" s="263" t="s">
        <v>252</v>
      </c>
      <c r="K148" s="264">
        <v>1440000</v>
      </c>
      <c r="L148" s="265" t="s">
        <v>2057</v>
      </c>
      <c r="M148" s="266" t="s">
        <v>14</v>
      </c>
    </row>
    <row r="149" spans="1:1023 1025:3068 3075:4095 4102:7163 7170:8190 8197:10240 10242:11258 11265:12285 12292:13312 13319:14335 14337:16380" customFormat="1" ht="29">
      <c r="A149" s="258" t="s">
        <v>219</v>
      </c>
      <c r="B149" s="259" t="s">
        <v>401</v>
      </c>
      <c r="C149" s="259" t="s">
        <v>220</v>
      </c>
      <c r="D149" s="260" t="s">
        <v>10235</v>
      </c>
      <c r="E149" s="261" t="s">
        <v>306</v>
      </c>
      <c r="F149" s="261" t="s">
        <v>16</v>
      </c>
      <c r="G149" s="262" t="s">
        <v>206</v>
      </c>
      <c r="H149" s="263" t="s">
        <v>26</v>
      </c>
      <c r="I149" s="262" t="s">
        <v>251</v>
      </c>
      <c r="J149" s="263" t="s">
        <v>252</v>
      </c>
      <c r="K149" s="264">
        <v>2520000</v>
      </c>
      <c r="L149" s="265" t="s">
        <v>2057</v>
      </c>
      <c r="M149" s="266" t="s">
        <v>14</v>
      </c>
    </row>
    <row r="150" spans="1:1023 1025:3068 3075:4095 4102:7163 7170:8190 8197:10240 10242:11258 11265:12285 12292:13312 13319:14335 14337:16380" customFormat="1" ht="29">
      <c r="A150" s="258" t="s">
        <v>219</v>
      </c>
      <c r="B150" s="259" t="s">
        <v>2159</v>
      </c>
      <c r="C150" s="259" t="s">
        <v>220</v>
      </c>
      <c r="D150" s="260" t="s">
        <v>10236</v>
      </c>
      <c r="E150" s="261" t="s">
        <v>306</v>
      </c>
      <c r="F150" s="261" t="s">
        <v>16</v>
      </c>
      <c r="G150" s="262" t="s">
        <v>2155</v>
      </c>
      <c r="H150" s="263" t="s">
        <v>26</v>
      </c>
      <c r="I150" s="262" t="s">
        <v>251</v>
      </c>
      <c r="J150" s="263" t="s">
        <v>252</v>
      </c>
      <c r="K150" s="264">
        <v>1440000</v>
      </c>
      <c r="L150" s="265" t="s">
        <v>2057</v>
      </c>
      <c r="M150" s="266" t="s">
        <v>14</v>
      </c>
    </row>
    <row r="151" spans="1:1023 1025:3068 3075:4095 4102:7163 7170:8190 8197:10240 10242:11258 11265:12285 12292:13312 13319:14335 14337:16380" customFormat="1" ht="29">
      <c r="A151" s="258" t="s">
        <v>219</v>
      </c>
      <c r="B151" s="259" t="s">
        <v>2160</v>
      </c>
      <c r="C151" s="259" t="s">
        <v>220</v>
      </c>
      <c r="D151" s="260" t="s">
        <v>10237</v>
      </c>
      <c r="E151" s="261" t="s">
        <v>306</v>
      </c>
      <c r="F151" s="261" t="s">
        <v>16</v>
      </c>
      <c r="G151" s="262" t="s">
        <v>2155</v>
      </c>
      <c r="H151" s="263" t="s">
        <v>26</v>
      </c>
      <c r="I151" s="262" t="s">
        <v>251</v>
      </c>
      <c r="J151" s="263" t="s">
        <v>252</v>
      </c>
      <c r="K151" s="264">
        <v>2520000</v>
      </c>
      <c r="L151" s="265" t="s">
        <v>2057</v>
      </c>
      <c r="M151" s="266" t="s">
        <v>14</v>
      </c>
    </row>
    <row r="152" spans="1:1023 1025:3068 3075:4095 4102:7163 7170:8190 8197:10240 10242:11258 11265:12285 12292:13312 13319:14335 14337:16380" s="106" customFormat="1" ht="29">
      <c r="A152" s="258" t="s">
        <v>219</v>
      </c>
      <c r="B152" s="259" t="s">
        <v>2978</v>
      </c>
      <c r="C152" s="259" t="s">
        <v>220</v>
      </c>
      <c r="D152" s="260" t="s">
        <v>10238</v>
      </c>
      <c r="E152" s="261" t="s">
        <v>306</v>
      </c>
      <c r="F152" s="261" t="s">
        <v>16</v>
      </c>
      <c r="G152" s="262" t="s">
        <v>2155</v>
      </c>
      <c r="H152" s="263" t="s">
        <v>26</v>
      </c>
      <c r="I152" s="262" t="s">
        <v>251</v>
      </c>
      <c r="J152" s="263" t="s">
        <v>252</v>
      </c>
      <c r="K152" s="264">
        <v>3600000</v>
      </c>
      <c r="L152" s="265" t="s">
        <v>2057</v>
      </c>
      <c r="M152" s="266" t="s">
        <v>14</v>
      </c>
      <c r="T152" s="107"/>
      <c r="U152" s="107"/>
      <c r="V152" s="108"/>
      <c r="X152" s="109"/>
      <c r="Y152" s="107"/>
      <c r="Z152" s="107"/>
      <c r="AG152" s="107"/>
      <c r="AH152" s="107"/>
      <c r="AI152" s="108"/>
      <c r="AK152" s="109"/>
      <c r="AL152" s="107"/>
      <c r="AM152" s="107"/>
      <c r="AT152" s="107"/>
      <c r="AU152" s="107"/>
      <c r="AV152" s="108"/>
      <c r="AX152" s="109"/>
      <c r="AY152" s="107"/>
      <c r="AZ152" s="107"/>
      <c r="BG152" s="107"/>
      <c r="BH152" s="107"/>
      <c r="BI152" s="108"/>
      <c r="BK152" s="109"/>
      <c r="BL152" s="107"/>
      <c r="BM152" s="107"/>
      <c r="BT152" s="107"/>
      <c r="BU152" s="107"/>
      <c r="BV152" s="108"/>
      <c r="BX152" s="109"/>
      <c r="BY152" s="107"/>
      <c r="BZ152" s="107"/>
      <c r="CG152" s="107"/>
      <c r="CH152" s="107"/>
      <c r="CI152" s="108"/>
      <c r="CK152" s="109"/>
      <c r="CL152" s="107"/>
      <c r="CM152" s="107"/>
      <c r="CT152" s="107"/>
      <c r="CU152" s="107"/>
      <c r="CV152" s="108"/>
      <c r="CX152" s="109"/>
      <c r="CY152" s="107"/>
      <c r="CZ152" s="107"/>
      <c r="DG152" s="107"/>
      <c r="DH152" s="107"/>
      <c r="DI152" s="108"/>
      <c r="DK152" s="109"/>
      <c r="DL152" s="107"/>
      <c r="DM152" s="107"/>
      <c r="DT152" s="107"/>
      <c r="DU152" s="107"/>
      <c r="DV152" s="108"/>
      <c r="DX152" s="109"/>
      <c r="DY152" s="107"/>
      <c r="DZ152" s="107"/>
      <c r="EG152" s="107"/>
      <c r="EH152" s="107"/>
      <c r="EI152" s="108"/>
      <c r="EK152" s="109"/>
      <c r="EL152" s="107"/>
      <c r="EM152" s="107"/>
      <c r="ET152" s="107"/>
      <c r="EU152" s="107"/>
      <c r="EV152" s="108"/>
      <c r="EX152" s="109"/>
      <c r="EY152" s="107"/>
      <c r="EZ152" s="107"/>
      <c r="FG152" s="107"/>
      <c r="FH152" s="107"/>
      <c r="FI152" s="108"/>
      <c r="FK152" s="109"/>
      <c r="FL152" s="107"/>
      <c r="FM152" s="107"/>
      <c r="FT152" s="107"/>
      <c r="FU152" s="107"/>
      <c r="FV152" s="108"/>
      <c r="FX152" s="109"/>
      <c r="FY152" s="107"/>
      <c r="FZ152" s="107"/>
      <c r="GG152" s="107"/>
      <c r="GH152" s="107"/>
      <c r="GI152" s="108"/>
      <c r="GK152" s="109"/>
      <c r="GL152" s="107"/>
      <c r="GM152" s="107"/>
      <c r="GT152" s="107"/>
      <c r="GU152" s="107"/>
      <c r="GV152" s="108"/>
      <c r="GX152" s="109"/>
      <c r="GY152" s="107"/>
      <c r="GZ152" s="107"/>
      <c r="HG152" s="107"/>
      <c r="HH152" s="107"/>
      <c r="HI152" s="108"/>
      <c r="HK152" s="109"/>
      <c r="HL152" s="107"/>
      <c r="HM152" s="107"/>
      <c r="HT152" s="107"/>
      <c r="HU152" s="107"/>
      <c r="HV152" s="108"/>
      <c r="HX152" s="109"/>
      <c r="HY152" s="107"/>
      <c r="HZ152" s="107"/>
      <c r="IG152" s="107"/>
      <c r="IH152" s="107"/>
      <c r="II152" s="108"/>
      <c r="IK152" s="109"/>
      <c r="IL152" s="107"/>
      <c r="IM152" s="107"/>
      <c r="IT152" s="107"/>
      <c r="IU152" s="107"/>
      <c r="IV152" s="108"/>
      <c r="IX152" s="109"/>
      <c r="IY152" s="107"/>
      <c r="IZ152" s="107"/>
      <c r="JG152" s="107"/>
      <c r="JH152" s="107"/>
      <c r="JI152" s="108"/>
      <c r="JK152" s="109"/>
      <c r="JL152" s="107"/>
      <c r="JM152" s="107"/>
      <c r="JT152" s="107"/>
      <c r="JU152" s="107"/>
      <c r="JV152" s="108"/>
      <c r="JX152" s="109"/>
      <c r="JY152" s="107"/>
      <c r="JZ152" s="107"/>
      <c r="KG152" s="107"/>
      <c r="KH152" s="107"/>
      <c r="KI152" s="108"/>
      <c r="KK152" s="109"/>
      <c r="KL152" s="107"/>
      <c r="KM152" s="107"/>
      <c r="KT152" s="107"/>
      <c r="KU152" s="107"/>
      <c r="KV152" s="108"/>
      <c r="KX152" s="109"/>
      <c r="KY152" s="107"/>
      <c r="KZ152" s="107"/>
      <c r="LG152" s="107"/>
      <c r="LH152" s="107"/>
      <c r="LI152" s="108"/>
      <c r="LK152" s="109"/>
      <c r="LL152" s="107"/>
      <c r="LM152" s="107"/>
      <c r="LT152" s="107"/>
      <c r="LU152" s="107"/>
      <c r="LV152" s="108"/>
      <c r="LX152" s="109"/>
      <c r="LY152" s="107"/>
      <c r="LZ152" s="107"/>
      <c r="MG152" s="107"/>
      <c r="MH152" s="107"/>
      <c r="MI152" s="108"/>
      <c r="MK152" s="109"/>
      <c r="ML152" s="107"/>
      <c r="MM152" s="107"/>
      <c r="MT152" s="107"/>
      <c r="MU152" s="107"/>
      <c r="MV152" s="108"/>
      <c r="MX152" s="109"/>
      <c r="MY152" s="107"/>
      <c r="MZ152" s="107"/>
      <c r="NG152" s="107"/>
      <c r="NH152" s="107"/>
      <c r="NI152" s="108"/>
      <c r="NK152" s="109"/>
      <c r="NL152" s="107"/>
      <c r="NM152" s="107"/>
      <c r="NT152" s="107"/>
      <c r="NU152" s="107"/>
      <c r="NV152" s="108"/>
      <c r="NX152" s="109"/>
      <c r="NY152" s="107"/>
      <c r="NZ152" s="107"/>
      <c r="OG152" s="107"/>
      <c r="OH152" s="107"/>
      <c r="OI152" s="108"/>
      <c r="OK152" s="109"/>
      <c r="OL152" s="107"/>
      <c r="OM152" s="107"/>
      <c r="OT152" s="107"/>
      <c r="OU152" s="107"/>
      <c r="OV152" s="108"/>
      <c r="OX152" s="109"/>
      <c r="OY152" s="107"/>
      <c r="OZ152" s="107"/>
      <c r="PG152" s="107"/>
      <c r="PH152" s="107"/>
      <c r="PI152" s="108"/>
      <c r="PK152" s="109"/>
      <c r="PL152" s="107"/>
      <c r="PM152" s="107"/>
      <c r="PT152" s="107"/>
      <c r="PU152" s="107"/>
      <c r="PV152" s="108"/>
      <c r="PX152" s="109"/>
      <c r="PY152" s="107"/>
      <c r="PZ152" s="107"/>
      <c r="QG152" s="107"/>
      <c r="QH152" s="107"/>
      <c r="QI152" s="108"/>
      <c r="QK152" s="109"/>
      <c r="QL152" s="107"/>
      <c r="QM152" s="107"/>
      <c r="QT152" s="107"/>
      <c r="QU152" s="107"/>
      <c r="QV152" s="108"/>
      <c r="QX152" s="109"/>
      <c r="QY152" s="107"/>
      <c r="QZ152" s="107"/>
      <c r="RG152" s="107"/>
      <c r="RH152" s="107"/>
      <c r="RI152" s="108"/>
      <c r="RK152" s="109"/>
      <c r="RL152" s="107"/>
      <c r="RM152" s="107"/>
      <c r="RT152" s="107"/>
      <c r="RU152" s="107"/>
      <c r="RV152" s="108"/>
      <c r="RX152" s="109"/>
      <c r="RY152" s="107"/>
      <c r="RZ152" s="107"/>
      <c r="SG152" s="107"/>
      <c r="SH152" s="107"/>
      <c r="SI152" s="108"/>
      <c r="SK152" s="109"/>
      <c r="SL152" s="107"/>
      <c r="SM152" s="107"/>
      <c r="ST152" s="107"/>
      <c r="SU152" s="107"/>
      <c r="SV152" s="108"/>
      <c r="SX152" s="109"/>
      <c r="SY152" s="107"/>
      <c r="SZ152" s="107"/>
      <c r="TG152" s="107"/>
      <c r="TH152" s="107"/>
      <c r="TI152" s="108"/>
      <c r="TK152" s="109"/>
      <c r="TL152" s="107"/>
      <c r="TM152" s="107"/>
      <c r="TT152" s="107"/>
      <c r="TU152" s="107"/>
      <c r="TV152" s="108"/>
      <c r="TX152" s="109"/>
      <c r="TY152" s="107"/>
      <c r="TZ152" s="107"/>
      <c r="UG152" s="107"/>
      <c r="UH152" s="107"/>
      <c r="UI152" s="108"/>
      <c r="UK152" s="109"/>
      <c r="UL152" s="107"/>
      <c r="UM152" s="107"/>
      <c r="UT152" s="107"/>
      <c r="UU152" s="107"/>
      <c r="UV152" s="108"/>
      <c r="UX152" s="109"/>
      <c r="UY152" s="107"/>
      <c r="UZ152" s="107"/>
      <c r="VG152" s="107"/>
      <c r="VH152" s="107"/>
      <c r="VI152" s="108"/>
      <c r="VK152" s="109"/>
      <c r="VL152" s="107"/>
      <c r="VM152" s="107"/>
      <c r="VT152" s="107"/>
      <c r="VU152" s="107"/>
      <c r="VV152" s="108"/>
      <c r="VX152" s="109"/>
      <c r="VY152" s="107"/>
      <c r="VZ152" s="107"/>
      <c r="WG152" s="107"/>
      <c r="WH152" s="107"/>
      <c r="WI152" s="108"/>
      <c r="WK152" s="109"/>
      <c r="WL152" s="107"/>
      <c r="WM152" s="107"/>
      <c r="WT152" s="107"/>
      <c r="WU152" s="107"/>
      <c r="WV152" s="108"/>
      <c r="WX152" s="109"/>
      <c r="WY152" s="107"/>
      <c r="WZ152" s="107"/>
      <c r="XG152" s="107"/>
      <c r="XH152" s="107"/>
      <c r="XI152" s="108"/>
      <c r="XK152" s="109"/>
      <c r="XL152" s="107"/>
      <c r="XM152" s="107"/>
      <c r="XT152" s="107"/>
      <c r="XU152" s="107"/>
      <c r="XV152" s="108"/>
      <c r="XX152" s="109"/>
      <c r="XY152" s="107"/>
      <c r="XZ152" s="107"/>
      <c r="YG152" s="107"/>
      <c r="YH152" s="107"/>
      <c r="YI152" s="108"/>
      <c r="YK152" s="109"/>
      <c r="YL152" s="107"/>
      <c r="YM152" s="107"/>
      <c r="YT152" s="107"/>
      <c r="YU152" s="107"/>
      <c r="YV152" s="108"/>
      <c r="YX152" s="109"/>
      <c r="YY152" s="107"/>
      <c r="YZ152" s="107"/>
      <c r="ZG152" s="107"/>
      <c r="ZH152" s="107"/>
      <c r="ZI152" s="108"/>
      <c r="ZK152" s="109"/>
      <c r="ZL152" s="107"/>
      <c r="ZM152" s="107"/>
      <c r="ZT152" s="107"/>
      <c r="ZU152" s="107"/>
      <c r="ZV152" s="108"/>
      <c r="ZX152" s="109"/>
      <c r="ZY152" s="107"/>
      <c r="ZZ152" s="107"/>
      <c r="AAG152" s="107"/>
      <c r="AAH152" s="107"/>
      <c r="AAI152" s="108"/>
      <c r="AAK152" s="109"/>
      <c r="AAL152" s="107"/>
      <c r="AAM152" s="107"/>
      <c r="AAT152" s="107"/>
      <c r="AAU152" s="107"/>
      <c r="AAV152" s="108"/>
      <c r="AAX152" s="109"/>
      <c r="AAY152" s="107"/>
      <c r="AAZ152" s="107"/>
      <c r="ABG152" s="107"/>
      <c r="ABH152" s="107"/>
      <c r="ABI152" s="108"/>
      <c r="ABK152" s="109"/>
      <c r="ABL152" s="107"/>
      <c r="ABM152" s="107"/>
      <c r="ABT152" s="107"/>
      <c r="ABU152" s="107"/>
      <c r="ABV152" s="108"/>
      <c r="ABX152" s="109"/>
      <c r="ABY152" s="107"/>
      <c r="ABZ152" s="107"/>
      <c r="ACG152" s="107"/>
      <c r="ACH152" s="107"/>
      <c r="ACI152" s="108"/>
      <c r="ACK152" s="109"/>
      <c r="ACL152" s="107"/>
      <c r="ACM152" s="107"/>
      <c r="ACT152" s="107"/>
      <c r="ACU152" s="107"/>
      <c r="ACV152" s="108"/>
      <c r="ACX152" s="109"/>
      <c r="ACY152" s="107"/>
      <c r="ACZ152" s="107"/>
      <c r="ADG152" s="107"/>
      <c r="ADH152" s="107"/>
      <c r="ADI152" s="108"/>
      <c r="ADK152" s="109"/>
      <c r="ADL152" s="107"/>
      <c r="ADM152" s="107"/>
      <c r="ADT152" s="107"/>
      <c r="ADU152" s="107"/>
      <c r="ADV152" s="108"/>
      <c r="ADX152" s="109"/>
      <c r="ADY152" s="107"/>
      <c r="ADZ152" s="107"/>
      <c r="AEG152" s="107"/>
      <c r="AEH152" s="107"/>
      <c r="AEI152" s="108"/>
      <c r="AEK152" s="109"/>
      <c r="AEL152" s="107"/>
      <c r="AEM152" s="107"/>
      <c r="AET152" s="107"/>
      <c r="AEU152" s="107"/>
      <c r="AEV152" s="108"/>
      <c r="AEX152" s="109"/>
      <c r="AEY152" s="107"/>
      <c r="AEZ152" s="107"/>
      <c r="AFG152" s="107"/>
      <c r="AFH152" s="107"/>
      <c r="AFI152" s="108"/>
      <c r="AFK152" s="109"/>
      <c r="AFL152" s="107"/>
      <c r="AFM152" s="107"/>
      <c r="AFT152" s="107"/>
      <c r="AFU152" s="107"/>
      <c r="AFV152" s="108"/>
      <c r="AFX152" s="109"/>
      <c r="AFY152" s="107"/>
      <c r="AFZ152" s="107"/>
      <c r="AGG152" s="107"/>
      <c r="AGH152" s="107"/>
      <c r="AGI152" s="108"/>
      <c r="AGK152" s="109"/>
      <c r="AGL152" s="107"/>
      <c r="AGM152" s="107"/>
      <c r="AGT152" s="107"/>
      <c r="AGU152" s="107"/>
      <c r="AGV152" s="108"/>
      <c r="AGX152" s="109"/>
      <c r="AGY152" s="107"/>
      <c r="AGZ152" s="107"/>
      <c r="AHG152" s="107"/>
      <c r="AHH152" s="107"/>
      <c r="AHI152" s="108"/>
      <c r="AHK152" s="109"/>
      <c r="AHL152" s="107"/>
      <c r="AHM152" s="107"/>
      <c r="AHT152" s="107"/>
      <c r="AHU152" s="107"/>
      <c r="AHV152" s="108"/>
      <c r="AHX152" s="109"/>
      <c r="AHY152" s="107"/>
      <c r="AHZ152" s="107"/>
      <c r="AIG152" s="107"/>
      <c r="AIH152" s="107"/>
      <c r="AII152" s="108"/>
      <c r="AIK152" s="109"/>
      <c r="AIL152" s="107"/>
      <c r="AIM152" s="107"/>
      <c r="AIT152" s="107"/>
      <c r="AIU152" s="107"/>
      <c r="AIV152" s="108"/>
      <c r="AIX152" s="109"/>
      <c r="AIY152" s="107"/>
      <c r="AIZ152" s="107"/>
      <c r="AJG152" s="107"/>
      <c r="AJH152" s="107"/>
      <c r="AJI152" s="108"/>
      <c r="AJK152" s="109"/>
      <c r="AJL152" s="107"/>
      <c r="AJM152" s="107"/>
      <c r="AJT152" s="107"/>
      <c r="AJU152" s="107"/>
      <c r="AJV152" s="108"/>
      <c r="AJX152" s="109"/>
      <c r="AJY152" s="107"/>
      <c r="AJZ152" s="107"/>
      <c r="AKG152" s="107"/>
      <c r="AKH152" s="107"/>
      <c r="AKI152" s="108"/>
      <c r="AKK152" s="109"/>
      <c r="AKL152" s="107"/>
      <c r="AKM152" s="107"/>
      <c r="AKT152" s="107"/>
      <c r="AKU152" s="107"/>
      <c r="AKV152" s="108"/>
      <c r="AKX152" s="109"/>
      <c r="AKY152" s="107"/>
      <c r="AKZ152" s="107"/>
      <c r="ALG152" s="107"/>
      <c r="ALH152" s="107"/>
      <c r="ALI152" s="108"/>
      <c r="ALK152" s="109"/>
      <c r="ALL152" s="107"/>
      <c r="ALM152" s="107"/>
      <c r="ALT152" s="107"/>
      <c r="ALU152" s="107"/>
      <c r="ALV152" s="108"/>
      <c r="ALX152" s="109"/>
      <c r="ALY152" s="107"/>
      <c r="ALZ152" s="107"/>
      <c r="AMG152" s="107"/>
      <c r="AMH152" s="107"/>
      <c r="AMI152" s="108"/>
      <c r="AMK152" s="109"/>
      <c r="AML152" s="107"/>
      <c r="AMM152" s="107"/>
      <c r="AMT152" s="107"/>
      <c r="AMU152" s="107"/>
      <c r="AMV152" s="108"/>
      <c r="AMX152" s="109"/>
      <c r="AMY152" s="107"/>
      <c r="AMZ152" s="107"/>
      <c r="ANG152" s="107"/>
      <c r="ANH152" s="107"/>
      <c r="ANI152" s="108"/>
      <c r="ANK152" s="109"/>
      <c r="ANL152" s="107"/>
      <c r="ANM152" s="107"/>
      <c r="ANT152" s="107"/>
      <c r="ANU152" s="107"/>
      <c r="ANV152" s="108"/>
      <c r="ANX152" s="109"/>
      <c r="ANY152" s="107"/>
      <c r="ANZ152" s="107"/>
      <c r="AOG152" s="107"/>
      <c r="AOH152" s="107"/>
      <c r="AOI152" s="108"/>
      <c r="AOK152" s="109"/>
      <c r="AOL152" s="107"/>
      <c r="AOM152" s="107"/>
      <c r="AOT152" s="107"/>
      <c r="AOU152" s="107"/>
      <c r="AOV152" s="108"/>
      <c r="AOX152" s="109"/>
      <c r="AOY152" s="107"/>
      <c r="AOZ152" s="107"/>
      <c r="APG152" s="107"/>
      <c r="APH152" s="107"/>
      <c r="API152" s="108"/>
      <c r="APK152" s="109"/>
      <c r="APL152" s="107"/>
      <c r="APM152" s="107"/>
      <c r="APT152" s="107"/>
      <c r="APU152" s="107"/>
      <c r="APV152" s="108"/>
      <c r="APX152" s="109"/>
      <c r="APY152" s="107"/>
      <c r="APZ152" s="107"/>
      <c r="AQG152" s="107"/>
      <c r="AQH152" s="107"/>
      <c r="AQI152" s="108"/>
      <c r="AQK152" s="109"/>
      <c r="AQL152" s="107"/>
      <c r="AQM152" s="107"/>
      <c r="AQT152" s="107"/>
      <c r="AQU152" s="107"/>
      <c r="AQV152" s="108"/>
      <c r="AQX152" s="109"/>
      <c r="AQY152" s="107"/>
      <c r="AQZ152" s="107"/>
      <c r="ARG152" s="107"/>
      <c r="ARH152" s="107"/>
      <c r="ARI152" s="108"/>
      <c r="ARK152" s="109"/>
      <c r="ARL152" s="107"/>
      <c r="ARM152" s="107"/>
      <c r="ART152" s="107"/>
      <c r="ARU152" s="107"/>
      <c r="ARV152" s="108"/>
      <c r="ARX152" s="109"/>
      <c r="ARY152" s="107"/>
      <c r="ARZ152" s="107"/>
      <c r="ASG152" s="107"/>
      <c r="ASH152" s="107"/>
      <c r="ASI152" s="108"/>
      <c r="ASK152" s="109"/>
      <c r="ASL152" s="107"/>
      <c r="ASM152" s="107"/>
      <c r="AST152" s="107"/>
      <c r="ASU152" s="107"/>
      <c r="ASV152" s="108"/>
      <c r="ASX152" s="109"/>
      <c r="ASY152" s="107"/>
      <c r="ASZ152" s="107"/>
      <c r="ATG152" s="107"/>
      <c r="ATH152" s="107"/>
      <c r="ATI152" s="108"/>
      <c r="ATK152" s="109"/>
      <c r="ATL152" s="107"/>
      <c r="ATM152" s="107"/>
      <c r="ATT152" s="107"/>
      <c r="ATU152" s="107"/>
      <c r="ATV152" s="108"/>
      <c r="ATX152" s="109"/>
      <c r="ATY152" s="107"/>
      <c r="ATZ152" s="107"/>
      <c r="AUG152" s="107"/>
      <c r="AUH152" s="107"/>
      <c r="AUI152" s="108"/>
      <c r="AUK152" s="109"/>
      <c r="AUL152" s="107"/>
      <c r="AUM152" s="107"/>
      <c r="AUT152" s="107"/>
      <c r="AUU152" s="107"/>
      <c r="AUV152" s="108"/>
      <c r="AUX152" s="109"/>
      <c r="AUY152" s="107"/>
      <c r="AUZ152" s="107"/>
      <c r="AVG152" s="107"/>
      <c r="AVH152" s="107"/>
      <c r="AVI152" s="108"/>
      <c r="AVK152" s="109"/>
      <c r="AVL152" s="107"/>
      <c r="AVM152" s="107"/>
      <c r="AVT152" s="107"/>
      <c r="AVU152" s="107"/>
      <c r="AVV152" s="108"/>
      <c r="AVX152" s="109"/>
      <c r="AVY152" s="107"/>
      <c r="AVZ152" s="107"/>
      <c r="AWG152" s="107"/>
      <c r="AWH152" s="107"/>
      <c r="AWI152" s="108"/>
      <c r="AWK152" s="109"/>
      <c r="AWL152" s="107"/>
      <c r="AWM152" s="107"/>
      <c r="AWT152" s="107"/>
      <c r="AWU152" s="107"/>
      <c r="AWV152" s="108"/>
      <c r="AWX152" s="109"/>
      <c r="AWY152" s="107"/>
      <c r="AWZ152" s="107"/>
      <c r="AXG152" s="107"/>
      <c r="AXH152" s="107"/>
      <c r="AXI152" s="108"/>
      <c r="AXK152" s="109"/>
      <c r="AXL152" s="107"/>
      <c r="AXM152" s="107"/>
      <c r="AXT152" s="107"/>
      <c r="AXU152" s="107"/>
      <c r="AXV152" s="108"/>
      <c r="AXX152" s="109"/>
      <c r="AXY152" s="107"/>
      <c r="AXZ152" s="107"/>
      <c r="AYG152" s="107"/>
      <c r="AYH152" s="107"/>
      <c r="AYI152" s="108"/>
      <c r="AYK152" s="109"/>
      <c r="AYL152" s="107"/>
      <c r="AYM152" s="107"/>
      <c r="AYT152" s="107"/>
      <c r="AYU152" s="107"/>
      <c r="AYV152" s="108"/>
      <c r="AYX152" s="109"/>
      <c r="AYY152" s="107"/>
      <c r="AYZ152" s="107"/>
      <c r="AZG152" s="107"/>
      <c r="AZH152" s="107"/>
      <c r="AZI152" s="108"/>
      <c r="AZK152" s="109"/>
      <c r="AZL152" s="107"/>
      <c r="AZM152" s="107"/>
      <c r="AZT152" s="107"/>
      <c r="AZU152" s="107"/>
      <c r="AZV152" s="108"/>
      <c r="AZX152" s="109"/>
      <c r="AZY152" s="107"/>
      <c r="AZZ152" s="107"/>
      <c r="BAG152" s="107"/>
      <c r="BAH152" s="107"/>
      <c r="BAI152" s="108"/>
      <c r="BAK152" s="109"/>
      <c r="BAL152" s="107"/>
      <c r="BAM152" s="107"/>
      <c r="BAT152" s="107"/>
      <c r="BAU152" s="107"/>
      <c r="BAV152" s="108"/>
      <c r="BAX152" s="109"/>
      <c r="BAY152" s="107"/>
      <c r="BAZ152" s="107"/>
      <c r="BBG152" s="107"/>
      <c r="BBH152" s="107"/>
      <c r="BBI152" s="108"/>
      <c r="BBK152" s="109"/>
      <c r="BBL152" s="107"/>
      <c r="BBM152" s="107"/>
      <c r="BBT152" s="107"/>
      <c r="BBU152" s="107"/>
      <c r="BBV152" s="108"/>
      <c r="BBX152" s="109"/>
      <c r="BBY152" s="107"/>
      <c r="BBZ152" s="107"/>
      <c r="BCG152" s="107"/>
      <c r="BCH152" s="107"/>
      <c r="BCI152" s="108"/>
      <c r="BCK152" s="109"/>
      <c r="BCL152" s="107"/>
      <c r="BCM152" s="107"/>
      <c r="BCT152" s="107"/>
      <c r="BCU152" s="107"/>
      <c r="BCV152" s="108"/>
      <c r="BCX152" s="109"/>
      <c r="BCY152" s="107"/>
      <c r="BCZ152" s="107"/>
      <c r="BDG152" s="107"/>
      <c r="BDH152" s="107"/>
      <c r="BDI152" s="108"/>
      <c r="BDK152" s="109"/>
      <c r="BDL152" s="107"/>
      <c r="BDM152" s="107"/>
      <c r="BDT152" s="107"/>
      <c r="BDU152" s="107"/>
      <c r="BDV152" s="108"/>
      <c r="BDX152" s="109"/>
      <c r="BDY152" s="107"/>
      <c r="BDZ152" s="107"/>
      <c r="BEG152" s="107"/>
      <c r="BEH152" s="107"/>
      <c r="BEI152" s="108"/>
      <c r="BEK152" s="109"/>
      <c r="BEL152" s="107"/>
      <c r="BEM152" s="107"/>
      <c r="BET152" s="107"/>
      <c r="BEU152" s="107"/>
      <c r="BEV152" s="108"/>
      <c r="BEX152" s="109"/>
      <c r="BEY152" s="107"/>
      <c r="BEZ152" s="107"/>
      <c r="BFG152" s="107"/>
      <c r="BFH152" s="107"/>
      <c r="BFI152" s="108"/>
      <c r="BFK152" s="109"/>
      <c r="BFL152" s="107"/>
      <c r="BFM152" s="107"/>
      <c r="BFT152" s="107"/>
      <c r="BFU152" s="107"/>
      <c r="BFV152" s="108"/>
      <c r="BFX152" s="109"/>
      <c r="BFY152" s="107"/>
      <c r="BFZ152" s="107"/>
      <c r="BGG152" s="107"/>
      <c r="BGH152" s="107"/>
      <c r="BGI152" s="108"/>
      <c r="BGK152" s="109"/>
      <c r="BGL152" s="107"/>
      <c r="BGM152" s="107"/>
      <c r="BGT152" s="107"/>
      <c r="BGU152" s="107"/>
      <c r="BGV152" s="108"/>
      <c r="BGX152" s="109"/>
      <c r="BGY152" s="107"/>
      <c r="BGZ152" s="107"/>
      <c r="BHG152" s="107"/>
      <c r="BHH152" s="107"/>
      <c r="BHI152" s="108"/>
      <c r="BHK152" s="109"/>
      <c r="BHL152" s="107"/>
      <c r="BHM152" s="107"/>
      <c r="BHT152" s="107"/>
      <c r="BHU152" s="107"/>
      <c r="BHV152" s="108"/>
      <c r="BHX152" s="109"/>
      <c r="BHY152" s="107"/>
      <c r="BHZ152" s="107"/>
      <c r="BIG152" s="107"/>
      <c r="BIH152" s="107"/>
      <c r="BII152" s="108"/>
      <c r="BIK152" s="109"/>
      <c r="BIL152" s="107"/>
      <c r="BIM152" s="107"/>
      <c r="BIT152" s="107"/>
      <c r="BIU152" s="107"/>
      <c r="BIV152" s="108"/>
      <c r="BIX152" s="109"/>
      <c r="BIY152" s="107"/>
      <c r="BIZ152" s="107"/>
      <c r="BJG152" s="107"/>
      <c r="BJH152" s="107"/>
      <c r="BJI152" s="108"/>
      <c r="BJK152" s="109"/>
      <c r="BJL152" s="107"/>
      <c r="BJM152" s="107"/>
      <c r="BJT152" s="107"/>
      <c r="BJU152" s="107"/>
      <c r="BJV152" s="108"/>
      <c r="BJX152" s="109"/>
      <c r="BJY152" s="107"/>
      <c r="BJZ152" s="107"/>
      <c r="BKG152" s="107"/>
      <c r="BKH152" s="107"/>
      <c r="BKI152" s="108"/>
      <c r="BKK152" s="109"/>
      <c r="BKL152" s="107"/>
      <c r="BKM152" s="107"/>
      <c r="BKT152" s="107"/>
      <c r="BKU152" s="107"/>
      <c r="BKV152" s="108"/>
      <c r="BKX152" s="109"/>
      <c r="BKY152" s="107"/>
      <c r="BKZ152" s="107"/>
      <c r="BLG152" s="107"/>
      <c r="BLH152" s="107"/>
      <c r="BLI152" s="108"/>
      <c r="BLK152" s="109"/>
      <c r="BLL152" s="107"/>
      <c r="BLM152" s="107"/>
      <c r="BLT152" s="107"/>
      <c r="BLU152" s="107"/>
      <c r="BLV152" s="108"/>
      <c r="BLX152" s="109"/>
      <c r="BLY152" s="107"/>
      <c r="BLZ152" s="107"/>
      <c r="BMG152" s="107"/>
      <c r="BMH152" s="107"/>
      <c r="BMI152" s="108"/>
      <c r="BMK152" s="109"/>
      <c r="BML152" s="107"/>
      <c r="BMM152" s="107"/>
      <c r="BMT152" s="107"/>
      <c r="BMU152" s="107"/>
      <c r="BMV152" s="108"/>
      <c r="BMX152" s="109"/>
      <c r="BMY152" s="107"/>
      <c r="BMZ152" s="107"/>
      <c r="BNG152" s="107"/>
      <c r="BNH152" s="107"/>
      <c r="BNI152" s="108"/>
      <c r="BNK152" s="109"/>
      <c r="BNL152" s="107"/>
      <c r="BNM152" s="107"/>
      <c r="BNT152" s="107"/>
      <c r="BNU152" s="107"/>
      <c r="BNV152" s="108"/>
      <c r="BNX152" s="109"/>
      <c r="BNY152" s="107"/>
      <c r="BNZ152" s="107"/>
      <c r="BOG152" s="107"/>
      <c r="BOH152" s="107"/>
      <c r="BOI152" s="108"/>
      <c r="BOK152" s="109"/>
      <c r="BOL152" s="107"/>
      <c r="BOM152" s="107"/>
      <c r="BOT152" s="107"/>
      <c r="BOU152" s="107"/>
      <c r="BOV152" s="108"/>
      <c r="BOX152" s="109"/>
      <c r="BOY152" s="107"/>
      <c r="BOZ152" s="107"/>
      <c r="BPG152" s="107"/>
      <c r="BPH152" s="107"/>
      <c r="BPI152" s="108"/>
      <c r="BPK152" s="109"/>
      <c r="BPL152" s="107"/>
      <c r="BPM152" s="107"/>
      <c r="BPT152" s="107"/>
      <c r="BPU152" s="107"/>
      <c r="BPV152" s="108"/>
      <c r="BPX152" s="109"/>
      <c r="BPY152" s="107"/>
      <c r="BPZ152" s="107"/>
      <c r="BQG152" s="107"/>
      <c r="BQH152" s="107"/>
      <c r="BQI152" s="108"/>
      <c r="BQK152" s="109"/>
      <c r="BQL152" s="107"/>
      <c r="BQM152" s="107"/>
      <c r="BQT152" s="107"/>
      <c r="BQU152" s="107"/>
      <c r="BQV152" s="108"/>
      <c r="BQX152" s="109"/>
      <c r="BQY152" s="107"/>
      <c r="BQZ152" s="107"/>
      <c r="BRG152" s="107"/>
      <c r="BRH152" s="107"/>
      <c r="BRI152" s="108"/>
      <c r="BRK152" s="109"/>
      <c r="BRL152" s="107"/>
      <c r="BRM152" s="107"/>
      <c r="BRT152" s="107"/>
      <c r="BRU152" s="107"/>
      <c r="BRV152" s="108"/>
      <c r="BRX152" s="109"/>
      <c r="BRY152" s="107"/>
      <c r="BRZ152" s="107"/>
      <c r="BSG152" s="107"/>
      <c r="BSH152" s="107"/>
      <c r="BSI152" s="108"/>
      <c r="BSK152" s="109"/>
      <c r="BSL152" s="107"/>
      <c r="BSM152" s="107"/>
      <c r="BST152" s="107"/>
      <c r="BSU152" s="107"/>
      <c r="BSV152" s="108"/>
      <c r="BSX152" s="109"/>
      <c r="BSY152" s="107"/>
      <c r="BSZ152" s="107"/>
      <c r="BTG152" s="107"/>
      <c r="BTH152" s="107"/>
      <c r="BTI152" s="108"/>
      <c r="BTK152" s="109"/>
      <c r="BTL152" s="107"/>
      <c r="BTM152" s="107"/>
      <c r="BTT152" s="107"/>
      <c r="BTU152" s="107"/>
      <c r="BTV152" s="108"/>
      <c r="BTX152" s="109"/>
      <c r="BTY152" s="107"/>
      <c r="BTZ152" s="107"/>
      <c r="BUG152" s="107"/>
      <c r="BUH152" s="107"/>
      <c r="BUI152" s="108"/>
      <c r="BUK152" s="109"/>
      <c r="BUL152" s="107"/>
      <c r="BUM152" s="107"/>
      <c r="BUT152" s="107"/>
      <c r="BUU152" s="107"/>
      <c r="BUV152" s="108"/>
      <c r="BUX152" s="109"/>
      <c r="BUY152" s="107"/>
      <c r="BUZ152" s="107"/>
      <c r="BVG152" s="107"/>
      <c r="BVH152" s="107"/>
      <c r="BVI152" s="108"/>
      <c r="BVK152" s="109"/>
      <c r="BVL152" s="107"/>
      <c r="BVM152" s="107"/>
      <c r="BVT152" s="107"/>
      <c r="BVU152" s="107"/>
      <c r="BVV152" s="108"/>
      <c r="BVX152" s="109"/>
      <c r="BVY152" s="107"/>
      <c r="BVZ152" s="107"/>
      <c r="BWG152" s="107"/>
      <c r="BWH152" s="107"/>
      <c r="BWI152" s="108"/>
      <c r="BWK152" s="109"/>
      <c r="BWL152" s="107"/>
      <c r="BWM152" s="107"/>
      <c r="BWT152" s="107"/>
      <c r="BWU152" s="107"/>
      <c r="BWV152" s="108"/>
      <c r="BWX152" s="109"/>
      <c r="BWY152" s="107"/>
      <c r="BWZ152" s="107"/>
      <c r="BXG152" s="107"/>
      <c r="BXH152" s="107"/>
      <c r="BXI152" s="108"/>
      <c r="BXK152" s="109"/>
      <c r="BXL152" s="107"/>
      <c r="BXM152" s="107"/>
      <c r="BXT152" s="107"/>
      <c r="BXU152" s="107"/>
      <c r="BXV152" s="108"/>
      <c r="BXX152" s="109"/>
      <c r="BXY152" s="107"/>
      <c r="BXZ152" s="107"/>
      <c r="BYG152" s="107"/>
      <c r="BYH152" s="107"/>
      <c r="BYI152" s="108"/>
      <c r="BYK152" s="109"/>
      <c r="BYL152" s="107"/>
      <c r="BYM152" s="107"/>
      <c r="BYT152" s="107"/>
      <c r="BYU152" s="107"/>
      <c r="BYV152" s="108"/>
      <c r="BYX152" s="109"/>
      <c r="BYY152" s="107"/>
      <c r="BYZ152" s="107"/>
      <c r="BZG152" s="107"/>
      <c r="BZH152" s="107"/>
      <c r="BZI152" s="108"/>
      <c r="BZK152" s="109"/>
      <c r="BZL152" s="107"/>
      <c r="BZM152" s="107"/>
      <c r="BZT152" s="107"/>
      <c r="BZU152" s="107"/>
      <c r="BZV152" s="108"/>
      <c r="BZX152" s="109"/>
      <c r="BZY152" s="107"/>
      <c r="BZZ152" s="107"/>
      <c r="CAG152" s="107"/>
      <c r="CAH152" s="107"/>
      <c r="CAI152" s="108"/>
      <c r="CAK152" s="109"/>
      <c r="CAL152" s="107"/>
      <c r="CAM152" s="107"/>
      <c r="CAT152" s="107"/>
      <c r="CAU152" s="107"/>
      <c r="CAV152" s="108"/>
      <c r="CAX152" s="109"/>
      <c r="CAY152" s="107"/>
      <c r="CAZ152" s="107"/>
      <c r="CBG152" s="107"/>
      <c r="CBH152" s="107"/>
      <c r="CBI152" s="108"/>
      <c r="CBK152" s="109"/>
      <c r="CBL152" s="107"/>
      <c r="CBM152" s="107"/>
      <c r="CBT152" s="107"/>
      <c r="CBU152" s="107"/>
      <c r="CBV152" s="108"/>
      <c r="CBX152" s="109"/>
      <c r="CBY152" s="107"/>
      <c r="CBZ152" s="107"/>
      <c r="CCG152" s="107"/>
      <c r="CCH152" s="107"/>
      <c r="CCI152" s="108"/>
      <c r="CCK152" s="109"/>
      <c r="CCL152" s="107"/>
      <c r="CCM152" s="107"/>
      <c r="CCT152" s="107"/>
      <c r="CCU152" s="107"/>
      <c r="CCV152" s="108"/>
      <c r="CCX152" s="109"/>
      <c r="CCY152" s="107"/>
      <c r="CCZ152" s="107"/>
      <c r="CDG152" s="107"/>
      <c r="CDH152" s="107"/>
      <c r="CDI152" s="108"/>
      <c r="CDK152" s="109"/>
      <c r="CDL152" s="107"/>
      <c r="CDM152" s="107"/>
      <c r="CDT152" s="107"/>
      <c r="CDU152" s="107"/>
      <c r="CDV152" s="108"/>
      <c r="CDX152" s="109"/>
      <c r="CDY152" s="107"/>
      <c r="CDZ152" s="107"/>
      <c r="CEG152" s="107"/>
      <c r="CEH152" s="107"/>
      <c r="CEI152" s="108"/>
      <c r="CEK152" s="109"/>
      <c r="CEL152" s="107"/>
      <c r="CEM152" s="107"/>
      <c r="CET152" s="107"/>
      <c r="CEU152" s="107"/>
      <c r="CEV152" s="108"/>
      <c r="CEX152" s="109"/>
      <c r="CEY152" s="107"/>
      <c r="CEZ152" s="107"/>
      <c r="CFG152" s="107"/>
      <c r="CFH152" s="107"/>
      <c r="CFI152" s="108"/>
      <c r="CFK152" s="109"/>
      <c r="CFL152" s="107"/>
      <c r="CFM152" s="107"/>
      <c r="CFT152" s="107"/>
      <c r="CFU152" s="107"/>
      <c r="CFV152" s="108"/>
      <c r="CFX152" s="109"/>
      <c r="CFY152" s="107"/>
      <c r="CFZ152" s="107"/>
      <c r="CGG152" s="107"/>
      <c r="CGH152" s="107"/>
      <c r="CGI152" s="108"/>
      <c r="CGK152" s="109"/>
      <c r="CGL152" s="107"/>
      <c r="CGM152" s="107"/>
      <c r="CGT152" s="107"/>
      <c r="CGU152" s="107"/>
      <c r="CGV152" s="108"/>
      <c r="CGX152" s="109"/>
      <c r="CGY152" s="107"/>
      <c r="CGZ152" s="107"/>
      <c r="CHG152" s="107"/>
      <c r="CHH152" s="107"/>
      <c r="CHI152" s="108"/>
      <c r="CHK152" s="109"/>
      <c r="CHL152" s="107"/>
      <c r="CHM152" s="107"/>
      <c r="CHT152" s="107"/>
      <c r="CHU152" s="107"/>
      <c r="CHV152" s="108"/>
      <c r="CHX152" s="109"/>
      <c r="CHY152" s="107"/>
      <c r="CHZ152" s="107"/>
      <c r="CIG152" s="107"/>
      <c r="CIH152" s="107"/>
      <c r="CII152" s="108"/>
      <c r="CIK152" s="109"/>
      <c r="CIL152" s="107"/>
      <c r="CIM152" s="107"/>
      <c r="CIT152" s="107"/>
      <c r="CIU152" s="107"/>
      <c r="CIV152" s="108"/>
      <c r="CIX152" s="109"/>
      <c r="CIY152" s="107"/>
      <c r="CIZ152" s="107"/>
      <c r="CJG152" s="107"/>
      <c r="CJH152" s="107"/>
      <c r="CJI152" s="108"/>
      <c r="CJK152" s="109"/>
      <c r="CJL152" s="107"/>
      <c r="CJM152" s="107"/>
      <c r="CJT152" s="107"/>
      <c r="CJU152" s="107"/>
      <c r="CJV152" s="108"/>
      <c r="CJX152" s="109"/>
      <c r="CJY152" s="107"/>
      <c r="CJZ152" s="107"/>
      <c r="CKG152" s="107"/>
      <c r="CKH152" s="107"/>
      <c r="CKI152" s="108"/>
      <c r="CKK152" s="109"/>
      <c r="CKL152" s="107"/>
      <c r="CKM152" s="107"/>
      <c r="CKT152" s="107"/>
      <c r="CKU152" s="107"/>
      <c r="CKV152" s="108"/>
      <c r="CKX152" s="109"/>
      <c r="CKY152" s="107"/>
      <c r="CKZ152" s="107"/>
      <c r="CLG152" s="107"/>
      <c r="CLH152" s="107"/>
      <c r="CLI152" s="108"/>
      <c r="CLK152" s="109"/>
      <c r="CLL152" s="107"/>
      <c r="CLM152" s="107"/>
      <c r="CLT152" s="107"/>
      <c r="CLU152" s="107"/>
      <c r="CLV152" s="108"/>
      <c r="CLX152" s="109"/>
      <c r="CLY152" s="107"/>
      <c r="CLZ152" s="107"/>
      <c r="CMG152" s="107"/>
      <c r="CMH152" s="107"/>
      <c r="CMI152" s="108"/>
      <c r="CMK152" s="109"/>
      <c r="CML152" s="107"/>
      <c r="CMM152" s="107"/>
      <c r="CMT152" s="107"/>
      <c r="CMU152" s="107"/>
      <c r="CMV152" s="108"/>
      <c r="CMX152" s="109"/>
      <c r="CMY152" s="107"/>
      <c r="CMZ152" s="107"/>
      <c r="CNG152" s="107"/>
      <c r="CNH152" s="107"/>
      <c r="CNI152" s="108"/>
      <c r="CNK152" s="109"/>
      <c r="CNL152" s="107"/>
      <c r="CNM152" s="107"/>
      <c r="CNT152" s="107"/>
      <c r="CNU152" s="107"/>
      <c r="CNV152" s="108"/>
      <c r="CNX152" s="109"/>
      <c r="CNY152" s="107"/>
      <c r="CNZ152" s="107"/>
      <c r="COG152" s="107"/>
      <c r="COH152" s="107"/>
      <c r="COI152" s="108"/>
      <c r="COK152" s="109"/>
      <c r="COL152" s="107"/>
      <c r="COM152" s="107"/>
      <c r="COT152" s="107"/>
      <c r="COU152" s="107"/>
      <c r="COV152" s="108"/>
      <c r="COX152" s="109"/>
      <c r="COY152" s="107"/>
      <c r="COZ152" s="107"/>
      <c r="CPG152" s="107"/>
      <c r="CPH152" s="107"/>
      <c r="CPI152" s="108"/>
      <c r="CPK152" s="109"/>
      <c r="CPL152" s="107"/>
      <c r="CPM152" s="107"/>
      <c r="CPT152" s="107"/>
      <c r="CPU152" s="107"/>
      <c r="CPV152" s="108"/>
      <c r="CPX152" s="109"/>
      <c r="CPY152" s="107"/>
      <c r="CPZ152" s="107"/>
      <c r="CQG152" s="107"/>
      <c r="CQH152" s="107"/>
      <c r="CQI152" s="108"/>
      <c r="CQK152" s="109"/>
      <c r="CQL152" s="107"/>
      <c r="CQM152" s="107"/>
      <c r="CQT152" s="107"/>
      <c r="CQU152" s="107"/>
      <c r="CQV152" s="108"/>
      <c r="CQX152" s="109"/>
      <c r="CQY152" s="107"/>
      <c r="CQZ152" s="107"/>
      <c r="CRG152" s="107"/>
      <c r="CRH152" s="107"/>
      <c r="CRI152" s="108"/>
      <c r="CRK152" s="109"/>
      <c r="CRL152" s="107"/>
      <c r="CRM152" s="107"/>
      <c r="CRT152" s="107"/>
      <c r="CRU152" s="107"/>
      <c r="CRV152" s="108"/>
      <c r="CRX152" s="109"/>
      <c r="CRY152" s="107"/>
      <c r="CRZ152" s="107"/>
      <c r="CSG152" s="107"/>
      <c r="CSH152" s="107"/>
      <c r="CSI152" s="108"/>
      <c r="CSK152" s="109"/>
      <c r="CSL152" s="107"/>
      <c r="CSM152" s="107"/>
      <c r="CST152" s="107"/>
      <c r="CSU152" s="107"/>
      <c r="CSV152" s="108"/>
      <c r="CSX152" s="109"/>
      <c r="CSY152" s="107"/>
      <c r="CSZ152" s="107"/>
      <c r="CTG152" s="107"/>
      <c r="CTH152" s="107"/>
      <c r="CTI152" s="108"/>
      <c r="CTK152" s="109"/>
      <c r="CTL152" s="107"/>
      <c r="CTM152" s="107"/>
      <c r="CTT152" s="107"/>
      <c r="CTU152" s="107"/>
      <c r="CTV152" s="108"/>
      <c r="CTX152" s="109"/>
      <c r="CTY152" s="107"/>
      <c r="CTZ152" s="107"/>
      <c r="CUG152" s="107"/>
      <c r="CUH152" s="107"/>
      <c r="CUI152" s="108"/>
      <c r="CUK152" s="109"/>
      <c r="CUL152" s="107"/>
      <c r="CUM152" s="107"/>
      <c r="CUT152" s="107"/>
      <c r="CUU152" s="107"/>
      <c r="CUV152" s="108"/>
      <c r="CUX152" s="109"/>
      <c r="CUY152" s="107"/>
      <c r="CUZ152" s="107"/>
      <c r="CVG152" s="107"/>
      <c r="CVH152" s="107"/>
      <c r="CVI152" s="108"/>
      <c r="CVK152" s="109"/>
      <c r="CVL152" s="107"/>
      <c r="CVM152" s="107"/>
      <c r="CVT152" s="107"/>
      <c r="CVU152" s="107"/>
      <c r="CVV152" s="108"/>
      <c r="CVX152" s="109"/>
      <c r="CVY152" s="107"/>
      <c r="CVZ152" s="107"/>
      <c r="CWG152" s="107"/>
      <c r="CWH152" s="107"/>
      <c r="CWI152" s="108"/>
      <c r="CWK152" s="109"/>
      <c r="CWL152" s="107"/>
      <c r="CWM152" s="107"/>
      <c r="CWT152" s="107"/>
      <c r="CWU152" s="107"/>
      <c r="CWV152" s="108"/>
      <c r="CWX152" s="109"/>
      <c r="CWY152" s="107"/>
      <c r="CWZ152" s="107"/>
      <c r="CXG152" s="107"/>
      <c r="CXH152" s="107"/>
      <c r="CXI152" s="108"/>
      <c r="CXK152" s="109"/>
      <c r="CXL152" s="107"/>
      <c r="CXM152" s="107"/>
      <c r="CXT152" s="107"/>
      <c r="CXU152" s="107"/>
      <c r="CXV152" s="108"/>
      <c r="CXX152" s="109"/>
      <c r="CXY152" s="107"/>
      <c r="CXZ152" s="107"/>
      <c r="CYG152" s="107"/>
      <c r="CYH152" s="107"/>
      <c r="CYI152" s="108"/>
      <c r="CYK152" s="109"/>
      <c r="CYL152" s="107"/>
      <c r="CYM152" s="107"/>
      <c r="CYT152" s="107"/>
      <c r="CYU152" s="107"/>
      <c r="CYV152" s="108"/>
      <c r="CYX152" s="109"/>
      <c r="CYY152" s="107"/>
      <c r="CYZ152" s="107"/>
      <c r="CZG152" s="107"/>
      <c r="CZH152" s="107"/>
      <c r="CZI152" s="108"/>
      <c r="CZK152" s="109"/>
      <c r="CZL152" s="107"/>
      <c r="CZM152" s="107"/>
      <c r="CZT152" s="107"/>
      <c r="CZU152" s="107"/>
      <c r="CZV152" s="108"/>
      <c r="CZX152" s="109"/>
      <c r="CZY152" s="107"/>
      <c r="CZZ152" s="107"/>
      <c r="DAG152" s="107"/>
      <c r="DAH152" s="107"/>
      <c r="DAI152" s="108"/>
      <c r="DAK152" s="109"/>
      <c r="DAL152" s="107"/>
      <c r="DAM152" s="107"/>
      <c r="DAT152" s="107"/>
      <c r="DAU152" s="107"/>
      <c r="DAV152" s="108"/>
      <c r="DAX152" s="109"/>
      <c r="DAY152" s="107"/>
      <c r="DAZ152" s="107"/>
      <c r="DBG152" s="107"/>
      <c r="DBH152" s="107"/>
      <c r="DBI152" s="108"/>
      <c r="DBK152" s="109"/>
      <c r="DBL152" s="107"/>
      <c r="DBM152" s="107"/>
      <c r="DBT152" s="107"/>
      <c r="DBU152" s="107"/>
      <c r="DBV152" s="108"/>
      <c r="DBX152" s="109"/>
      <c r="DBY152" s="107"/>
      <c r="DBZ152" s="107"/>
      <c r="DCG152" s="107"/>
      <c r="DCH152" s="107"/>
      <c r="DCI152" s="108"/>
      <c r="DCK152" s="109"/>
      <c r="DCL152" s="107"/>
      <c r="DCM152" s="107"/>
      <c r="DCT152" s="107"/>
      <c r="DCU152" s="107"/>
      <c r="DCV152" s="108"/>
      <c r="DCX152" s="109"/>
      <c r="DCY152" s="107"/>
      <c r="DCZ152" s="107"/>
      <c r="DDG152" s="107"/>
      <c r="DDH152" s="107"/>
      <c r="DDI152" s="108"/>
      <c r="DDK152" s="109"/>
      <c r="DDL152" s="107"/>
      <c r="DDM152" s="107"/>
      <c r="DDT152" s="107"/>
      <c r="DDU152" s="107"/>
      <c r="DDV152" s="108"/>
      <c r="DDX152" s="109"/>
      <c r="DDY152" s="107"/>
      <c r="DDZ152" s="107"/>
      <c r="DEG152" s="107"/>
      <c r="DEH152" s="107"/>
      <c r="DEI152" s="108"/>
      <c r="DEK152" s="109"/>
      <c r="DEL152" s="107"/>
      <c r="DEM152" s="107"/>
      <c r="DET152" s="107"/>
      <c r="DEU152" s="107"/>
      <c r="DEV152" s="108"/>
      <c r="DEX152" s="109"/>
      <c r="DEY152" s="107"/>
      <c r="DEZ152" s="107"/>
      <c r="DFG152" s="107"/>
      <c r="DFH152" s="107"/>
      <c r="DFI152" s="108"/>
      <c r="DFK152" s="109"/>
      <c r="DFL152" s="107"/>
      <c r="DFM152" s="107"/>
      <c r="DFT152" s="107"/>
      <c r="DFU152" s="107"/>
      <c r="DFV152" s="108"/>
      <c r="DFX152" s="109"/>
      <c r="DFY152" s="107"/>
      <c r="DFZ152" s="107"/>
      <c r="DGG152" s="107"/>
      <c r="DGH152" s="107"/>
      <c r="DGI152" s="108"/>
      <c r="DGK152" s="109"/>
      <c r="DGL152" s="107"/>
      <c r="DGM152" s="107"/>
      <c r="DGT152" s="107"/>
      <c r="DGU152" s="107"/>
      <c r="DGV152" s="108"/>
      <c r="DGX152" s="109"/>
      <c r="DGY152" s="107"/>
      <c r="DGZ152" s="107"/>
      <c r="DHG152" s="107"/>
      <c r="DHH152" s="107"/>
      <c r="DHI152" s="108"/>
      <c r="DHK152" s="109"/>
      <c r="DHL152" s="107"/>
      <c r="DHM152" s="107"/>
      <c r="DHT152" s="107"/>
      <c r="DHU152" s="107"/>
      <c r="DHV152" s="108"/>
      <c r="DHX152" s="109"/>
      <c r="DHY152" s="107"/>
      <c r="DHZ152" s="107"/>
      <c r="DIG152" s="107"/>
      <c r="DIH152" s="107"/>
      <c r="DII152" s="108"/>
      <c r="DIK152" s="109"/>
      <c r="DIL152" s="107"/>
      <c r="DIM152" s="107"/>
      <c r="DIT152" s="107"/>
      <c r="DIU152" s="107"/>
      <c r="DIV152" s="108"/>
      <c r="DIX152" s="109"/>
      <c r="DIY152" s="107"/>
      <c r="DIZ152" s="107"/>
      <c r="DJG152" s="107"/>
      <c r="DJH152" s="107"/>
      <c r="DJI152" s="108"/>
      <c r="DJK152" s="109"/>
      <c r="DJL152" s="107"/>
      <c r="DJM152" s="107"/>
      <c r="DJT152" s="107"/>
      <c r="DJU152" s="107"/>
      <c r="DJV152" s="108"/>
      <c r="DJX152" s="109"/>
      <c r="DJY152" s="107"/>
      <c r="DJZ152" s="107"/>
      <c r="DKG152" s="107"/>
      <c r="DKH152" s="107"/>
      <c r="DKI152" s="108"/>
      <c r="DKK152" s="109"/>
      <c r="DKL152" s="107"/>
      <c r="DKM152" s="107"/>
      <c r="DKT152" s="107"/>
      <c r="DKU152" s="107"/>
      <c r="DKV152" s="108"/>
      <c r="DKX152" s="109"/>
      <c r="DKY152" s="107"/>
      <c r="DKZ152" s="107"/>
      <c r="DLG152" s="107"/>
      <c r="DLH152" s="107"/>
      <c r="DLI152" s="108"/>
      <c r="DLK152" s="109"/>
      <c r="DLL152" s="107"/>
      <c r="DLM152" s="107"/>
      <c r="DLT152" s="107"/>
      <c r="DLU152" s="107"/>
      <c r="DLV152" s="108"/>
      <c r="DLX152" s="109"/>
      <c r="DLY152" s="107"/>
      <c r="DLZ152" s="107"/>
      <c r="DMG152" s="107"/>
      <c r="DMH152" s="107"/>
      <c r="DMI152" s="108"/>
      <c r="DMK152" s="109"/>
      <c r="DML152" s="107"/>
      <c r="DMM152" s="107"/>
      <c r="DMT152" s="107"/>
      <c r="DMU152" s="107"/>
      <c r="DMV152" s="108"/>
      <c r="DMX152" s="109"/>
      <c r="DMY152" s="107"/>
      <c r="DMZ152" s="107"/>
      <c r="DNG152" s="107"/>
      <c r="DNH152" s="107"/>
      <c r="DNI152" s="108"/>
      <c r="DNK152" s="109"/>
      <c r="DNL152" s="107"/>
      <c r="DNM152" s="107"/>
      <c r="DNT152" s="107"/>
      <c r="DNU152" s="107"/>
      <c r="DNV152" s="108"/>
      <c r="DNX152" s="109"/>
      <c r="DNY152" s="107"/>
      <c r="DNZ152" s="107"/>
      <c r="DOG152" s="107"/>
      <c r="DOH152" s="107"/>
      <c r="DOI152" s="108"/>
      <c r="DOK152" s="109"/>
      <c r="DOL152" s="107"/>
      <c r="DOM152" s="107"/>
      <c r="DOT152" s="107"/>
      <c r="DOU152" s="107"/>
      <c r="DOV152" s="108"/>
      <c r="DOX152" s="109"/>
      <c r="DOY152" s="107"/>
      <c r="DOZ152" s="107"/>
      <c r="DPG152" s="107"/>
      <c r="DPH152" s="107"/>
      <c r="DPI152" s="108"/>
      <c r="DPK152" s="109"/>
      <c r="DPL152" s="107"/>
      <c r="DPM152" s="107"/>
      <c r="DPT152" s="107"/>
      <c r="DPU152" s="107"/>
      <c r="DPV152" s="108"/>
      <c r="DPX152" s="109"/>
      <c r="DPY152" s="107"/>
      <c r="DPZ152" s="107"/>
      <c r="DQG152" s="107"/>
      <c r="DQH152" s="107"/>
      <c r="DQI152" s="108"/>
      <c r="DQK152" s="109"/>
      <c r="DQL152" s="107"/>
      <c r="DQM152" s="107"/>
      <c r="DQT152" s="107"/>
      <c r="DQU152" s="107"/>
      <c r="DQV152" s="108"/>
      <c r="DQX152" s="109"/>
      <c r="DQY152" s="107"/>
      <c r="DQZ152" s="107"/>
      <c r="DRG152" s="107"/>
      <c r="DRH152" s="107"/>
      <c r="DRI152" s="108"/>
      <c r="DRK152" s="109"/>
      <c r="DRL152" s="107"/>
      <c r="DRM152" s="107"/>
      <c r="DRT152" s="107"/>
      <c r="DRU152" s="107"/>
      <c r="DRV152" s="108"/>
      <c r="DRX152" s="109"/>
      <c r="DRY152" s="107"/>
      <c r="DRZ152" s="107"/>
      <c r="DSG152" s="107"/>
      <c r="DSH152" s="107"/>
      <c r="DSI152" s="108"/>
      <c r="DSK152" s="109"/>
      <c r="DSL152" s="107"/>
      <c r="DSM152" s="107"/>
      <c r="DST152" s="107"/>
      <c r="DSU152" s="107"/>
      <c r="DSV152" s="108"/>
      <c r="DSX152" s="109"/>
      <c r="DSY152" s="107"/>
      <c r="DSZ152" s="107"/>
      <c r="DTG152" s="107"/>
      <c r="DTH152" s="107"/>
      <c r="DTI152" s="108"/>
      <c r="DTK152" s="109"/>
      <c r="DTL152" s="107"/>
      <c r="DTM152" s="107"/>
      <c r="DTT152" s="107"/>
      <c r="DTU152" s="107"/>
      <c r="DTV152" s="108"/>
      <c r="DTX152" s="109"/>
      <c r="DTY152" s="107"/>
      <c r="DTZ152" s="107"/>
      <c r="DUG152" s="107"/>
      <c r="DUH152" s="107"/>
      <c r="DUI152" s="108"/>
      <c r="DUK152" s="109"/>
      <c r="DUL152" s="107"/>
      <c r="DUM152" s="107"/>
      <c r="DUT152" s="107"/>
      <c r="DUU152" s="107"/>
      <c r="DUV152" s="108"/>
      <c r="DUX152" s="109"/>
      <c r="DUY152" s="107"/>
      <c r="DUZ152" s="107"/>
      <c r="DVG152" s="107"/>
      <c r="DVH152" s="107"/>
      <c r="DVI152" s="108"/>
      <c r="DVK152" s="109"/>
      <c r="DVL152" s="107"/>
      <c r="DVM152" s="107"/>
      <c r="DVT152" s="107"/>
      <c r="DVU152" s="107"/>
      <c r="DVV152" s="108"/>
      <c r="DVX152" s="109"/>
      <c r="DVY152" s="107"/>
      <c r="DVZ152" s="107"/>
      <c r="DWG152" s="107"/>
      <c r="DWH152" s="107"/>
      <c r="DWI152" s="108"/>
      <c r="DWK152" s="109"/>
      <c r="DWL152" s="107"/>
      <c r="DWM152" s="107"/>
      <c r="DWT152" s="107"/>
      <c r="DWU152" s="107"/>
      <c r="DWV152" s="108"/>
      <c r="DWX152" s="109"/>
      <c r="DWY152" s="107"/>
      <c r="DWZ152" s="107"/>
      <c r="DXG152" s="107"/>
      <c r="DXH152" s="107"/>
      <c r="DXI152" s="108"/>
      <c r="DXK152" s="109"/>
      <c r="DXL152" s="107"/>
      <c r="DXM152" s="107"/>
      <c r="DXT152" s="107"/>
      <c r="DXU152" s="107"/>
      <c r="DXV152" s="108"/>
      <c r="DXX152" s="109"/>
      <c r="DXY152" s="107"/>
      <c r="DXZ152" s="107"/>
      <c r="DYG152" s="107"/>
      <c r="DYH152" s="107"/>
      <c r="DYI152" s="108"/>
      <c r="DYK152" s="109"/>
      <c r="DYL152" s="107"/>
      <c r="DYM152" s="107"/>
      <c r="DYT152" s="107"/>
      <c r="DYU152" s="107"/>
      <c r="DYV152" s="108"/>
      <c r="DYX152" s="109"/>
      <c r="DYY152" s="107"/>
      <c r="DYZ152" s="107"/>
      <c r="DZG152" s="107"/>
      <c r="DZH152" s="107"/>
      <c r="DZI152" s="108"/>
      <c r="DZK152" s="109"/>
      <c r="DZL152" s="107"/>
      <c r="DZM152" s="107"/>
      <c r="DZT152" s="107"/>
      <c r="DZU152" s="107"/>
      <c r="DZV152" s="108"/>
      <c r="DZX152" s="109"/>
      <c r="DZY152" s="107"/>
      <c r="DZZ152" s="107"/>
      <c r="EAG152" s="107"/>
      <c r="EAH152" s="107"/>
      <c r="EAI152" s="108"/>
      <c r="EAK152" s="109"/>
      <c r="EAL152" s="107"/>
      <c r="EAM152" s="107"/>
      <c r="EAT152" s="107"/>
      <c r="EAU152" s="107"/>
      <c r="EAV152" s="108"/>
      <c r="EAX152" s="109"/>
      <c r="EAY152" s="107"/>
      <c r="EAZ152" s="107"/>
      <c r="EBG152" s="107"/>
      <c r="EBH152" s="107"/>
      <c r="EBI152" s="108"/>
      <c r="EBK152" s="109"/>
      <c r="EBL152" s="107"/>
      <c r="EBM152" s="107"/>
      <c r="EBT152" s="107"/>
      <c r="EBU152" s="107"/>
      <c r="EBV152" s="108"/>
      <c r="EBX152" s="109"/>
      <c r="EBY152" s="107"/>
      <c r="EBZ152" s="107"/>
      <c r="ECG152" s="107"/>
      <c r="ECH152" s="107"/>
      <c r="ECI152" s="108"/>
      <c r="ECK152" s="109"/>
      <c r="ECL152" s="107"/>
      <c r="ECM152" s="107"/>
      <c r="ECT152" s="107"/>
      <c r="ECU152" s="107"/>
      <c r="ECV152" s="108"/>
      <c r="ECX152" s="109"/>
      <c r="ECY152" s="107"/>
      <c r="ECZ152" s="107"/>
      <c r="EDG152" s="107"/>
      <c r="EDH152" s="107"/>
      <c r="EDI152" s="108"/>
      <c r="EDK152" s="109"/>
      <c r="EDL152" s="107"/>
      <c r="EDM152" s="107"/>
      <c r="EDT152" s="107"/>
      <c r="EDU152" s="107"/>
      <c r="EDV152" s="108"/>
      <c r="EDX152" s="109"/>
      <c r="EDY152" s="107"/>
      <c r="EDZ152" s="107"/>
      <c r="EEG152" s="107"/>
      <c r="EEH152" s="107"/>
      <c r="EEI152" s="108"/>
      <c r="EEK152" s="109"/>
      <c r="EEL152" s="107"/>
      <c r="EEM152" s="107"/>
      <c r="EET152" s="107"/>
      <c r="EEU152" s="107"/>
      <c r="EEV152" s="108"/>
      <c r="EEX152" s="109"/>
      <c r="EEY152" s="107"/>
      <c r="EEZ152" s="107"/>
      <c r="EFG152" s="107"/>
      <c r="EFH152" s="107"/>
      <c r="EFI152" s="108"/>
      <c r="EFK152" s="109"/>
      <c r="EFL152" s="107"/>
      <c r="EFM152" s="107"/>
      <c r="EFT152" s="107"/>
      <c r="EFU152" s="107"/>
      <c r="EFV152" s="108"/>
      <c r="EFX152" s="109"/>
      <c r="EFY152" s="107"/>
      <c r="EFZ152" s="107"/>
      <c r="EGG152" s="107"/>
      <c r="EGH152" s="107"/>
      <c r="EGI152" s="108"/>
      <c r="EGK152" s="109"/>
      <c r="EGL152" s="107"/>
      <c r="EGM152" s="107"/>
      <c r="EGT152" s="107"/>
      <c r="EGU152" s="107"/>
      <c r="EGV152" s="108"/>
      <c r="EGX152" s="109"/>
      <c r="EGY152" s="107"/>
      <c r="EGZ152" s="107"/>
      <c r="EHG152" s="107"/>
      <c r="EHH152" s="107"/>
      <c r="EHI152" s="108"/>
      <c r="EHK152" s="109"/>
      <c r="EHL152" s="107"/>
      <c r="EHM152" s="107"/>
      <c r="EHT152" s="107"/>
      <c r="EHU152" s="107"/>
      <c r="EHV152" s="108"/>
      <c r="EHX152" s="109"/>
      <c r="EHY152" s="107"/>
      <c r="EHZ152" s="107"/>
      <c r="EIG152" s="107"/>
      <c r="EIH152" s="107"/>
      <c r="EII152" s="108"/>
      <c r="EIK152" s="109"/>
      <c r="EIL152" s="107"/>
      <c r="EIM152" s="107"/>
      <c r="EIT152" s="107"/>
      <c r="EIU152" s="107"/>
      <c r="EIV152" s="108"/>
      <c r="EIX152" s="109"/>
      <c r="EIY152" s="107"/>
      <c r="EIZ152" s="107"/>
      <c r="EJG152" s="107"/>
      <c r="EJH152" s="107"/>
      <c r="EJI152" s="108"/>
      <c r="EJK152" s="109"/>
      <c r="EJL152" s="107"/>
      <c r="EJM152" s="107"/>
      <c r="EJT152" s="107"/>
      <c r="EJU152" s="107"/>
      <c r="EJV152" s="108"/>
      <c r="EJX152" s="109"/>
      <c r="EJY152" s="107"/>
      <c r="EJZ152" s="107"/>
      <c r="EKG152" s="107"/>
      <c r="EKH152" s="107"/>
      <c r="EKI152" s="108"/>
      <c r="EKK152" s="109"/>
      <c r="EKL152" s="107"/>
      <c r="EKM152" s="107"/>
      <c r="EKT152" s="107"/>
      <c r="EKU152" s="107"/>
      <c r="EKV152" s="108"/>
      <c r="EKX152" s="109"/>
      <c r="EKY152" s="107"/>
      <c r="EKZ152" s="107"/>
      <c r="ELG152" s="107"/>
      <c r="ELH152" s="107"/>
      <c r="ELI152" s="108"/>
      <c r="ELK152" s="109"/>
      <c r="ELL152" s="107"/>
      <c r="ELM152" s="107"/>
      <c r="ELT152" s="107"/>
      <c r="ELU152" s="107"/>
      <c r="ELV152" s="108"/>
      <c r="ELX152" s="109"/>
      <c r="ELY152" s="107"/>
      <c r="ELZ152" s="107"/>
      <c r="EMG152" s="107"/>
      <c r="EMH152" s="107"/>
      <c r="EMI152" s="108"/>
      <c r="EMK152" s="109"/>
      <c r="EML152" s="107"/>
      <c r="EMM152" s="107"/>
      <c r="EMT152" s="107"/>
      <c r="EMU152" s="107"/>
      <c r="EMV152" s="108"/>
      <c r="EMX152" s="109"/>
      <c r="EMY152" s="107"/>
      <c r="EMZ152" s="107"/>
      <c r="ENG152" s="107"/>
      <c r="ENH152" s="107"/>
      <c r="ENI152" s="108"/>
      <c r="ENK152" s="109"/>
      <c r="ENL152" s="107"/>
      <c r="ENM152" s="107"/>
      <c r="ENT152" s="107"/>
      <c r="ENU152" s="107"/>
      <c r="ENV152" s="108"/>
      <c r="ENX152" s="109"/>
      <c r="ENY152" s="107"/>
      <c r="ENZ152" s="107"/>
      <c r="EOG152" s="107"/>
      <c r="EOH152" s="107"/>
      <c r="EOI152" s="108"/>
      <c r="EOK152" s="109"/>
      <c r="EOL152" s="107"/>
      <c r="EOM152" s="107"/>
      <c r="EOT152" s="107"/>
      <c r="EOU152" s="107"/>
      <c r="EOV152" s="108"/>
      <c r="EOX152" s="109"/>
      <c r="EOY152" s="107"/>
      <c r="EOZ152" s="107"/>
      <c r="EPG152" s="107"/>
      <c r="EPH152" s="107"/>
      <c r="EPI152" s="108"/>
      <c r="EPK152" s="109"/>
      <c r="EPL152" s="107"/>
      <c r="EPM152" s="107"/>
      <c r="EPT152" s="107"/>
      <c r="EPU152" s="107"/>
      <c r="EPV152" s="108"/>
      <c r="EPX152" s="109"/>
      <c r="EPY152" s="107"/>
      <c r="EPZ152" s="107"/>
      <c r="EQG152" s="107"/>
      <c r="EQH152" s="107"/>
      <c r="EQI152" s="108"/>
      <c r="EQK152" s="109"/>
      <c r="EQL152" s="107"/>
      <c r="EQM152" s="107"/>
      <c r="EQT152" s="107"/>
      <c r="EQU152" s="107"/>
      <c r="EQV152" s="108"/>
      <c r="EQX152" s="109"/>
      <c r="EQY152" s="107"/>
      <c r="EQZ152" s="107"/>
      <c r="ERG152" s="107"/>
      <c r="ERH152" s="107"/>
      <c r="ERI152" s="108"/>
      <c r="ERK152" s="109"/>
      <c r="ERL152" s="107"/>
      <c r="ERM152" s="107"/>
      <c r="ERT152" s="107"/>
      <c r="ERU152" s="107"/>
      <c r="ERV152" s="108"/>
      <c r="ERX152" s="109"/>
      <c r="ERY152" s="107"/>
      <c r="ERZ152" s="107"/>
      <c r="ESG152" s="107"/>
      <c r="ESH152" s="107"/>
      <c r="ESI152" s="108"/>
      <c r="ESK152" s="109"/>
      <c r="ESL152" s="107"/>
      <c r="ESM152" s="107"/>
      <c r="EST152" s="107"/>
      <c r="ESU152" s="107"/>
      <c r="ESV152" s="108"/>
      <c r="ESX152" s="109"/>
      <c r="ESY152" s="107"/>
      <c r="ESZ152" s="107"/>
      <c r="ETG152" s="107"/>
      <c r="ETH152" s="107"/>
      <c r="ETI152" s="108"/>
      <c r="ETK152" s="109"/>
      <c r="ETL152" s="107"/>
      <c r="ETM152" s="107"/>
      <c r="ETT152" s="107"/>
      <c r="ETU152" s="107"/>
      <c r="ETV152" s="108"/>
      <c r="ETX152" s="109"/>
      <c r="ETY152" s="107"/>
      <c r="ETZ152" s="107"/>
      <c r="EUG152" s="107"/>
      <c r="EUH152" s="107"/>
      <c r="EUI152" s="108"/>
      <c r="EUK152" s="109"/>
      <c r="EUL152" s="107"/>
      <c r="EUM152" s="107"/>
      <c r="EUT152" s="107"/>
      <c r="EUU152" s="107"/>
      <c r="EUV152" s="108"/>
      <c r="EUX152" s="109"/>
      <c r="EUY152" s="107"/>
      <c r="EUZ152" s="107"/>
      <c r="EVG152" s="107"/>
      <c r="EVH152" s="107"/>
      <c r="EVI152" s="108"/>
      <c r="EVK152" s="109"/>
      <c r="EVL152" s="107"/>
      <c r="EVM152" s="107"/>
      <c r="EVT152" s="107"/>
      <c r="EVU152" s="107"/>
      <c r="EVV152" s="108"/>
      <c r="EVX152" s="109"/>
      <c r="EVY152" s="107"/>
      <c r="EVZ152" s="107"/>
      <c r="EWG152" s="107"/>
      <c r="EWH152" s="107"/>
      <c r="EWI152" s="108"/>
      <c r="EWK152" s="109"/>
      <c r="EWL152" s="107"/>
      <c r="EWM152" s="107"/>
      <c r="EWT152" s="107"/>
      <c r="EWU152" s="107"/>
      <c r="EWV152" s="108"/>
      <c r="EWX152" s="109"/>
      <c r="EWY152" s="107"/>
      <c r="EWZ152" s="107"/>
      <c r="EXG152" s="107"/>
      <c r="EXH152" s="107"/>
      <c r="EXI152" s="108"/>
      <c r="EXK152" s="109"/>
      <c r="EXL152" s="107"/>
      <c r="EXM152" s="107"/>
      <c r="EXT152" s="107"/>
      <c r="EXU152" s="107"/>
      <c r="EXV152" s="108"/>
      <c r="EXX152" s="109"/>
      <c r="EXY152" s="107"/>
      <c r="EXZ152" s="107"/>
      <c r="EYG152" s="107"/>
      <c r="EYH152" s="107"/>
      <c r="EYI152" s="108"/>
      <c r="EYK152" s="109"/>
      <c r="EYL152" s="107"/>
      <c r="EYM152" s="107"/>
      <c r="EYT152" s="107"/>
      <c r="EYU152" s="107"/>
      <c r="EYV152" s="108"/>
      <c r="EYX152" s="109"/>
      <c r="EYY152" s="107"/>
      <c r="EYZ152" s="107"/>
      <c r="EZG152" s="107"/>
      <c r="EZH152" s="107"/>
      <c r="EZI152" s="108"/>
      <c r="EZK152" s="109"/>
      <c r="EZL152" s="107"/>
      <c r="EZM152" s="107"/>
      <c r="EZT152" s="107"/>
      <c r="EZU152" s="107"/>
      <c r="EZV152" s="108"/>
      <c r="EZX152" s="109"/>
      <c r="EZY152" s="107"/>
      <c r="EZZ152" s="107"/>
      <c r="FAG152" s="107"/>
      <c r="FAH152" s="107"/>
      <c r="FAI152" s="108"/>
      <c r="FAK152" s="109"/>
      <c r="FAL152" s="107"/>
      <c r="FAM152" s="107"/>
      <c r="FAT152" s="107"/>
      <c r="FAU152" s="107"/>
      <c r="FAV152" s="108"/>
      <c r="FAX152" s="109"/>
      <c r="FAY152" s="107"/>
      <c r="FAZ152" s="107"/>
      <c r="FBG152" s="107"/>
      <c r="FBH152" s="107"/>
      <c r="FBI152" s="108"/>
      <c r="FBK152" s="109"/>
      <c r="FBL152" s="107"/>
      <c r="FBM152" s="107"/>
      <c r="FBT152" s="107"/>
      <c r="FBU152" s="107"/>
      <c r="FBV152" s="108"/>
      <c r="FBX152" s="109"/>
      <c r="FBY152" s="107"/>
      <c r="FBZ152" s="107"/>
      <c r="FCG152" s="107"/>
      <c r="FCH152" s="107"/>
      <c r="FCI152" s="108"/>
      <c r="FCK152" s="109"/>
      <c r="FCL152" s="107"/>
      <c r="FCM152" s="107"/>
      <c r="FCT152" s="107"/>
      <c r="FCU152" s="107"/>
      <c r="FCV152" s="108"/>
      <c r="FCX152" s="109"/>
      <c r="FCY152" s="107"/>
      <c r="FCZ152" s="107"/>
      <c r="FDG152" s="107"/>
      <c r="FDH152" s="107"/>
      <c r="FDI152" s="108"/>
      <c r="FDK152" s="109"/>
      <c r="FDL152" s="107"/>
      <c r="FDM152" s="107"/>
      <c r="FDT152" s="107"/>
      <c r="FDU152" s="107"/>
      <c r="FDV152" s="108"/>
      <c r="FDX152" s="109"/>
      <c r="FDY152" s="107"/>
      <c r="FDZ152" s="107"/>
      <c r="FEG152" s="107"/>
      <c r="FEH152" s="107"/>
      <c r="FEI152" s="108"/>
      <c r="FEK152" s="109"/>
      <c r="FEL152" s="107"/>
      <c r="FEM152" s="107"/>
      <c r="FET152" s="107"/>
      <c r="FEU152" s="107"/>
      <c r="FEV152" s="108"/>
      <c r="FEX152" s="109"/>
      <c r="FEY152" s="107"/>
      <c r="FEZ152" s="107"/>
      <c r="FFG152" s="107"/>
      <c r="FFH152" s="107"/>
      <c r="FFI152" s="108"/>
      <c r="FFK152" s="109"/>
      <c r="FFL152" s="107"/>
      <c r="FFM152" s="107"/>
      <c r="FFT152" s="107"/>
      <c r="FFU152" s="107"/>
      <c r="FFV152" s="108"/>
      <c r="FFX152" s="109"/>
      <c r="FFY152" s="107"/>
      <c r="FFZ152" s="107"/>
      <c r="FGG152" s="107"/>
      <c r="FGH152" s="107"/>
      <c r="FGI152" s="108"/>
      <c r="FGK152" s="109"/>
      <c r="FGL152" s="107"/>
      <c r="FGM152" s="107"/>
      <c r="FGT152" s="107"/>
      <c r="FGU152" s="107"/>
      <c r="FGV152" s="108"/>
      <c r="FGX152" s="109"/>
      <c r="FGY152" s="107"/>
      <c r="FGZ152" s="107"/>
      <c r="FHG152" s="107"/>
      <c r="FHH152" s="107"/>
      <c r="FHI152" s="108"/>
      <c r="FHK152" s="109"/>
      <c r="FHL152" s="107"/>
      <c r="FHM152" s="107"/>
      <c r="FHT152" s="107"/>
      <c r="FHU152" s="107"/>
      <c r="FHV152" s="108"/>
      <c r="FHX152" s="109"/>
      <c r="FHY152" s="107"/>
      <c r="FHZ152" s="107"/>
      <c r="FIG152" s="107"/>
      <c r="FIH152" s="107"/>
      <c r="FII152" s="108"/>
      <c r="FIK152" s="109"/>
      <c r="FIL152" s="107"/>
      <c r="FIM152" s="107"/>
      <c r="FIT152" s="107"/>
      <c r="FIU152" s="107"/>
      <c r="FIV152" s="108"/>
      <c r="FIX152" s="109"/>
      <c r="FIY152" s="107"/>
      <c r="FIZ152" s="107"/>
      <c r="FJG152" s="107"/>
      <c r="FJH152" s="107"/>
      <c r="FJI152" s="108"/>
      <c r="FJK152" s="109"/>
      <c r="FJL152" s="107"/>
      <c r="FJM152" s="107"/>
      <c r="FJT152" s="107"/>
      <c r="FJU152" s="107"/>
      <c r="FJV152" s="108"/>
      <c r="FJX152" s="109"/>
      <c r="FJY152" s="107"/>
      <c r="FJZ152" s="107"/>
      <c r="FKG152" s="107"/>
      <c r="FKH152" s="107"/>
      <c r="FKI152" s="108"/>
      <c r="FKK152" s="109"/>
      <c r="FKL152" s="107"/>
      <c r="FKM152" s="107"/>
      <c r="FKT152" s="107"/>
      <c r="FKU152" s="107"/>
      <c r="FKV152" s="108"/>
      <c r="FKX152" s="109"/>
      <c r="FKY152" s="107"/>
      <c r="FKZ152" s="107"/>
      <c r="FLG152" s="107"/>
      <c r="FLH152" s="107"/>
      <c r="FLI152" s="108"/>
      <c r="FLK152" s="109"/>
      <c r="FLL152" s="107"/>
      <c r="FLM152" s="107"/>
      <c r="FLT152" s="107"/>
      <c r="FLU152" s="107"/>
      <c r="FLV152" s="108"/>
      <c r="FLX152" s="109"/>
      <c r="FLY152" s="107"/>
      <c r="FLZ152" s="107"/>
      <c r="FMG152" s="107"/>
      <c r="FMH152" s="107"/>
      <c r="FMI152" s="108"/>
      <c r="FMK152" s="109"/>
      <c r="FML152" s="107"/>
      <c r="FMM152" s="107"/>
      <c r="FMT152" s="107"/>
      <c r="FMU152" s="107"/>
      <c r="FMV152" s="108"/>
      <c r="FMX152" s="109"/>
      <c r="FMY152" s="107"/>
      <c r="FMZ152" s="107"/>
      <c r="FNG152" s="107"/>
      <c r="FNH152" s="107"/>
      <c r="FNI152" s="108"/>
      <c r="FNK152" s="109"/>
      <c r="FNL152" s="107"/>
      <c r="FNM152" s="107"/>
      <c r="FNT152" s="107"/>
      <c r="FNU152" s="107"/>
      <c r="FNV152" s="108"/>
      <c r="FNX152" s="109"/>
      <c r="FNY152" s="107"/>
      <c r="FNZ152" s="107"/>
      <c r="FOG152" s="107"/>
      <c r="FOH152" s="107"/>
      <c r="FOI152" s="108"/>
      <c r="FOK152" s="109"/>
      <c r="FOL152" s="107"/>
      <c r="FOM152" s="107"/>
      <c r="FOT152" s="107"/>
      <c r="FOU152" s="107"/>
      <c r="FOV152" s="108"/>
      <c r="FOX152" s="109"/>
      <c r="FOY152" s="107"/>
      <c r="FOZ152" s="107"/>
      <c r="FPG152" s="107"/>
      <c r="FPH152" s="107"/>
      <c r="FPI152" s="108"/>
      <c r="FPK152" s="109"/>
      <c r="FPL152" s="107"/>
      <c r="FPM152" s="107"/>
      <c r="FPT152" s="107"/>
      <c r="FPU152" s="107"/>
      <c r="FPV152" s="108"/>
      <c r="FPX152" s="109"/>
      <c r="FPY152" s="107"/>
      <c r="FPZ152" s="107"/>
      <c r="FQG152" s="107"/>
      <c r="FQH152" s="107"/>
      <c r="FQI152" s="108"/>
      <c r="FQK152" s="109"/>
      <c r="FQL152" s="107"/>
      <c r="FQM152" s="107"/>
      <c r="FQT152" s="107"/>
      <c r="FQU152" s="107"/>
      <c r="FQV152" s="108"/>
      <c r="FQX152" s="109"/>
      <c r="FQY152" s="107"/>
      <c r="FQZ152" s="107"/>
      <c r="FRG152" s="107"/>
      <c r="FRH152" s="107"/>
      <c r="FRI152" s="108"/>
      <c r="FRK152" s="109"/>
      <c r="FRL152" s="107"/>
      <c r="FRM152" s="107"/>
      <c r="FRT152" s="107"/>
      <c r="FRU152" s="107"/>
      <c r="FRV152" s="108"/>
      <c r="FRX152" s="109"/>
      <c r="FRY152" s="107"/>
      <c r="FRZ152" s="107"/>
      <c r="FSG152" s="107"/>
      <c r="FSH152" s="107"/>
      <c r="FSI152" s="108"/>
      <c r="FSK152" s="109"/>
      <c r="FSL152" s="107"/>
      <c r="FSM152" s="107"/>
      <c r="FST152" s="107"/>
      <c r="FSU152" s="107"/>
      <c r="FSV152" s="108"/>
      <c r="FSX152" s="109"/>
      <c r="FSY152" s="107"/>
      <c r="FSZ152" s="107"/>
      <c r="FTG152" s="107"/>
      <c r="FTH152" s="107"/>
      <c r="FTI152" s="108"/>
      <c r="FTK152" s="109"/>
      <c r="FTL152" s="107"/>
      <c r="FTM152" s="107"/>
      <c r="FTT152" s="107"/>
      <c r="FTU152" s="107"/>
      <c r="FTV152" s="108"/>
      <c r="FTX152" s="109"/>
      <c r="FTY152" s="107"/>
      <c r="FTZ152" s="107"/>
      <c r="FUG152" s="107"/>
      <c r="FUH152" s="107"/>
      <c r="FUI152" s="108"/>
      <c r="FUK152" s="109"/>
      <c r="FUL152" s="107"/>
      <c r="FUM152" s="107"/>
      <c r="FUT152" s="107"/>
      <c r="FUU152" s="107"/>
      <c r="FUV152" s="108"/>
      <c r="FUX152" s="109"/>
      <c r="FUY152" s="107"/>
      <c r="FUZ152" s="107"/>
      <c r="FVG152" s="107"/>
      <c r="FVH152" s="107"/>
      <c r="FVI152" s="108"/>
      <c r="FVK152" s="109"/>
      <c r="FVL152" s="107"/>
      <c r="FVM152" s="107"/>
      <c r="FVT152" s="107"/>
      <c r="FVU152" s="107"/>
      <c r="FVV152" s="108"/>
      <c r="FVX152" s="109"/>
      <c r="FVY152" s="107"/>
      <c r="FVZ152" s="107"/>
      <c r="FWG152" s="107"/>
      <c r="FWH152" s="107"/>
      <c r="FWI152" s="108"/>
      <c r="FWK152" s="109"/>
      <c r="FWL152" s="107"/>
      <c r="FWM152" s="107"/>
      <c r="FWT152" s="107"/>
      <c r="FWU152" s="107"/>
      <c r="FWV152" s="108"/>
      <c r="FWX152" s="109"/>
      <c r="FWY152" s="107"/>
      <c r="FWZ152" s="107"/>
      <c r="FXG152" s="107"/>
      <c r="FXH152" s="107"/>
      <c r="FXI152" s="108"/>
      <c r="FXK152" s="109"/>
      <c r="FXL152" s="107"/>
      <c r="FXM152" s="107"/>
      <c r="FXT152" s="107"/>
      <c r="FXU152" s="107"/>
      <c r="FXV152" s="108"/>
      <c r="FXX152" s="109"/>
      <c r="FXY152" s="107"/>
      <c r="FXZ152" s="107"/>
      <c r="FYG152" s="107"/>
      <c r="FYH152" s="107"/>
      <c r="FYI152" s="108"/>
      <c r="FYK152" s="109"/>
      <c r="FYL152" s="107"/>
      <c r="FYM152" s="107"/>
      <c r="FYT152" s="107"/>
      <c r="FYU152" s="107"/>
      <c r="FYV152" s="108"/>
      <c r="FYX152" s="109"/>
      <c r="FYY152" s="107"/>
      <c r="FYZ152" s="107"/>
      <c r="FZG152" s="107"/>
      <c r="FZH152" s="107"/>
      <c r="FZI152" s="108"/>
      <c r="FZK152" s="109"/>
      <c r="FZL152" s="107"/>
      <c r="FZM152" s="107"/>
      <c r="FZT152" s="107"/>
      <c r="FZU152" s="107"/>
      <c r="FZV152" s="108"/>
      <c r="FZX152" s="109"/>
      <c r="FZY152" s="107"/>
      <c r="FZZ152" s="107"/>
      <c r="GAG152" s="107"/>
      <c r="GAH152" s="107"/>
      <c r="GAI152" s="108"/>
      <c r="GAK152" s="109"/>
      <c r="GAL152" s="107"/>
      <c r="GAM152" s="107"/>
      <c r="GAT152" s="107"/>
      <c r="GAU152" s="107"/>
      <c r="GAV152" s="108"/>
      <c r="GAX152" s="109"/>
      <c r="GAY152" s="107"/>
      <c r="GAZ152" s="107"/>
      <c r="GBG152" s="107"/>
      <c r="GBH152" s="107"/>
      <c r="GBI152" s="108"/>
      <c r="GBK152" s="109"/>
      <c r="GBL152" s="107"/>
      <c r="GBM152" s="107"/>
      <c r="GBT152" s="107"/>
      <c r="GBU152" s="107"/>
      <c r="GBV152" s="108"/>
      <c r="GBX152" s="109"/>
      <c r="GBY152" s="107"/>
      <c r="GBZ152" s="107"/>
      <c r="GCG152" s="107"/>
      <c r="GCH152" s="107"/>
      <c r="GCI152" s="108"/>
      <c r="GCK152" s="109"/>
      <c r="GCL152" s="107"/>
      <c r="GCM152" s="107"/>
      <c r="GCT152" s="107"/>
      <c r="GCU152" s="107"/>
      <c r="GCV152" s="108"/>
      <c r="GCX152" s="109"/>
      <c r="GCY152" s="107"/>
      <c r="GCZ152" s="107"/>
      <c r="GDG152" s="107"/>
      <c r="GDH152" s="107"/>
      <c r="GDI152" s="108"/>
      <c r="GDK152" s="109"/>
      <c r="GDL152" s="107"/>
      <c r="GDM152" s="107"/>
      <c r="GDT152" s="107"/>
      <c r="GDU152" s="107"/>
      <c r="GDV152" s="108"/>
      <c r="GDX152" s="109"/>
      <c r="GDY152" s="107"/>
      <c r="GDZ152" s="107"/>
      <c r="GEG152" s="107"/>
      <c r="GEH152" s="107"/>
      <c r="GEI152" s="108"/>
      <c r="GEK152" s="109"/>
      <c r="GEL152" s="107"/>
      <c r="GEM152" s="107"/>
      <c r="GET152" s="107"/>
      <c r="GEU152" s="107"/>
      <c r="GEV152" s="108"/>
      <c r="GEX152" s="109"/>
      <c r="GEY152" s="107"/>
      <c r="GEZ152" s="107"/>
      <c r="GFG152" s="107"/>
      <c r="GFH152" s="107"/>
      <c r="GFI152" s="108"/>
      <c r="GFK152" s="109"/>
      <c r="GFL152" s="107"/>
      <c r="GFM152" s="107"/>
      <c r="GFT152" s="107"/>
      <c r="GFU152" s="107"/>
      <c r="GFV152" s="108"/>
      <c r="GFX152" s="109"/>
      <c r="GFY152" s="107"/>
      <c r="GFZ152" s="107"/>
      <c r="GGG152" s="107"/>
      <c r="GGH152" s="107"/>
      <c r="GGI152" s="108"/>
      <c r="GGK152" s="109"/>
      <c r="GGL152" s="107"/>
      <c r="GGM152" s="107"/>
      <c r="GGT152" s="107"/>
      <c r="GGU152" s="107"/>
      <c r="GGV152" s="108"/>
      <c r="GGX152" s="109"/>
      <c r="GGY152" s="107"/>
      <c r="GGZ152" s="107"/>
      <c r="GHG152" s="107"/>
      <c r="GHH152" s="107"/>
      <c r="GHI152" s="108"/>
      <c r="GHK152" s="109"/>
      <c r="GHL152" s="107"/>
      <c r="GHM152" s="107"/>
      <c r="GHT152" s="107"/>
      <c r="GHU152" s="107"/>
      <c r="GHV152" s="108"/>
      <c r="GHX152" s="109"/>
      <c r="GHY152" s="107"/>
      <c r="GHZ152" s="107"/>
      <c r="GIG152" s="107"/>
      <c r="GIH152" s="107"/>
      <c r="GII152" s="108"/>
      <c r="GIK152" s="109"/>
      <c r="GIL152" s="107"/>
      <c r="GIM152" s="107"/>
      <c r="GIT152" s="107"/>
      <c r="GIU152" s="107"/>
      <c r="GIV152" s="108"/>
      <c r="GIX152" s="109"/>
      <c r="GIY152" s="107"/>
      <c r="GIZ152" s="107"/>
      <c r="GJG152" s="107"/>
      <c r="GJH152" s="107"/>
      <c r="GJI152" s="108"/>
      <c r="GJK152" s="109"/>
      <c r="GJL152" s="107"/>
      <c r="GJM152" s="107"/>
      <c r="GJT152" s="107"/>
      <c r="GJU152" s="107"/>
      <c r="GJV152" s="108"/>
      <c r="GJX152" s="109"/>
      <c r="GJY152" s="107"/>
      <c r="GJZ152" s="107"/>
      <c r="GKG152" s="107"/>
      <c r="GKH152" s="107"/>
      <c r="GKI152" s="108"/>
      <c r="GKK152" s="109"/>
      <c r="GKL152" s="107"/>
      <c r="GKM152" s="107"/>
      <c r="GKT152" s="107"/>
      <c r="GKU152" s="107"/>
      <c r="GKV152" s="108"/>
      <c r="GKX152" s="109"/>
      <c r="GKY152" s="107"/>
      <c r="GKZ152" s="107"/>
      <c r="GLG152" s="107"/>
      <c r="GLH152" s="107"/>
      <c r="GLI152" s="108"/>
      <c r="GLK152" s="109"/>
      <c r="GLL152" s="107"/>
      <c r="GLM152" s="107"/>
      <c r="GLT152" s="107"/>
      <c r="GLU152" s="107"/>
      <c r="GLV152" s="108"/>
      <c r="GLX152" s="109"/>
      <c r="GLY152" s="107"/>
      <c r="GLZ152" s="107"/>
      <c r="GMG152" s="107"/>
      <c r="GMH152" s="107"/>
      <c r="GMI152" s="108"/>
      <c r="GMK152" s="109"/>
      <c r="GML152" s="107"/>
      <c r="GMM152" s="107"/>
      <c r="GMT152" s="107"/>
      <c r="GMU152" s="107"/>
      <c r="GMV152" s="108"/>
      <c r="GMX152" s="109"/>
      <c r="GMY152" s="107"/>
      <c r="GMZ152" s="107"/>
      <c r="GNG152" s="107"/>
      <c r="GNH152" s="107"/>
      <c r="GNI152" s="108"/>
      <c r="GNK152" s="109"/>
      <c r="GNL152" s="107"/>
      <c r="GNM152" s="107"/>
      <c r="GNT152" s="107"/>
      <c r="GNU152" s="107"/>
      <c r="GNV152" s="108"/>
      <c r="GNX152" s="109"/>
      <c r="GNY152" s="107"/>
      <c r="GNZ152" s="107"/>
      <c r="GOG152" s="107"/>
      <c r="GOH152" s="107"/>
      <c r="GOI152" s="108"/>
      <c r="GOK152" s="109"/>
      <c r="GOL152" s="107"/>
      <c r="GOM152" s="107"/>
      <c r="GOT152" s="107"/>
      <c r="GOU152" s="107"/>
      <c r="GOV152" s="108"/>
      <c r="GOX152" s="109"/>
      <c r="GOY152" s="107"/>
      <c r="GOZ152" s="107"/>
      <c r="GPG152" s="107"/>
      <c r="GPH152" s="107"/>
      <c r="GPI152" s="108"/>
      <c r="GPK152" s="109"/>
      <c r="GPL152" s="107"/>
      <c r="GPM152" s="107"/>
      <c r="GPT152" s="107"/>
      <c r="GPU152" s="107"/>
      <c r="GPV152" s="108"/>
      <c r="GPX152" s="109"/>
      <c r="GPY152" s="107"/>
      <c r="GPZ152" s="107"/>
      <c r="GQG152" s="107"/>
      <c r="GQH152" s="107"/>
      <c r="GQI152" s="108"/>
      <c r="GQK152" s="109"/>
      <c r="GQL152" s="107"/>
      <c r="GQM152" s="107"/>
      <c r="GQT152" s="107"/>
      <c r="GQU152" s="107"/>
      <c r="GQV152" s="108"/>
      <c r="GQX152" s="109"/>
      <c r="GQY152" s="107"/>
      <c r="GQZ152" s="107"/>
      <c r="GRG152" s="107"/>
      <c r="GRH152" s="107"/>
      <c r="GRI152" s="108"/>
      <c r="GRK152" s="109"/>
      <c r="GRL152" s="107"/>
      <c r="GRM152" s="107"/>
      <c r="GRT152" s="107"/>
      <c r="GRU152" s="107"/>
      <c r="GRV152" s="108"/>
      <c r="GRX152" s="109"/>
      <c r="GRY152" s="107"/>
      <c r="GRZ152" s="107"/>
      <c r="GSG152" s="107"/>
      <c r="GSH152" s="107"/>
      <c r="GSI152" s="108"/>
      <c r="GSK152" s="109"/>
      <c r="GSL152" s="107"/>
      <c r="GSM152" s="107"/>
      <c r="GST152" s="107"/>
      <c r="GSU152" s="107"/>
      <c r="GSV152" s="108"/>
      <c r="GSX152" s="109"/>
      <c r="GSY152" s="107"/>
      <c r="GSZ152" s="107"/>
      <c r="GTG152" s="107"/>
      <c r="GTH152" s="107"/>
      <c r="GTI152" s="108"/>
      <c r="GTK152" s="109"/>
      <c r="GTL152" s="107"/>
      <c r="GTM152" s="107"/>
      <c r="GTT152" s="107"/>
      <c r="GTU152" s="107"/>
      <c r="GTV152" s="108"/>
      <c r="GTX152" s="109"/>
      <c r="GTY152" s="107"/>
      <c r="GTZ152" s="107"/>
      <c r="GUG152" s="107"/>
      <c r="GUH152" s="107"/>
      <c r="GUI152" s="108"/>
      <c r="GUK152" s="109"/>
      <c r="GUL152" s="107"/>
      <c r="GUM152" s="107"/>
      <c r="GUT152" s="107"/>
      <c r="GUU152" s="107"/>
      <c r="GUV152" s="108"/>
      <c r="GUX152" s="109"/>
      <c r="GUY152" s="107"/>
      <c r="GUZ152" s="107"/>
      <c r="GVG152" s="107"/>
      <c r="GVH152" s="107"/>
      <c r="GVI152" s="108"/>
      <c r="GVK152" s="109"/>
      <c r="GVL152" s="107"/>
      <c r="GVM152" s="107"/>
      <c r="GVT152" s="107"/>
      <c r="GVU152" s="107"/>
      <c r="GVV152" s="108"/>
      <c r="GVX152" s="109"/>
      <c r="GVY152" s="107"/>
      <c r="GVZ152" s="107"/>
      <c r="GWG152" s="107"/>
      <c r="GWH152" s="107"/>
      <c r="GWI152" s="108"/>
      <c r="GWK152" s="109"/>
      <c r="GWL152" s="107"/>
      <c r="GWM152" s="107"/>
      <c r="GWT152" s="107"/>
      <c r="GWU152" s="107"/>
      <c r="GWV152" s="108"/>
      <c r="GWX152" s="109"/>
      <c r="GWY152" s="107"/>
      <c r="GWZ152" s="107"/>
      <c r="GXG152" s="107"/>
      <c r="GXH152" s="107"/>
      <c r="GXI152" s="108"/>
      <c r="GXK152" s="109"/>
      <c r="GXL152" s="107"/>
      <c r="GXM152" s="107"/>
      <c r="GXT152" s="107"/>
      <c r="GXU152" s="107"/>
      <c r="GXV152" s="108"/>
      <c r="GXX152" s="109"/>
      <c r="GXY152" s="107"/>
      <c r="GXZ152" s="107"/>
      <c r="GYG152" s="107"/>
      <c r="GYH152" s="107"/>
      <c r="GYI152" s="108"/>
      <c r="GYK152" s="109"/>
      <c r="GYL152" s="107"/>
      <c r="GYM152" s="107"/>
      <c r="GYT152" s="107"/>
      <c r="GYU152" s="107"/>
      <c r="GYV152" s="108"/>
      <c r="GYX152" s="109"/>
      <c r="GYY152" s="107"/>
      <c r="GYZ152" s="107"/>
      <c r="GZG152" s="107"/>
      <c r="GZH152" s="107"/>
      <c r="GZI152" s="108"/>
      <c r="GZK152" s="109"/>
      <c r="GZL152" s="107"/>
      <c r="GZM152" s="107"/>
      <c r="GZT152" s="107"/>
      <c r="GZU152" s="107"/>
      <c r="GZV152" s="108"/>
      <c r="GZX152" s="109"/>
      <c r="GZY152" s="107"/>
      <c r="GZZ152" s="107"/>
      <c r="HAG152" s="107"/>
      <c r="HAH152" s="107"/>
      <c r="HAI152" s="108"/>
      <c r="HAK152" s="109"/>
      <c r="HAL152" s="107"/>
      <c r="HAM152" s="107"/>
      <c r="HAT152" s="107"/>
      <c r="HAU152" s="107"/>
      <c r="HAV152" s="108"/>
      <c r="HAX152" s="109"/>
      <c r="HAY152" s="107"/>
      <c r="HAZ152" s="107"/>
      <c r="HBG152" s="107"/>
      <c r="HBH152" s="107"/>
      <c r="HBI152" s="108"/>
      <c r="HBK152" s="109"/>
      <c r="HBL152" s="107"/>
      <c r="HBM152" s="107"/>
      <c r="HBT152" s="107"/>
      <c r="HBU152" s="107"/>
      <c r="HBV152" s="108"/>
      <c r="HBX152" s="109"/>
      <c r="HBY152" s="107"/>
      <c r="HBZ152" s="107"/>
      <c r="HCG152" s="107"/>
      <c r="HCH152" s="107"/>
      <c r="HCI152" s="108"/>
      <c r="HCK152" s="109"/>
      <c r="HCL152" s="107"/>
      <c r="HCM152" s="107"/>
      <c r="HCT152" s="107"/>
      <c r="HCU152" s="107"/>
      <c r="HCV152" s="108"/>
      <c r="HCX152" s="109"/>
      <c r="HCY152" s="107"/>
      <c r="HCZ152" s="107"/>
      <c r="HDG152" s="107"/>
      <c r="HDH152" s="107"/>
      <c r="HDI152" s="108"/>
      <c r="HDK152" s="109"/>
      <c r="HDL152" s="107"/>
      <c r="HDM152" s="107"/>
      <c r="HDT152" s="107"/>
      <c r="HDU152" s="107"/>
      <c r="HDV152" s="108"/>
      <c r="HDX152" s="109"/>
      <c r="HDY152" s="107"/>
      <c r="HDZ152" s="107"/>
      <c r="HEG152" s="107"/>
      <c r="HEH152" s="107"/>
      <c r="HEI152" s="108"/>
      <c r="HEK152" s="109"/>
      <c r="HEL152" s="107"/>
      <c r="HEM152" s="107"/>
      <c r="HET152" s="107"/>
      <c r="HEU152" s="107"/>
      <c r="HEV152" s="108"/>
      <c r="HEX152" s="109"/>
      <c r="HEY152" s="107"/>
      <c r="HEZ152" s="107"/>
      <c r="HFG152" s="107"/>
      <c r="HFH152" s="107"/>
      <c r="HFI152" s="108"/>
      <c r="HFK152" s="109"/>
      <c r="HFL152" s="107"/>
      <c r="HFM152" s="107"/>
      <c r="HFT152" s="107"/>
      <c r="HFU152" s="107"/>
      <c r="HFV152" s="108"/>
      <c r="HFX152" s="109"/>
      <c r="HFY152" s="107"/>
      <c r="HFZ152" s="107"/>
      <c r="HGG152" s="107"/>
      <c r="HGH152" s="107"/>
      <c r="HGI152" s="108"/>
      <c r="HGK152" s="109"/>
      <c r="HGL152" s="107"/>
      <c r="HGM152" s="107"/>
      <c r="HGT152" s="107"/>
      <c r="HGU152" s="107"/>
      <c r="HGV152" s="108"/>
      <c r="HGX152" s="109"/>
      <c r="HGY152" s="107"/>
      <c r="HGZ152" s="107"/>
      <c r="HHG152" s="107"/>
      <c r="HHH152" s="107"/>
      <c r="HHI152" s="108"/>
      <c r="HHK152" s="109"/>
      <c r="HHL152" s="107"/>
      <c r="HHM152" s="107"/>
      <c r="HHT152" s="107"/>
      <c r="HHU152" s="107"/>
      <c r="HHV152" s="108"/>
      <c r="HHX152" s="109"/>
      <c r="HHY152" s="107"/>
      <c r="HHZ152" s="107"/>
      <c r="HIG152" s="107"/>
      <c r="HIH152" s="107"/>
      <c r="HII152" s="108"/>
      <c r="HIK152" s="109"/>
      <c r="HIL152" s="107"/>
      <c r="HIM152" s="107"/>
      <c r="HIT152" s="107"/>
      <c r="HIU152" s="107"/>
      <c r="HIV152" s="108"/>
      <c r="HIX152" s="109"/>
      <c r="HIY152" s="107"/>
      <c r="HIZ152" s="107"/>
      <c r="HJG152" s="107"/>
      <c r="HJH152" s="107"/>
      <c r="HJI152" s="108"/>
      <c r="HJK152" s="109"/>
      <c r="HJL152" s="107"/>
      <c r="HJM152" s="107"/>
      <c r="HJT152" s="107"/>
      <c r="HJU152" s="107"/>
      <c r="HJV152" s="108"/>
      <c r="HJX152" s="109"/>
      <c r="HJY152" s="107"/>
      <c r="HJZ152" s="107"/>
      <c r="HKG152" s="107"/>
      <c r="HKH152" s="107"/>
      <c r="HKI152" s="108"/>
      <c r="HKK152" s="109"/>
      <c r="HKL152" s="107"/>
      <c r="HKM152" s="107"/>
      <c r="HKT152" s="107"/>
      <c r="HKU152" s="107"/>
      <c r="HKV152" s="108"/>
      <c r="HKX152" s="109"/>
      <c r="HKY152" s="107"/>
      <c r="HKZ152" s="107"/>
      <c r="HLG152" s="107"/>
      <c r="HLH152" s="107"/>
      <c r="HLI152" s="108"/>
      <c r="HLK152" s="109"/>
      <c r="HLL152" s="107"/>
      <c r="HLM152" s="107"/>
      <c r="HLT152" s="107"/>
      <c r="HLU152" s="107"/>
      <c r="HLV152" s="108"/>
      <c r="HLX152" s="109"/>
      <c r="HLY152" s="107"/>
      <c r="HLZ152" s="107"/>
      <c r="HMG152" s="107"/>
      <c r="HMH152" s="107"/>
      <c r="HMI152" s="108"/>
      <c r="HMK152" s="109"/>
      <c r="HML152" s="107"/>
      <c r="HMM152" s="107"/>
      <c r="HMT152" s="107"/>
      <c r="HMU152" s="107"/>
      <c r="HMV152" s="108"/>
      <c r="HMX152" s="109"/>
      <c r="HMY152" s="107"/>
      <c r="HMZ152" s="107"/>
      <c r="HNG152" s="107"/>
      <c r="HNH152" s="107"/>
      <c r="HNI152" s="108"/>
      <c r="HNK152" s="109"/>
      <c r="HNL152" s="107"/>
      <c r="HNM152" s="107"/>
      <c r="HNT152" s="107"/>
      <c r="HNU152" s="107"/>
      <c r="HNV152" s="108"/>
      <c r="HNX152" s="109"/>
      <c r="HNY152" s="107"/>
      <c r="HNZ152" s="107"/>
      <c r="HOG152" s="107"/>
      <c r="HOH152" s="107"/>
      <c r="HOI152" s="108"/>
      <c r="HOK152" s="109"/>
      <c r="HOL152" s="107"/>
      <c r="HOM152" s="107"/>
      <c r="HOT152" s="107"/>
      <c r="HOU152" s="107"/>
      <c r="HOV152" s="108"/>
      <c r="HOX152" s="109"/>
      <c r="HOY152" s="107"/>
      <c r="HOZ152" s="107"/>
      <c r="HPG152" s="107"/>
      <c r="HPH152" s="107"/>
      <c r="HPI152" s="108"/>
      <c r="HPK152" s="109"/>
      <c r="HPL152" s="107"/>
      <c r="HPM152" s="107"/>
      <c r="HPT152" s="107"/>
      <c r="HPU152" s="107"/>
      <c r="HPV152" s="108"/>
      <c r="HPX152" s="109"/>
      <c r="HPY152" s="107"/>
      <c r="HPZ152" s="107"/>
      <c r="HQG152" s="107"/>
      <c r="HQH152" s="107"/>
      <c r="HQI152" s="108"/>
      <c r="HQK152" s="109"/>
      <c r="HQL152" s="107"/>
      <c r="HQM152" s="107"/>
      <c r="HQT152" s="107"/>
      <c r="HQU152" s="107"/>
      <c r="HQV152" s="108"/>
      <c r="HQX152" s="109"/>
      <c r="HQY152" s="107"/>
      <c r="HQZ152" s="107"/>
      <c r="HRG152" s="107"/>
      <c r="HRH152" s="107"/>
      <c r="HRI152" s="108"/>
      <c r="HRK152" s="109"/>
      <c r="HRL152" s="107"/>
      <c r="HRM152" s="107"/>
      <c r="HRT152" s="107"/>
      <c r="HRU152" s="107"/>
      <c r="HRV152" s="108"/>
      <c r="HRX152" s="109"/>
      <c r="HRY152" s="107"/>
      <c r="HRZ152" s="107"/>
      <c r="HSG152" s="107"/>
      <c r="HSH152" s="107"/>
      <c r="HSI152" s="108"/>
      <c r="HSK152" s="109"/>
      <c r="HSL152" s="107"/>
      <c r="HSM152" s="107"/>
      <c r="HST152" s="107"/>
      <c r="HSU152" s="107"/>
      <c r="HSV152" s="108"/>
      <c r="HSX152" s="109"/>
      <c r="HSY152" s="107"/>
      <c r="HSZ152" s="107"/>
      <c r="HTG152" s="107"/>
      <c r="HTH152" s="107"/>
      <c r="HTI152" s="108"/>
      <c r="HTK152" s="109"/>
      <c r="HTL152" s="107"/>
      <c r="HTM152" s="107"/>
      <c r="HTT152" s="107"/>
      <c r="HTU152" s="107"/>
      <c r="HTV152" s="108"/>
      <c r="HTX152" s="109"/>
      <c r="HTY152" s="107"/>
      <c r="HTZ152" s="107"/>
      <c r="HUG152" s="107"/>
      <c r="HUH152" s="107"/>
      <c r="HUI152" s="108"/>
      <c r="HUK152" s="109"/>
      <c r="HUL152" s="107"/>
      <c r="HUM152" s="107"/>
      <c r="HUT152" s="107"/>
      <c r="HUU152" s="107"/>
      <c r="HUV152" s="108"/>
      <c r="HUX152" s="109"/>
      <c r="HUY152" s="107"/>
      <c r="HUZ152" s="107"/>
      <c r="HVG152" s="107"/>
      <c r="HVH152" s="107"/>
      <c r="HVI152" s="108"/>
      <c r="HVK152" s="109"/>
      <c r="HVL152" s="107"/>
      <c r="HVM152" s="107"/>
      <c r="HVT152" s="107"/>
      <c r="HVU152" s="107"/>
      <c r="HVV152" s="108"/>
      <c r="HVX152" s="109"/>
      <c r="HVY152" s="107"/>
      <c r="HVZ152" s="107"/>
      <c r="HWG152" s="107"/>
      <c r="HWH152" s="107"/>
      <c r="HWI152" s="108"/>
      <c r="HWK152" s="109"/>
      <c r="HWL152" s="107"/>
      <c r="HWM152" s="107"/>
      <c r="HWT152" s="107"/>
      <c r="HWU152" s="107"/>
      <c r="HWV152" s="108"/>
      <c r="HWX152" s="109"/>
      <c r="HWY152" s="107"/>
      <c r="HWZ152" s="107"/>
      <c r="HXG152" s="107"/>
      <c r="HXH152" s="107"/>
      <c r="HXI152" s="108"/>
      <c r="HXK152" s="109"/>
      <c r="HXL152" s="107"/>
      <c r="HXM152" s="107"/>
      <c r="HXT152" s="107"/>
      <c r="HXU152" s="107"/>
      <c r="HXV152" s="108"/>
      <c r="HXX152" s="109"/>
      <c r="HXY152" s="107"/>
      <c r="HXZ152" s="107"/>
      <c r="HYG152" s="107"/>
      <c r="HYH152" s="107"/>
      <c r="HYI152" s="108"/>
      <c r="HYK152" s="109"/>
      <c r="HYL152" s="107"/>
      <c r="HYM152" s="107"/>
      <c r="HYT152" s="107"/>
      <c r="HYU152" s="107"/>
      <c r="HYV152" s="108"/>
      <c r="HYX152" s="109"/>
      <c r="HYY152" s="107"/>
      <c r="HYZ152" s="107"/>
      <c r="HZG152" s="107"/>
      <c r="HZH152" s="107"/>
      <c r="HZI152" s="108"/>
      <c r="HZK152" s="109"/>
      <c r="HZL152" s="107"/>
      <c r="HZM152" s="107"/>
      <c r="HZT152" s="107"/>
      <c r="HZU152" s="107"/>
      <c r="HZV152" s="108"/>
      <c r="HZX152" s="109"/>
      <c r="HZY152" s="107"/>
      <c r="HZZ152" s="107"/>
      <c r="IAG152" s="107"/>
      <c r="IAH152" s="107"/>
      <c r="IAI152" s="108"/>
      <c r="IAK152" s="109"/>
      <c r="IAL152" s="107"/>
      <c r="IAM152" s="107"/>
      <c r="IAT152" s="107"/>
      <c r="IAU152" s="107"/>
      <c r="IAV152" s="108"/>
      <c r="IAX152" s="109"/>
      <c r="IAY152" s="107"/>
      <c r="IAZ152" s="107"/>
      <c r="IBG152" s="107"/>
      <c r="IBH152" s="107"/>
      <c r="IBI152" s="108"/>
      <c r="IBK152" s="109"/>
      <c r="IBL152" s="107"/>
      <c r="IBM152" s="107"/>
      <c r="IBT152" s="107"/>
      <c r="IBU152" s="107"/>
      <c r="IBV152" s="108"/>
      <c r="IBX152" s="109"/>
      <c r="IBY152" s="107"/>
      <c r="IBZ152" s="107"/>
      <c r="ICG152" s="107"/>
      <c r="ICH152" s="107"/>
      <c r="ICI152" s="108"/>
      <c r="ICK152" s="109"/>
      <c r="ICL152" s="107"/>
      <c r="ICM152" s="107"/>
      <c r="ICT152" s="107"/>
      <c r="ICU152" s="107"/>
      <c r="ICV152" s="108"/>
      <c r="ICX152" s="109"/>
      <c r="ICY152" s="107"/>
      <c r="ICZ152" s="107"/>
      <c r="IDG152" s="107"/>
      <c r="IDH152" s="107"/>
      <c r="IDI152" s="108"/>
      <c r="IDK152" s="109"/>
      <c r="IDL152" s="107"/>
      <c r="IDM152" s="107"/>
      <c r="IDT152" s="107"/>
      <c r="IDU152" s="107"/>
      <c r="IDV152" s="108"/>
      <c r="IDX152" s="109"/>
      <c r="IDY152" s="107"/>
      <c r="IDZ152" s="107"/>
      <c r="IEG152" s="107"/>
      <c r="IEH152" s="107"/>
      <c r="IEI152" s="108"/>
      <c r="IEK152" s="109"/>
      <c r="IEL152" s="107"/>
      <c r="IEM152" s="107"/>
      <c r="IET152" s="107"/>
      <c r="IEU152" s="107"/>
      <c r="IEV152" s="108"/>
      <c r="IEX152" s="109"/>
      <c r="IEY152" s="107"/>
      <c r="IEZ152" s="107"/>
      <c r="IFG152" s="107"/>
      <c r="IFH152" s="107"/>
      <c r="IFI152" s="108"/>
      <c r="IFK152" s="109"/>
      <c r="IFL152" s="107"/>
      <c r="IFM152" s="107"/>
      <c r="IFT152" s="107"/>
      <c r="IFU152" s="107"/>
      <c r="IFV152" s="108"/>
      <c r="IFX152" s="109"/>
      <c r="IFY152" s="107"/>
      <c r="IFZ152" s="107"/>
      <c r="IGG152" s="107"/>
      <c r="IGH152" s="107"/>
      <c r="IGI152" s="108"/>
      <c r="IGK152" s="109"/>
      <c r="IGL152" s="107"/>
      <c r="IGM152" s="107"/>
      <c r="IGT152" s="107"/>
      <c r="IGU152" s="107"/>
      <c r="IGV152" s="108"/>
      <c r="IGX152" s="109"/>
      <c r="IGY152" s="107"/>
      <c r="IGZ152" s="107"/>
      <c r="IHG152" s="107"/>
      <c r="IHH152" s="107"/>
      <c r="IHI152" s="108"/>
      <c r="IHK152" s="109"/>
      <c r="IHL152" s="107"/>
      <c r="IHM152" s="107"/>
      <c r="IHT152" s="107"/>
      <c r="IHU152" s="107"/>
      <c r="IHV152" s="108"/>
      <c r="IHX152" s="109"/>
      <c r="IHY152" s="107"/>
      <c r="IHZ152" s="107"/>
      <c r="IIG152" s="107"/>
      <c r="IIH152" s="107"/>
      <c r="III152" s="108"/>
      <c r="IIK152" s="109"/>
      <c r="IIL152" s="107"/>
      <c r="IIM152" s="107"/>
      <c r="IIT152" s="107"/>
      <c r="IIU152" s="107"/>
      <c r="IIV152" s="108"/>
      <c r="IIX152" s="109"/>
      <c r="IIY152" s="107"/>
      <c r="IIZ152" s="107"/>
      <c r="IJG152" s="107"/>
      <c r="IJH152" s="107"/>
      <c r="IJI152" s="108"/>
      <c r="IJK152" s="109"/>
      <c r="IJL152" s="107"/>
      <c r="IJM152" s="107"/>
      <c r="IJT152" s="107"/>
      <c r="IJU152" s="107"/>
      <c r="IJV152" s="108"/>
      <c r="IJX152" s="109"/>
      <c r="IJY152" s="107"/>
      <c r="IJZ152" s="107"/>
      <c r="IKG152" s="107"/>
      <c r="IKH152" s="107"/>
      <c r="IKI152" s="108"/>
      <c r="IKK152" s="109"/>
      <c r="IKL152" s="107"/>
      <c r="IKM152" s="107"/>
      <c r="IKT152" s="107"/>
      <c r="IKU152" s="107"/>
      <c r="IKV152" s="108"/>
      <c r="IKX152" s="109"/>
      <c r="IKY152" s="107"/>
      <c r="IKZ152" s="107"/>
      <c r="ILG152" s="107"/>
      <c r="ILH152" s="107"/>
      <c r="ILI152" s="108"/>
      <c r="ILK152" s="109"/>
      <c r="ILL152" s="107"/>
      <c r="ILM152" s="107"/>
      <c r="ILT152" s="107"/>
      <c r="ILU152" s="107"/>
      <c r="ILV152" s="108"/>
      <c r="ILX152" s="109"/>
      <c r="ILY152" s="107"/>
      <c r="ILZ152" s="107"/>
      <c r="IMG152" s="107"/>
      <c r="IMH152" s="107"/>
      <c r="IMI152" s="108"/>
      <c r="IMK152" s="109"/>
      <c r="IML152" s="107"/>
      <c r="IMM152" s="107"/>
      <c r="IMT152" s="107"/>
      <c r="IMU152" s="107"/>
      <c r="IMV152" s="108"/>
      <c r="IMX152" s="109"/>
      <c r="IMY152" s="107"/>
      <c r="IMZ152" s="107"/>
      <c r="ING152" s="107"/>
      <c r="INH152" s="107"/>
      <c r="INI152" s="108"/>
      <c r="INK152" s="109"/>
      <c r="INL152" s="107"/>
      <c r="INM152" s="107"/>
      <c r="INT152" s="107"/>
      <c r="INU152" s="107"/>
      <c r="INV152" s="108"/>
      <c r="INX152" s="109"/>
      <c r="INY152" s="107"/>
      <c r="INZ152" s="107"/>
      <c r="IOG152" s="107"/>
      <c r="IOH152" s="107"/>
      <c r="IOI152" s="108"/>
      <c r="IOK152" s="109"/>
      <c r="IOL152" s="107"/>
      <c r="IOM152" s="107"/>
      <c r="IOT152" s="107"/>
      <c r="IOU152" s="107"/>
      <c r="IOV152" s="108"/>
      <c r="IOX152" s="109"/>
      <c r="IOY152" s="107"/>
      <c r="IOZ152" s="107"/>
      <c r="IPG152" s="107"/>
      <c r="IPH152" s="107"/>
      <c r="IPI152" s="108"/>
      <c r="IPK152" s="109"/>
      <c r="IPL152" s="107"/>
      <c r="IPM152" s="107"/>
      <c r="IPT152" s="107"/>
      <c r="IPU152" s="107"/>
      <c r="IPV152" s="108"/>
      <c r="IPX152" s="109"/>
      <c r="IPY152" s="107"/>
      <c r="IPZ152" s="107"/>
      <c r="IQG152" s="107"/>
      <c r="IQH152" s="107"/>
      <c r="IQI152" s="108"/>
      <c r="IQK152" s="109"/>
      <c r="IQL152" s="107"/>
      <c r="IQM152" s="107"/>
      <c r="IQT152" s="107"/>
      <c r="IQU152" s="107"/>
      <c r="IQV152" s="108"/>
      <c r="IQX152" s="109"/>
      <c r="IQY152" s="107"/>
      <c r="IQZ152" s="107"/>
      <c r="IRG152" s="107"/>
      <c r="IRH152" s="107"/>
      <c r="IRI152" s="108"/>
      <c r="IRK152" s="109"/>
      <c r="IRL152" s="107"/>
      <c r="IRM152" s="107"/>
      <c r="IRT152" s="107"/>
      <c r="IRU152" s="107"/>
      <c r="IRV152" s="108"/>
      <c r="IRX152" s="109"/>
      <c r="IRY152" s="107"/>
      <c r="IRZ152" s="107"/>
      <c r="ISG152" s="107"/>
      <c r="ISH152" s="107"/>
      <c r="ISI152" s="108"/>
      <c r="ISK152" s="109"/>
      <c r="ISL152" s="107"/>
      <c r="ISM152" s="107"/>
      <c r="IST152" s="107"/>
      <c r="ISU152" s="107"/>
      <c r="ISV152" s="108"/>
      <c r="ISX152" s="109"/>
      <c r="ISY152" s="107"/>
      <c r="ISZ152" s="107"/>
      <c r="ITG152" s="107"/>
      <c r="ITH152" s="107"/>
      <c r="ITI152" s="108"/>
      <c r="ITK152" s="109"/>
      <c r="ITL152" s="107"/>
      <c r="ITM152" s="107"/>
      <c r="ITT152" s="107"/>
      <c r="ITU152" s="107"/>
      <c r="ITV152" s="108"/>
      <c r="ITX152" s="109"/>
      <c r="ITY152" s="107"/>
      <c r="ITZ152" s="107"/>
      <c r="IUG152" s="107"/>
      <c r="IUH152" s="107"/>
      <c r="IUI152" s="108"/>
      <c r="IUK152" s="109"/>
      <c r="IUL152" s="107"/>
      <c r="IUM152" s="107"/>
      <c r="IUT152" s="107"/>
      <c r="IUU152" s="107"/>
      <c r="IUV152" s="108"/>
      <c r="IUX152" s="109"/>
      <c r="IUY152" s="107"/>
      <c r="IUZ152" s="107"/>
      <c r="IVG152" s="107"/>
      <c r="IVH152" s="107"/>
      <c r="IVI152" s="108"/>
      <c r="IVK152" s="109"/>
      <c r="IVL152" s="107"/>
      <c r="IVM152" s="107"/>
      <c r="IVT152" s="107"/>
      <c r="IVU152" s="107"/>
      <c r="IVV152" s="108"/>
      <c r="IVX152" s="109"/>
      <c r="IVY152" s="107"/>
      <c r="IVZ152" s="107"/>
      <c r="IWG152" s="107"/>
      <c r="IWH152" s="107"/>
      <c r="IWI152" s="108"/>
      <c r="IWK152" s="109"/>
      <c r="IWL152" s="107"/>
      <c r="IWM152" s="107"/>
      <c r="IWT152" s="107"/>
      <c r="IWU152" s="107"/>
      <c r="IWV152" s="108"/>
      <c r="IWX152" s="109"/>
      <c r="IWY152" s="107"/>
      <c r="IWZ152" s="107"/>
      <c r="IXG152" s="107"/>
      <c r="IXH152" s="107"/>
      <c r="IXI152" s="108"/>
      <c r="IXK152" s="109"/>
      <c r="IXL152" s="107"/>
      <c r="IXM152" s="107"/>
      <c r="IXT152" s="107"/>
      <c r="IXU152" s="107"/>
      <c r="IXV152" s="108"/>
      <c r="IXX152" s="109"/>
      <c r="IXY152" s="107"/>
      <c r="IXZ152" s="107"/>
      <c r="IYG152" s="107"/>
      <c r="IYH152" s="107"/>
      <c r="IYI152" s="108"/>
      <c r="IYK152" s="109"/>
      <c r="IYL152" s="107"/>
      <c r="IYM152" s="107"/>
      <c r="IYT152" s="107"/>
      <c r="IYU152" s="107"/>
      <c r="IYV152" s="108"/>
      <c r="IYX152" s="109"/>
      <c r="IYY152" s="107"/>
      <c r="IYZ152" s="107"/>
      <c r="IZG152" s="107"/>
      <c r="IZH152" s="107"/>
      <c r="IZI152" s="108"/>
      <c r="IZK152" s="109"/>
      <c r="IZL152" s="107"/>
      <c r="IZM152" s="107"/>
      <c r="IZT152" s="107"/>
      <c r="IZU152" s="107"/>
      <c r="IZV152" s="108"/>
      <c r="IZX152" s="109"/>
      <c r="IZY152" s="107"/>
      <c r="IZZ152" s="107"/>
      <c r="JAG152" s="107"/>
      <c r="JAH152" s="107"/>
      <c r="JAI152" s="108"/>
      <c r="JAK152" s="109"/>
      <c r="JAL152" s="107"/>
      <c r="JAM152" s="107"/>
      <c r="JAT152" s="107"/>
      <c r="JAU152" s="107"/>
      <c r="JAV152" s="108"/>
      <c r="JAX152" s="109"/>
      <c r="JAY152" s="107"/>
      <c r="JAZ152" s="107"/>
      <c r="JBG152" s="107"/>
      <c r="JBH152" s="107"/>
      <c r="JBI152" s="108"/>
      <c r="JBK152" s="109"/>
      <c r="JBL152" s="107"/>
      <c r="JBM152" s="107"/>
      <c r="JBT152" s="107"/>
      <c r="JBU152" s="107"/>
      <c r="JBV152" s="108"/>
      <c r="JBX152" s="109"/>
      <c r="JBY152" s="107"/>
      <c r="JBZ152" s="107"/>
      <c r="JCG152" s="107"/>
      <c r="JCH152" s="107"/>
      <c r="JCI152" s="108"/>
      <c r="JCK152" s="109"/>
      <c r="JCL152" s="107"/>
      <c r="JCM152" s="107"/>
      <c r="JCT152" s="107"/>
      <c r="JCU152" s="107"/>
      <c r="JCV152" s="108"/>
      <c r="JCX152" s="109"/>
      <c r="JCY152" s="107"/>
      <c r="JCZ152" s="107"/>
      <c r="JDG152" s="107"/>
      <c r="JDH152" s="107"/>
      <c r="JDI152" s="108"/>
      <c r="JDK152" s="109"/>
      <c r="JDL152" s="107"/>
      <c r="JDM152" s="107"/>
      <c r="JDT152" s="107"/>
      <c r="JDU152" s="107"/>
      <c r="JDV152" s="108"/>
      <c r="JDX152" s="109"/>
      <c r="JDY152" s="107"/>
      <c r="JDZ152" s="107"/>
      <c r="JEG152" s="107"/>
      <c r="JEH152" s="107"/>
      <c r="JEI152" s="108"/>
      <c r="JEK152" s="109"/>
      <c r="JEL152" s="107"/>
      <c r="JEM152" s="107"/>
      <c r="JET152" s="107"/>
      <c r="JEU152" s="107"/>
      <c r="JEV152" s="108"/>
      <c r="JEX152" s="109"/>
      <c r="JEY152" s="107"/>
      <c r="JEZ152" s="107"/>
      <c r="JFG152" s="107"/>
      <c r="JFH152" s="107"/>
      <c r="JFI152" s="108"/>
      <c r="JFK152" s="109"/>
      <c r="JFL152" s="107"/>
      <c r="JFM152" s="107"/>
      <c r="JFT152" s="107"/>
      <c r="JFU152" s="107"/>
      <c r="JFV152" s="108"/>
      <c r="JFX152" s="109"/>
      <c r="JFY152" s="107"/>
      <c r="JFZ152" s="107"/>
      <c r="JGG152" s="107"/>
      <c r="JGH152" s="107"/>
      <c r="JGI152" s="108"/>
      <c r="JGK152" s="109"/>
      <c r="JGL152" s="107"/>
      <c r="JGM152" s="107"/>
      <c r="JGT152" s="107"/>
      <c r="JGU152" s="107"/>
      <c r="JGV152" s="108"/>
      <c r="JGX152" s="109"/>
      <c r="JGY152" s="107"/>
      <c r="JGZ152" s="107"/>
      <c r="JHG152" s="107"/>
      <c r="JHH152" s="107"/>
      <c r="JHI152" s="108"/>
      <c r="JHK152" s="109"/>
      <c r="JHL152" s="107"/>
      <c r="JHM152" s="107"/>
      <c r="JHT152" s="107"/>
      <c r="JHU152" s="107"/>
      <c r="JHV152" s="108"/>
      <c r="JHX152" s="109"/>
      <c r="JHY152" s="107"/>
      <c r="JHZ152" s="107"/>
      <c r="JIG152" s="107"/>
      <c r="JIH152" s="107"/>
      <c r="JII152" s="108"/>
      <c r="JIK152" s="109"/>
      <c r="JIL152" s="107"/>
      <c r="JIM152" s="107"/>
      <c r="JIT152" s="107"/>
      <c r="JIU152" s="107"/>
      <c r="JIV152" s="108"/>
      <c r="JIX152" s="109"/>
      <c r="JIY152" s="107"/>
      <c r="JIZ152" s="107"/>
      <c r="JJG152" s="107"/>
      <c r="JJH152" s="107"/>
      <c r="JJI152" s="108"/>
      <c r="JJK152" s="109"/>
      <c r="JJL152" s="107"/>
      <c r="JJM152" s="107"/>
      <c r="JJT152" s="107"/>
      <c r="JJU152" s="107"/>
      <c r="JJV152" s="108"/>
      <c r="JJX152" s="109"/>
      <c r="JJY152" s="107"/>
      <c r="JJZ152" s="107"/>
      <c r="JKG152" s="107"/>
      <c r="JKH152" s="107"/>
      <c r="JKI152" s="108"/>
      <c r="JKK152" s="109"/>
      <c r="JKL152" s="107"/>
      <c r="JKM152" s="107"/>
      <c r="JKT152" s="107"/>
      <c r="JKU152" s="107"/>
      <c r="JKV152" s="108"/>
      <c r="JKX152" s="109"/>
      <c r="JKY152" s="107"/>
      <c r="JKZ152" s="107"/>
      <c r="JLG152" s="107"/>
      <c r="JLH152" s="107"/>
      <c r="JLI152" s="108"/>
      <c r="JLK152" s="109"/>
      <c r="JLL152" s="107"/>
      <c r="JLM152" s="107"/>
      <c r="JLT152" s="107"/>
      <c r="JLU152" s="107"/>
      <c r="JLV152" s="108"/>
      <c r="JLX152" s="109"/>
      <c r="JLY152" s="107"/>
      <c r="JLZ152" s="107"/>
      <c r="JMG152" s="107"/>
      <c r="JMH152" s="107"/>
      <c r="JMI152" s="108"/>
      <c r="JMK152" s="109"/>
      <c r="JML152" s="107"/>
      <c r="JMM152" s="107"/>
      <c r="JMT152" s="107"/>
      <c r="JMU152" s="107"/>
      <c r="JMV152" s="108"/>
      <c r="JMX152" s="109"/>
      <c r="JMY152" s="107"/>
      <c r="JMZ152" s="107"/>
      <c r="JNG152" s="107"/>
      <c r="JNH152" s="107"/>
      <c r="JNI152" s="108"/>
      <c r="JNK152" s="109"/>
      <c r="JNL152" s="107"/>
      <c r="JNM152" s="107"/>
      <c r="JNT152" s="107"/>
      <c r="JNU152" s="107"/>
      <c r="JNV152" s="108"/>
      <c r="JNX152" s="109"/>
      <c r="JNY152" s="107"/>
      <c r="JNZ152" s="107"/>
      <c r="JOG152" s="107"/>
      <c r="JOH152" s="107"/>
      <c r="JOI152" s="108"/>
      <c r="JOK152" s="109"/>
      <c r="JOL152" s="107"/>
      <c r="JOM152" s="107"/>
      <c r="JOT152" s="107"/>
      <c r="JOU152" s="107"/>
      <c r="JOV152" s="108"/>
      <c r="JOX152" s="109"/>
      <c r="JOY152" s="107"/>
      <c r="JOZ152" s="107"/>
      <c r="JPG152" s="107"/>
      <c r="JPH152" s="107"/>
      <c r="JPI152" s="108"/>
      <c r="JPK152" s="109"/>
      <c r="JPL152" s="107"/>
      <c r="JPM152" s="107"/>
      <c r="JPT152" s="107"/>
      <c r="JPU152" s="107"/>
      <c r="JPV152" s="108"/>
      <c r="JPX152" s="109"/>
      <c r="JPY152" s="107"/>
      <c r="JPZ152" s="107"/>
      <c r="JQG152" s="107"/>
      <c r="JQH152" s="107"/>
      <c r="JQI152" s="108"/>
      <c r="JQK152" s="109"/>
      <c r="JQL152" s="107"/>
      <c r="JQM152" s="107"/>
      <c r="JQT152" s="107"/>
      <c r="JQU152" s="107"/>
      <c r="JQV152" s="108"/>
      <c r="JQX152" s="109"/>
      <c r="JQY152" s="107"/>
      <c r="JQZ152" s="107"/>
      <c r="JRG152" s="107"/>
      <c r="JRH152" s="107"/>
      <c r="JRI152" s="108"/>
      <c r="JRK152" s="109"/>
      <c r="JRL152" s="107"/>
      <c r="JRM152" s="107"/>
      <c r="JRT152" s="107"/>
      <c r="JRU152" s="107"/>
      <c r="JRV152" s="108"/>
      <c r="JRX152" s="109"/>
      <c r="JRY152" s="107"/>
      <c r="JRZ152" s="107"/>
      <c r="JSG152" s="107"/>
      <c r="JSH152" s="107"/>
      <c r="JSI152" s="108"/>
      <c r="JSK152" s="109"/>
      <c r="JSL152" s="107"/>
      <c r="JSM152" s="107"/>
      <c r="JST152" s="107"/>
      <c r="JSU152" s="107"/>
      <c r="JSV152" s="108"/>
      <c r="JSX152" s="109"/>
      <c r="JSY152" s="107"/>
      <c r="JSZ152" s="107"/>
      <c r="JTG152" s="107"/>
      <c r="JTH152" s="107"/>
      <c r="JTI152" s="108"/>
      <c r="JTK152" s="109"/>
      <c r="JTL152" s="107"/>
      <c r="JTM152" s="107"/>
      <c r="JTT152" s="107"/>
      <c r="JTU152" s="107"/>
      <c r="JTV152" s="108"/>
      <c r="JTX152" s="109"/>
      <c r="JTY152" s="107"/>
      <c r="JTZ152" s="107"/>
      <c r="JUG152" s="107"/>
      <c r="JUH152" s="107"/>
      <c r="JUI152" s="108"/>
      <c r="JUK152" s="109"/>
      <c r="JUL152" s="107"/>
      <c r="JUM152" s="107"/>
      <c r="JUT152" s="107"/>
      <c r="JUU152" s="107"/>
      <c r="JUV152" s="108"/>
      <c r="JUX152" s="109"/>
      <c r="JUY152" s="107"/>
      <c r="JUZ152" s="107"/>
      <c r="JVG152" s="107"/>
      <c r="JVH152" s="107"/>
      <c r="JVI152" s="108"/>
      <c r="JVK152" s="109"/>
      <c r="JVL152" s="107"/>
      <c r="JVM152" s="107"/>
      <c r="JVT152" s="107"/>
      <c r="JVU152" s="107"/>
      <c r="JVV152" s="108"/>
      <c r="JVX152" s="109"/>
      <c r="JVY152" s="107"/>
      <c r="JVZ152" s="107"/>
      <c r="JWG152" s="107"/>
      <c r="JWH152" s="107"/>
      <c r="JWI152" s="108"/>
      <c r="JWK152" s="109"/>
      <c r="JWL152" s="107"/>
      <c r="JWM152" s="107"/>
      <c r="JWT152" s="107"/>
      <c r="JWU152" s="107"/>
      <c r="JWV152" s="108"/>
      <c r="JWX152" s="109"/>
      <c r="JWY152" s="107"/>
      <c r="JWZ152" s="107"/>
      <c r="JXG152" s="107"/>
      <c r="JXH152" s="107"/>
      <c r="JXI152" s="108"/>
      <c r="JXK152" s="109"/>
      <c r="JXL152" s="107"/>
      <c r="JXM152" s="107"/>
      <c r="JXT152" s="107"/>
      <c r="JXU152" s="107"/>
      <c r="JXV152" s="108"/>
      <c r="JXX152" s="109"/>
      <c r="JXY152" s="107"/>
      <c r="JXZ152" s="107"/>
      <c r="JYG152" s="107"/>
      <c r="JYH152" s="107"/>
      <c r="JYI152" s="108"/>
      <c r="JYK152" s="109"/>
      <c r="JYL152" s="107"/>
      <c r="JYM152" s="107"/>
      <c r="JYT152" s="107"/>
      <c r="JYU152" s="107"/>
      <c r="JYV152" s="108"/>
      <c r="JYX152" s="109"/>
      <c r="JYY152" s="107"/>
      <c r="JYZ152" s="107"/>
      <c r="JZG152" s="107"/>
      <c r="JZH152" s="107"/>
      <c r="JZI152" s="108"/>
      <c r="JZK152" s="109"/>
      <c r="JZL152" s="107"/>
      <c r="JZM152" s="107"/>
      <c r="JZT152" s="107"/>
      <c r="JZU152" s="107"/>
      <c r="JZV152" s="108"/>
      <c r="JZX152" s="109"/>
      <c r="JZY152" s="107"/>
      <c r="JZZ152" s="107"/>
      <c r="KAG152" s="107"/>
      <c r="KAH152" s="107"/>
      <c r="KAI152" s="108"/>
      <c r="KAK152" s="109"/>
      <c r="KAL152" s="107"/>
      <c r="KAM152" s="107"/>
      <c r="KAT152" s="107"/>
      <c r="KAU152" s="107"/>
      <c r="KAV152" s="108"/>
      <c r="KAX152" s="109"/>
      <c r="KAY152" s="107"/>
      <c r="KAZ152" s="107"/>
      <c r="KBG152" s="107"/>
      <c r="KBH152" s="107"/>
      <c r="KBI152" s="108"/>
      <c r="KBK152" s="109"/>
      <c r="KBL152" s="107"/>
      <c r="KBM152" s="107"/>
      <c r="KBT152" s="107"/>
      <c r="KBU152" s="107"/>
      <c r="KBV152" s="108"/>
      <c r="KBX152" s="109"/>
      <c r="KBY152" s="107"/>
      <c r="KBZ152" s="107"/>
      <c r="KCG152" s="107"/>
      <c r="KCH152" s="107"/>
      <c r="KCI152" s="108"/>
      <c r="KCK152" s="109"/>
      <c r="KCL152" s="107"/>
      <c r="KCM152" s="107"/>
      <c r="KCT152" s="107"/>
      <c r="KCU152" s="107"/>
      <c r="KCV152" s="108"/>
      <c r="KCX152" s="109"/>
      <c r="KCY152" s="107"/>
      <c r="KCZ152" s="107"/>
      <c r="KDG152" s="107"/>
      <c r="KDH152" s="107"/>
      <c r="KDI152" s="108"/>
      <c r="KDK152" s="109"/>
      <c r="KDL152" s="107"/>
      <c r="KDM152" s="107"/>
      <c r="KDT152" s="107"/>
      <c r="KDU152" s="107"/>
      <c r="KDV152" s="108"/>
      <c r="KDX152" s="109"/>
      <c r="KDY152" s="107"/>
      <c r="KDZ152" s="107"/>
      <c r="KEG152" s="107"/>
      <c r="KEH152" s="107"/>
      <c r="KEI152" s="108"/>
      <c r="KEK152" s="109"/>
      <c r="KEL152" s="107"/>
      <c r="KEM152" s="107"/>
      <c r="KET152" s="107"/>
      <c r="KEU152" s="107"/>
      <c r="KEV152" s="108"/>
      <c r="KEX152" s="109"/>
      <c r="KEY152" s="107"/>
      <c r="KEZ152" s="107"/>
      <c r="KFG152" s="107"/>
      <c r="KFH152" s="107"/>
      <c r="KFI152" s="108"/>
      <c r="KFK152" s="109"/>
      <c r="KFL152" s="107"/>
      <c r="KFM152" s="107"/>
      <c r="KFT152" s="107"/>
      <c r="KFU152" s="107"/>
      <c r="KFV152" s="108"/>
      <c r="KFX152" s="109"/>
      <c r="KFY152" s="107"/>
      <c r="KFZ152" s="107"/>
      <c r="KGG152" s="107"/>
      <c r="KGH152" s="107"/>
      <c r="KGI152" s="108"/>
      <c r="KGK152" s="109"/>
      <c r="KGL152" s="107"/>
      <c r="KGM152" s="107"/>
      <c r="KGT152" s="107"/>
      <c r="KGU152" s="107"/>
      <c r="KGV152" s="108"/>
      <c r="KGX152" s="109"/>
      <c r="KGY152" s="107"/>
      <c r="KGZ152" s="107"/>
      <c r="KHG152" s="107"/>
      <c r="KHH152" s="107"/>
      <c r="KHI152" s="108"/>
      <c r="KHK152" s="109"/>
      <c r="KHL152" s="107"/>
      <c r="KHM152" s="107"/>
      <c r="KHT152" s="107"/>
      <c r="KHU152" s="107"/>
      <c r="KHV152" s="108"/>
      <c r="KHX152" s="109"/>
      <c r="KHY152" s="107"/>
      <c r="KHZ152" s="107"/>
      <c r="KIG152" s="107"/>
      <c r="KIH152" s="107"/>
      <c r="KII152" s="108"/>
      <c r="KIK152" s="109"/>
      <c r="KIL152" s="107"/>
      <c r="KIM152" s="107"/>
      <c r="KIT152" s="107"/>
      <c r="KIU152" s="107"/>
      <c r="KIV152" s="108"/>
      <c r="KIX152" s="109"/>
      <c r="KIY152" s="107"/>
      <c r="KIZ152" s="107"/>
      <c r="KJG152" s="107"/>
      <c r="KJH152" s="107"/>
      <c r="KJI152" s="108"/>
      <c r="KJK152" s="109"/>
      <c r="KJL152" s="107"/>
      <c r="KJM152" s="107"/>
      <c r="KJT152" s="107"/>
      <c r="KJU152" s="107"/>
      <c r="KJV152" s="108"/>
      <c r="KJX152" s="109"/>
      <c r="KJY152" s="107"/>
      <c r="KJZ152" s="107"/>
      <c r="KKG152" s="107"/>
      <c r="KKH152" s="107"/>
      <c r="KKI152" s="108"/>
      <c r="KKK152" s="109"/>
      <c r="KKL152" s="107"/>
      <c r="KKM152" s="107"/>
      <c r="KKT152" s="107"/>
      <c r="KKU152" s="107"/>
      <c r="KKV152" s="108"/>
      <c r="KKX152" s="109"/>
      <c r="KKY152" s="107"/>
      <c r="KKZ152" s="107"/>
      <c r="KLG152" s="107"/>
      <c r="KLH152" s="107"/>
      <c r="KLI152" s="108"/>
      <c r="KLK152" s="109"/>
      <c r="KLL152" s="107"/>
      <c r="KLM152" s="107"/>
      <c r="KLT152" s="107"/>
      <c r="KLU152" s="107"/>
      <c r="KLV152" s="108"/>
      <c r="KLX152" s="109"/>
      <c r="KLY152" s="107"/>
      <c r="KLZ152" s="107"/>
      <c r="KMG152" s="107"/>
      <c r="KMH152" s="107"/>
      <c r="KMI152" s="108"/>
      <c r="KMK152" s="109"/>
      <c r="KML152" s="107"/>
      <c r="KMM152" s="107"/>
      <c r="KMT152" s="107"/>
      <c r="KMU152" s="107"/>
      <c r="KMV152" s="108"/>
      <c r="KMX152" s="109"/>
      <c r="KMY152" s="107"/>
      <c r="KMZ152" s="107"/>
      <c r="KNG152" s="107"/>
      <c r="KNH152" s="107"/>
      <c r="KNI152" s="108"/>
      <c r="KNK152" s="109"/>
      <c r="KNL152" s="107"/>
      <c r="KNM152" s="107"/>
      <c r="KNT152" s="107"/>
      <c r="KNU152" s="107"/>
      <c r="KNV152" s="108"/>
      <c r="KNX152" s="109"/>
      <c r="KNY152" s="107"/>
      <c r="KNZ152" s="107"/>
      <c r="KOG152" s="107"/>
      <c r="KOH152" s="107"/>
      <c r="KOI152" s="108"/>
      <c r="KOK152" s="109"/>
      <c r="KOL152" s="107"/>
      <c r="KOM152" s="107"/>
      <c r="KOT152" s="107"/>
      <c r="KOU152" s="107"/>
      <c r="KOV152" s="108"/>
      <c r="KOX152" s="109"/>
      <c r="KOY152" s="107"/>
      <c r="KOZ152" s="107"/>
      <c r="KPG152" s="107"/>
      <c r="KPH152" s="107"/>
      <c r="KPI152" s="108"/>
      <c r="KPK152" s="109"/>
      <c r="KPL152" s="107"/>
      <c r="KPM152" s="107"/>
      <c r="KPT152" s="107"/>
      <c r="KPU152" s="107"/>
      <c r="KPV152" s="108"/>
      <c r="KPX152" s="109"/>
      <c r="KPY152" s="107"/>
      <c r="KPZ152" s="107"/>
      <c r="KQG152" s="107"/>
      <c r="KQH152" s="107"/>
      <c r="KQI152" s="108"/>
      <c r="KQK152" s="109"/>
      <c r="KQL152" s="107"/>
      <c r="KQM152" s="107"/>
      <c r="KQT152" s="107"/>
      <c r="KQU152" s="107"/>
      <c r="KQV152" s="108"/>
      <c r="KQX152" s="109"/>
      <c r="KQY152" s="107"/>
      <c r="KQZ152" s="107"/>
      <c r="KRG152" s="107"/>
      <c r="KRH152" s="107"/>
      <c r="KRI152" s="108"/>
      <c r="KRK152" s="109"/>
      <c r="KRL152" s="107"/>
      <c r="KRM152" s="107"/>
      <c r="KRT152" s="107"/>
      <c r="KRU152" s="107"/>
      <c r="KRV152" s="108"/>
      <c r="KRX152" s="109"/>
      <c r="KRY152" s="107"/>
      <c r="KRZ152" s="107"/>
      <c r="KSG152" s="107"/>
      <c r="KSH152" s="107"/>
      <c r="KSI152" s="108"/>
      <c r="KSK152" s="109"/>
      <c r="KSL152" s="107"/>
      <c r="KSM152" s="107"/>
      <c r="KST152" s="107"/>
      <c r="KSU152" s="107"/>
      <c r="KSV152" s="108"/>
      <c r="KSX152" s="109"/>
      <c r="KSY152" s="107"/>
      <c r="KSZ152" s="107"/>
      <c r="KTG152" s="107"/>
      <c r="KTH152" s="107"/>
      <c r="KTI152" s="108"/>
      <c r="KTK152" s="109"/>
      <c r="KTL152" s="107"/>
      <c r="KTM152" s="107"/>
      <c r="KTT152" s="107"/>
      <c r="KTU152" s="107"/>
      <c r="KTV152" s="108"/>
      <c r="KTX152" s="109"/>
      <c r="KTY152" s="107"/>
      <c r="KTZ152" s="107"/>
      <c r="KUG152" s="107"/>
      <c r="KUH152" s="107"/>
      <c r="KUI152" s="108"/>
      <c r="KUK152" s="109"/>
      <c r="KUL152" s="107"/>
      <c r="KUM152" s="107"/>
      <c r="KUT152" s="107"/>
      <c r="KUU152" s="107"/>
      <c r="KUV152" s="108"/>
      <c r="KUX152" s="109"/>
      <c r="KUY152" s="107"/>
      <c r="KUZ152" s="107"/>
      <c r="KVG152" s="107"/>
      <c r="KVH152" s="107"/>
      <c r="KVI152" s="108"/>
      <c r="KVK152" s="109"/>
      <c r="KVL152" s="107"/>
      <c r="KVM152" s="107"/>
      <c r="KVT152" s="107"/>
      <c r="KVU152" s="107"/>
      <c r="KVV152" s="108"/>
      <c r="KVX152" s="109"/>
      <c r="KVY152" s="107"/>
      <c r="KVZ152" s="107"/>
      <c r="KWG152" s="107"/>
      <c r="KWH152" s="107"/>
      <c r="KWI152" s="108"/>
      <c r="KWK152" s="109"/>
      <c r="KWL152" s="107"/>
      <c r="KWM152" s="107"/>
      <c r="KWT152" s="107"/>
      <c r="KWU152" s="107"/>
      <c r="KWV152" s="108"/>
      <c r="KWX152" s="109"/>
      <c r="KWY152" s="107"/>
      <c r="KWZ152" s="107"/>
      <c r="KXG152" s="107"/>
      <c r="KXH152" s="107"/>
      <c r="KXI152" s="108"/>
      <c r="KXK152" s="109"/>
      <c r="KXL152" s="107"/>
      <c r="KXM152" s="107"/>
      <c r="KXT152" s="107"/>
      <c r="KXU152" s="107"/>
      <c r="KXV152" s="108"/>
      <c r="KXX152" s="109"/>
      <c r="KXY152" s="107"/>
      <c r="KXZ152" s="107"/>
      <c r="KYG152" s="107"/>
      <c r="KYH152" s="107"/>
      <c r="KYI152" s="108"/>
      <c r="KYK152" s="109"/>
      <c r="KYL152" s="107"/>
      <c r="KYM152" s="107"/>
      <c r="KYT152" s="107"/>
      <c r="KYU152" s="107"/>
      <c r="KYV152" s="108"/>
      <c r="KYX152" s="109"/>
      <c r="KYY152" s="107"/>
      <c r="KYZ152" s="107"/>
      <c r="KZG152" s="107"/>
      <c r="KZH152" s="107"/>
      <c r="KZI152" s="108"/>
      <c r="KZK152" s="109"/>
      <c r="KZL152" s="107"/>
      <c r="KZM152" s="107"/>
      <c r="KZT152" s="107"/>
      <c r="KZU152" s="107"/>
      <c r="KZV152" s="108"/>
      <c r="KZX152" s="109"/>
      <c r="KZY152" s="107"/>
      <c r="KZZ152" s="107"/>
      <c r="LAG152" s="107"/>
      <c r="LAH152" s="107"/>
      <c r="LAI152" s="108"/>
      <c r="LAK152" s="109"/>
      <c r="LAL152" s="107"/>
      <c r="LAM152" s="107"/>
      <c r="LAT152" s="107"/>
      <c r="LAU152" s="107"/>
      <c r="LAV152" s="108"/>
      <c r="LAX152" s="109"/>
      <c r="LAY152" s="107"/>
      <c r="LAZ152" s="107"/>
      <c r="LBG152" s="107"/>
      <c r="LBH152" s="107"/>
      <c r="LBI152" s="108"/>
      <c r="LBK152" s="109"/>
      <c r="LBL152" s="107"/>
      <c r="LBM152" s="107"/>
      <c r="LBT152" s="107"/>
      <c r="LBU152" s="107"/>
      <c r="LBV152" s="108"/>
      <c r="LBX152" s="109"/>
      <c r="LBY152" s="107"/>
      <c r="LBZ152" s="107"/>
      <c r="LCG152" s="107"/>
      <c r="LCH152" s="107"/>
      <c r="LCI152" s="108"/>
      <c r="LCK152" s="109"/>
      <c r="LCL152" s="107"/>
      <c r="LCM152" s="107"/>
      <c r="LCT152" s="107"/>
      <c r="LCU152" s="107"/>
      <c r="LCV152" s="108"/>
      <c r="LCX152" s="109"/>
      <c r="LCY152" s="107"/>
      <c r="LCZ152" s="107"/>
      <c r="LDG152" s="107"/>
      <c r="LDH152" s="107"/>
      <c r="LDI152" s="108"/>
      <c r="LDK152" s="109"/>
      <c r="LDL152" s="107"/>
      <c r="LDM152" s="107"/>
      <c r="LDT152" s="107"/>
      <c r="LDU152" s="107"/>
      <c r="LDV152" s="108"/>
      <c r="LDX152" s="109"/>
      <c r="LDY152" s="107"/>
      <c r="LDZ152" s="107"/>
      <c r="LEG152" s="107"/>
      <c r="LEH152" s="107"/>
      <c r="LEI152" s="108"/>
      <c r="LEK152" s="109"/>
      <c r="LEL152" s="107"/>
      <c r="LEM152" s="107"/>
      <c r="LET152" s="107"/>
      <c r="LEU152" s="107"/>
      <c r="LEV152" s="108"/>
      <c r="LEX152" s="109"/>
      <c r="LEY152" s="107"/>
      <c r="LEZ152" s="107"/>
      <c r="LFG152" s="107"/>
      <c r="LFH152" s="107"/>
      <c r="LFI152" s="108"/>
      <c r="LFK152" s="109"/>
      <c r="LFL152" s="107"/>
      <c r="LFM152" s="107"/>
      <c r="LFT152" s="107"/>
      <c r="LFU152" s="107"/>
      <c r="LFV152" s="108"/>
      <c r="LFX152" s="109"/>
      <c r="LFY152" s="107"/>
      <c r="LFZ152" s="107"/>
      <c r="LGG152" s="107"/>
      <c r="LGH152" s="107"/>
      <c r="LGI152" s="108"/>
      <c r="LGK152" s="109"/>
      <c r="LGL152" s="107"/>
      <c r="LGM152" s="107"/>
      <c r="LGT152" s="107"/>
      <c r="LGU152" s="107"/>
      <c r="LGV152" s="108"/>
      <c r="LGX152" s="109"/>
      <c r="LGY152" s="107"/>
      <c r="LGZ152" s="107"/>
      <c r="LHG152" s="107"/>
      <c r="LHH152" s="107"/>
      <c r="LHI152" s="108"/>
      <c r="LHK152" s="109"/>
      <c r="LHL152" s="107"/>
      <c r="LHM152" s="107"/>
      <c r="LHT152" s="107"/>
      <c r="LHU152" s="107"/>
      <c r="LHV152" s="108"/>
      <c r="LHX152" s="109"/>
      <c r="LHY152" s="107"/>
      <c r="LHZ152" s="107"/>
      <c r="LIG152" s="107"/>
      <c r="LIH152" s="107"/>
      <c r="LII152" s="108"/>
      <c r="LIK152" s="109"/>
      <c r="LIL152" s="107"/>
      <c r="LIM152" s="107"/>
      <c r="LIT152" s="107"/>
      <c r="LIU152" s="107"/>
      <c r="LIV152" s="108"/>
      <c r="LIX152" s="109"/>
      <c r="LIY152" s="107"/>
      <c r="LIZ152" s="107"/>
      <c r="LJG152" s="107"/>
      <c r="LJH152" s="107"/>
      <c r="LJI152" s="108"/>
      <c r="LJK152" s="109"/>
      <c r="LJL152" s="107"/>
      <c r="LJM152" s="107"/>
      <c r="LJT152" s="107"/>
      <c r="LJU152" s="107"/>
      <c r="LJV152" s="108"/>
      <c r="LJX152" s="109"/>
      <c r="LJY152" s="107"/>
      <c r="LJZ152" s="107"/>
      <c r="LKG152" s="107"/>
      <c r="LKH152" s="107"/>
      <c r="LKI152" s="108"/>
      <c r="LKK152" s="109"/>
      <c r="LKL152" s="107"/>
      <c r="LKM152" s="107"/>
      <c r="LKT152" s="107"/>
      <c r="LKU152" s="107"/>
      <c r="LKV152" s="108"/>
      <c r="LKX152" s="109"/>
      <c r="LKY152" s="107"/>
      <c r="LKZ152" s="107"/>
      <c r="LLG152" s="107"/>
      <c r="LLH152" s="107"/>
      <c r="LLI152" s="108"/>
      <c r="LLK152" s="109"/>
      <c r="LLL152" s="107"/>
      <c r="LLM152" s="107"/>
      <c r="LLT152" s="107"/>
      <c r="LLU152" s="107"/>
      <c r="LLV152" s="108"/>
      <c r="LLX152" s="109"/>
      <c r="LLY152" s="107"/>
      <c r="LLZ152" s="107"/>
      <c r="LMG152" s="107"/>
      <c r="LMH152" s="107"/>
      <c r="LMI152" s="108"/>
      <c r="LMK152" s="109"/>
      <c r="LML152" s="107"/>
      <c r="LMM152" s="107"/>
      <c r="LMT152" s="107"/>
      <c r="LMU152" s="107"/>
      <c r="LMV152" s="108"/>
      <c r="LMX152" s="109"/>
      <c r="LMY152" s="107"/>
      <c r="LMZ152" s="107"/>
      <c r="LNG152" s="107"/>
      <c r="LNH152" s="107"/>
      <c r="LNI152" s="108"/>
      <c r="LNK152" s="109"/>
      <c r="LNL152" s="107"/>
      <c r="LNM152" s="107"/>
      <c r="LNT152" s="107"/>
      <c r="LNU152" s="107"/>
      <c r="LNV152" s="108"/>
      <c r="LNX152" s="109"/>
      <c r="LNY152" s="107"/>
      <c r="LNZ152" s="107"/>
      <c r="LOG152" s="107"/>
      <c r="LOH152" s="107"/>
      <c r="LOI152" s="108"/>
      <c r="LOK152" s="109"/>
      <c r="LOL152" s="107"/>
      <c r="LOM152" s="107"/>
      <c r="LOT152" s="107"/>
      <c r="LOU152" s="107"/>
      <c r="LOV152" s="108"/>
      <c r="LOX152" s="109"/>
      <c r="LOY152" s="107"/>
      <c r="LOZ152" s="107"/>
      <c r="LPG152" s="107"/>
      <c r="LPH152" s="107"/>
      <c r="LPI152" s="108"/>
      <c r="LPK152" s="109"/>
      <c r="LPL152" s="107"/>
      <c r="LPM152" s="107"/>
      <c r="LPT152" s="107"/>
      <c r="LPU152" s="107"/>
      <c r="LPV152" s="108"/>
      <c r="LPX152" s="109"/>
      <c r="LPY152" s="107"/>
      <c r="LPZ152" s="107"/>
      <c r="LQG152" s="107"/>
      <c r="LQH152" s="107"/>
      <c r="LQI152" s="108"/>
      <c r="LQK152" s="109"/>
      <c r="LQL152" s="107"/>
      <c r="LQM152" s="107"/>
      <c r="LQT152" s="107"/>
      <c r="LQU152" s="107"/>
      <c r="LQV152" s="108"/>
      <c r="LQX152" s="109"/>
      <c r="LQY152" s="107"/>
      <c r="LQZ152" s="107"/>
      <c r="LRG152" s="107"/>
      <c r="LRH152" s="107"/>
      <c r="LRI152" s="108"/>
      <c r="LRK152" s="109"/>
      <c r="LRL152" s="107"/>
      <c r="LRM152" s="107"/>
      <c r="LRT152" s="107"/>
      <c r="LRU152" s="107"/>
      <c r="LRV152" s="108"/>
      <c r="LRX152" s="109"/>
      <c r="LRY152" s="107"/>
      <c r="LRZ152" s="107"/>
      <c r="LSG152" s="107"/>
      <c r="LSH152" s="107"/>
      <c r="LSI152" s="108"/>
      <c r="LSK152" s="109"/>
      <c r="LSL152" s="107"/>
      <c r="LSM152" s="107"/>
      <c r="LST152" s="107"/>
      <c r="LSU152" s="107"/>
      <c r="LSV152" s="108"/>
      <c r="LSX152" s="109"/>
      <c r="LSY152" s="107"/>
      <c r="LSZ152" s="107"/>
      <c r="LTG152" s="107"/>
      <c r="LTH152" s="107"/>
      <c r="LTI152" s="108"/>
      <c r="LTK152" s="109"/>
      <c r="LTL152" s="107"/>
      <c r="LTM152" s="107"/>
      <c r="LTT152" s="107"/>
      <c r="LTU152" s="107"/>
      <c r="LTV152" s="108"/>
      <c r="LTX152" s="109"/>
      <c r="LTY152" s="107"/>
      <c r="LTZ152" s="107"/>
      <c r="LUG152" s="107"/>
      <c r="LUH152" s="107"/>
      <c r="LUI152" s="108"/>
      <c r="LUK152" s="109"/>
      <c r="LUL152" s="107"/>
      <c r="LUM152" s="107"/>
      <c r="LUT152" s="107"/>
      <c r="LUU152" s="107"/>
      <c r="LUV152" s="108"/>
      <c r="LUX152" s="109"/>
      <c r="LUY152" s="107"/>
      <c r="LUZ152" s="107"/>
      <c r="LVG152" s="107"/>
      <c r="LVH152" s="107"/>
      <c r="LVI152" s="108"/>
      <c r="LVK152" s="109"/>
      <c r="LVL152" s="107"/>
      <c r="LVM152" s="107"/>
      <c r="LVT152" s="107"/>
      <c r="LVU152" s="107"/>
      <c r="LVV152" s="108"/>
      <c r="LVX152" s="109"/>
      <c r="LVY152" s="107"/>
      <c r="LVZ152" s="107"/>
      <c r="LWG152" s="107"/>
      <c r="LWH152" s="107"/>
      <c r="LWI152" s="108"/>
      <c r="LWK152" s="109"/>
      <c r="LWL152" s="107"/>
      <c r="LWM152" s="107"/>
      <c r="LWT152" s="107"/>
      <c r="LWU152" s="107"/>
      <c r="LWV152" s="108"/>
      <c r="LWX152" s="109"/>
      <c r="LWY152" s="107"/>
      <c r="LWZ152" s="107"/>
      <c r="LXG152" s="107"/>
      <c r="LXH152" s="107"/>
      <c r="LXI152" s="108"/>
      <c r="LXK152" s="109"/>
      <c r="LXL152" s="107"/>
      <c r="LXM152" s="107"/>
      <c r="LXT152" s="107"/>
      <c r="LXU152" s="107"/>
      <c r="LXV152" s="108"/>
      <c r="LXX152" s="109"/>
      <c r="LXY152" s="107"/>
      <c r="LXZ152" s="107"/>
      <c r="LYG152" s="107"/>
      <c r="LYH152" s="107"/>
      <c r="LYI152" s="108"/>
      <c r="LYK152" s="109"/>
      <c r="LYL152" s="107"/>
      <c r="LYM152" s="107"/>
      <c r="LYT152" s="107"/>
      <c r="LYU152" s="107"/>
      <c r="LYV152" s="108"/>
      <c r="LYX152" s="109"/>
      <c r="LYY152" s="107"/>
      <c r="LYZ152" s="107"/>
      <c r="LZG152" s="107"/>
      <c r="LZH152" s="107"/>
      <c r="LZI152" s="108"/>
      <c r="LZK152" s="109"/>
      <c r="LZL152" s="107"/>
      <c r="LZM152" s="107"/>
      <c r="LZT152" s="107"/>
      <c r="LZU152" s="107"/>
      <c r="LZV152" s="108"/>
      <c r="LZX152" s="109"/>
      <c r="LZY152" s="107"/>
      <c r="LZZ152" s="107"/>
      <c r="MAG152" s="107"/>
      <c r="MAH152" s="107"/>
      <c r="MAI152" s="108"/>
      <c r="MAK152" s="109"/>
      <c r="MAL152" s="107"/>
      <c r="MAM152" s="107"/>
      <c r="MAT152" s="107"/>
      <c r="MAU152" s="107"/>
      <c r="MAV152" s="108"/>
      <c r="MAX152" s="109"/>
      <c r="MAY152" s="107"/>
      <c r="MAZ152" s="107"/>
      <c r="MBG152" s="107"/>
      <c r="MBH152" s="107"/>
      <c r="MBI152" s="108"/>
      <c r="MBK152" s="109"/>
      <c r="MBL152" s="107"/>
      <c r="MBM152" s="107"/>
      <c r="MBT152" s="107"/>
      <c r="MBU152" s="107"/>
      <c r="MBV152" s="108"/>
      <c r="MBX152" s="109"/>
      <c r="MBY152" s="107"/>
      <c r="MBZ152" s="107"/>
      <c r="MCG152" s="107"/>
      <c r="MCH152" s="107"/>
      <c r="MCI152" s="108"/>
      <c r="MCK152" s="109"/>
      <c r="MCL152" s="107"/>
      <c r="MCM152" s="107"/>
      <c r="MCT152" s="107"/>
      <c r="MCU152" s="107"/>
      <c r="MCV152" s="108"/>
      <c r="MCX152" s="109"/>
      <c r="MCY152" s="107"/>
      <c r="MCZ152" s="107"/>
      <c r="MDG152" s="107"/>
      <c r="MDH152" s="107"/>
      <c r="MDI152" s="108"/>
      <c r="MDK152" s="109"/>
      <c r="MDL152" s="107"/>
      <c r="MDM152" s="107"/>
      <c r="MDT152" s="107"/>
      <c r="MDU152" s="107"/>
      <c r="MDV152" s="108"/>
      <c r="MDX152" s="109"/>
      <c r="MDY152" s="107"/>
      <c r="MDZ152" s="107"/>
      <c r="MEG152" s="107"/>
      <c r="MEH152" s="107"/>
      <c r="MEI152" s="108"/>
      <c r="MEK152" s="109"/>
      <c r="MEL152" s="107"/>
      <c r="MEM152" s="107"/>
      <c r="MET152" s="107"/>
      <c r="MEU152" s="107"/>
      <c r="MEV152" s="108"/>
      <c r="MEX152" s="109"/>
      <c r="MEY152" s="107"/>
      <c r="MEZ152" s="107"/>
      <c r="MFG152" s="107"/>
      <c r="MFH152" s="107"/>
      <c r="MFI152" s="108"/>
      <c r="MFK152" s="109"/>
      <c r="MFL152" s="107"/>
      <c r="MFM152" s="107"/>
      <c r="MFT152" s="107"/>
      <c r="MFU152" s="107"/>
      <c r="MFV152" s="108"/>
      <c r="MFX152" s="109"/>
      <c r="MFY152" s="107"/>
      <c r="MFZ152" s="107"/>
      <c r="MGG152" s="107"/>
      <c r="MGH152" s="107"/>
      <c r="MGI152" s="108"/>
      <c r="MGK152" s="109"/>
      <c r="MGL152" s="107"/>
      <c r="MGM152" s="107"/>
      <c r="MGT152" s="107"/>
      <c r="MGU152" s="107"/>
      <c r="MGV152" s="108"/>
      <c r="MGX152" s="109"/>
      <c r="MGY152" s="107"/>
      <c r="MGZ152" s="107"/>
      <c r="MHG152" s="107"/>
      <c r="MHH152" s="107"/>
      <c r="MHI152" s="108"/>
      <c r="MHK152" s="109"/>
      <c r="MHL152" s="107"/>
      <c r="MHM152" s="107"/>
      <c r="MHT152" s="107"/>
      <c r="MHU152" s="107"/>
      <c r="MHV152" s="108"/>
      <c r="MHX152" s="109"/>
      <c r="MHY152" s="107"/>
      <c r="MHZ152" s="107"/>
      <c r="MIG152" s="107"/>
      <c r="MIH152" s="107"/>
      <c r="MII152" s="108"/>
      <c r="MIK152" s="109"/>
      <c r="MIL152" s="107"/>
      <c r="MIM152" s="107"/>
      <c r="MIT152" s="107"/>
      <c r="MIU152" s="107"/>
      <c r="MIV152" s="108"/>
      <c r="MIX152" s="109"/>
      <c r="MIY152" s="107"/>
      <c r="MIZ152" s="107"/>
      <c r="MJG152" s="107"/>
      <c r="MJH152" s="107"/>
      <c r="MJI152" s="108"/>
      <c r="MJK152" s="109"/>
      <c r="MJL152" s="107"/>
      <c r="MJM152" s="107"/>
      <c r="MJT152" s="107"/>
      <c r="MJU152" s="107"/>
      <c r="MJV152" s="108"/>
      <c r="MJX152" s="109"/>
      <c r="MJY152" s="107"/>
      <c r="MJZ152" s="107"/>
      <c r="MKG152" s="107"/>
      <c r="MKH152" s="107"/>
      <c r="MKI152" s="108"/>
      <c r="MKK152" s="109"/>
      <c r="MKL152" s="107"/>
      <c r="MKM152" s="107"/>
      <c r="MKT152" s="107"/>
      <c r="MKU152" s="107"/>
      <c r="MKV152" s="108"/>
      <c r="MKX152" s="109"/>
      <c r="MKY152" s="107"/>
      <c r="MKZ152" s="107"/>
      <c r="MLG152" s="107"/>
      <c r="MLH152" s="107"/>
      <c r="MLI152" s="108"/>
      <c r="MLK152" s="109"/>
      <c r="MLL152" s="107"/>
      <c r="MLM152" s="107"/>
      <c r="MLT152" s="107"/>
      <c r="MLU152" s="107"/>
      <c r="MLV152" s="108"/>
      <c r="MLX152" s="109"/>
      <c r="MLY152" s="107"/>
      <c r="MLZ152" s="107"/>
      <c r="MMG152" s="107"/>
      <c r="MMH152" s="107"/>
      <c r="MMI152" s="108"/>
      <c r="MMK152" s="109"/>
      <c r="MML152" s="107"/>
      <c r="MMM152" s="107"/>
      <c r="MMT152" s="107"/>
      <c r="MMU152" s="107"/>
      <c r="MMV152" s="108"/>
      <c r="MMX152" s="109"/>
      <c r="MMY152" s="107"/>
      <c r="MMZ152" s="107"/>
      <c r="MNG152" s="107"/>
      <c r="MNH152" s="107"/>
      <c r="MNI152" s="108"/>
      <c r="MNK152" s="109"/>
      <c r="MNL152" s="107"/>
      <c r="MNM152" s="107"/>
      <c r="MNT152" s="107"/>
      <c r="MNU152" s="107"/>
      <c r="MNV152" s="108"/>
      <c r="MNX152" s="109"/>
      <c r="MNY152" s="107"/>
      <c r="MNZ152" s="107"/>
      <c r="MOG152" s="107"/>
      <c r="MOH152" s="107"/>
      <c r="MOI152" s="108"/>
      <c r="MOK152" s="109"/>
      <c r="MOL152" s="107"/>
      <c r="MOM152" s="107"/>
      <c r="MOT152" s="107"/>
      <c r="MOU152" s="107"/>
      <c r="MOV152" s="108"/>
      <c r="MOX152" s="109"/>
      <c r="MOY152" s="107"/>
      <c r="MOZ152" s="107"/>
      <c r="MPG152" s="107"/>
      <c r="MPH152" s="107"/>
      <c r="MPI152" s="108"/>
      <c r="MPK152" s="109"/>
      <c r="MPL152" s="107"/>
      <c r="MPM152" s="107"/>
      <c r="MPT152" s="107"/>
      <c r="MPU152" s="107"/>
      <c r="MPV152" s="108"/>
      <c r="MPX152" s="109"/>
      <c r="MPY152" s="107"/>
      <c r="MPZ152" s="107"/>
      <c r="MQG152" s="107"/>
      <c r="MQH152" s="107"/>
      <c r="MQI152" s="108"/>
      <c r="MQK152" s="109"/>
      <c r="MQL152" s="107"/>
      <c r="MQM152" s="107"/>
      <c r="MQT152" s="107"/>
      <c r="MQU152" s="107"/>
      <c r="MQV152" s="108"/>
      <c r="MQX152" s="109"/>
      <c r="MQY152" s="107"/>
      <c r="MQZ152" s="107"/>
      <c r="MRG152" s="107"/>
      <c r="MRH152" s="107"/>
      <c r="MRI152" s="108"/>
      <c r="MRK152" s="109"/>
      <c r="MRL152" s="107"/>
      <c r="MRM152" s="107"/>
      <c r="MRT152" s="107"/>
      <c r="MRU152" s="107"/>
      <c r="MRV152" s="108"/>
      <c r="MRX152" s="109"/>
      <c r="MRY152" s="107"/>
      <c r="MRZ152" s="107"/>
      <c r="MSG152" s="107"/>
      <c r="MSH152" s="107"/>
      <c r="MSI152" s="108"/>
      <c r="MSK152" s="109"/>
      <c r="MSL152" s="107"/>
      <c r="MSM152" s="107"/>
      <c r="MST152" s="107"/>
      <c r="MSU152" s="107"/>
      <c r="MSV152" s="108"/>
      <c r="MSX152" s="109"/>
      <c r="MSY152" s="107"/>
      <c r="MSZ152" s="107"/>
      <c r="MTG152" s="107"/>
      <c r="MTH152" s="107"/>
      <c r="MTI152" s="108"/>
      <c r="MTK152" s="109"/>
      <c r="MTL152" s="107"/>
      <c r="MTM152" s="107"/>
      <c r="MTT152" s="107"/>
      <c r="MTU152" s="107"/>
      <c r="MTV152" s="108"/>
      <c r="MTX152" s="109"/>
      <c r="MTY152" s="107"/>
      <c r="MTZ152" s="107"/>
      <c r="MUG152" s="107"/>
      <c r="MUH152" s="107"/>
      <c r="MUI152" s="108"/>
      <c r="MUK152" s="109"/>
      <c r="MUL152" s="107"/>
      <c r="MUM152" s="107"/>
      <c r="MUT152" s="107"/>
      <c r="MUU152" s="107"/>
      <c r="MUV152" s="108"/>
      <c r="MUX152" s="109"/>
      <c r="MUY152" s="107"/>
      <c r="MUZ152" s="107"/>
      <c r="MVG152" s="107"/>
      <c r="MVH152" s="107"/>
      <c r="MVI152" s="108"/>
      <c r="MVK152" s="109"/>
      <c r="MVL152" s="107"/>
      <c r="MVM152" s="107"/>
      <c r="MVT152" s="107"/>
      <c r="MVU152" s="107"/>
      <c r="MVV152" s="108"/>
      <c r="MVX152" s="109"/>
      <c r="MVY152" s="107"/>
      <c r="MVZ152" s="107"/>
      <c r="MWG152" s="107"/>
      <c r="MWH152" s="107"/>
      <c r="MWI152" s="108"/>
      <c r="MWK152" s="109"/>
      <c r="MWL152" s="107"/>
      <c r="MWM152" s="107"/>
      <c r="MWT152" s="107"/>
      <c r="MWU152" s="107"/>
      <c r="MWV152" s="108"/>
      <c r="MWX152" s="109"/>
      <c r="MWY152" s="107"/>
      <c r="MWZ152" s="107"/>
      <c r="MXG152" s="107"/>
      <c r="MXH152" s="107"/>
      <c r="MXI152" s="108"/>
      <c r="MXK152" s="109"/>
      <c r="MXL152" s="107"/>
      <c r="MXM152" s="107"/>
      <c r="MXT152" s="107"/>
      <c r="MXU152" s="107"/>
      <c r="MXV152" s="108"/>
      <c r="MXX152" s="109"/>
      <c r="MXY152" s="107"/>
      <c r="MXZ152" s="107"/>
      <c r="MYG152" s="107"/>
      <c r="MYH152" s="107"/>
      <c r="MYI152" s="108"/>
      <c r="MYK152" s="109"/>
      <c r="MYL152" s="107"/>
      <c r="MYM152" s="107"/>
      <c r="MYT152" s="107"/>
      <c r="MYU152" s="107"/>
      <c r="MYV152" s="108"/>
      <c r="MYX152" s="109"/>
      <c r="MYY152" s="107"/>
      <c r="MYZ152" s="107"/>
      <c r="MZG152" s="107"/>
      <c r="MZH152" s="107"/>
      <c r="MZI152" s="108"/>
      <c r="MZK152" s="109"/>
      <c r="MZL152" s="107"/>
      <c r="MZM152" s="107"/>
      <c r="MZT152" s="107"/>
      <c r="MZU152" s="107"/>
      <c r="MZV152" s="108"/>
      <c r="MZX152" s="109"/>
      <c r="MZY152" s="107"/>
      <c r="MZZ152" s="107"/>
      <c r="NAG152" s="107"/>
      <c r="NAH152" s="107"/>
      <c r="NAI152" s="108"/>
      <c r="NAK152" s="109"/>
      <c r="NAL152" s="107"/>
      <c r="NAM152" s="107"/>
      <c r="NAT152" s="107"/>
      <c r="NAU152" s="107"/>
      <c r="NAV152" s="108"/>
      <c r="NAX152" s="109"/>
      <c r="NAY152" s="107"/>
      <c r="NAZ152" s="107"/>
      <c r="NBG152" s="107"/>
      <c r="NBH152" s="107"/>
      <c r="NBI152" s="108"/>
      <c r="NBK152" s="109"/>
      <c r="NBL152" s="107"/>
      <c r="NBM152" s="107"/>
      <c r="NBT152" s="107"/>
      <c r="NBU152" s="107"/>
      <c r="NBV152" s="108"/>
      <c r="NBX152" s="109"/>
      <c r="NBY152" s="107"/>
      <c r="NBZ152" s="107"/>
      <c r="NCG152" s="107"/>
      <c r="NCH152" s="107"/>
      <c r="NCI152" s="108"/>
      <c r="NCK152" s="109"/>
      <c r="NCL152" s="107"/>
      <c r="NCM152" s="107"/>
      <c r="NCT152" s="107"/>
      <c r="NCU152" s="107"/>
      <c r="NCV152" s="108"/>
      <c r="NCX152" s="109"/>
      <c r="NCY152" s="107"/>
      <c r="NCZ152" s="107"/>
      <c r="NDG152" s="107"/>
      <c r="NDH152" s="107"/>
      <c r="NDI152" s="108"/>
      <c r="NDK152" s="109"/>
      <c r="NDL152" s="107"/>
      <c r="NDM152" s="107"/>
      <c r="NDT152" s="107"/>
      <c r="NDU152" s="107"/>
      <c r="NDV152" s="108"/>
      <c r="NDX152" s="109"/>
      <c r="NDY152" s="107"/>
      <c r="NDZ152" s="107"/>
      <c r="NEG152" s="107"/>
      <c r="NEH152" s="107"/>
      <c r="NEI152" s="108"/>
      <c r="NEK152" s="109"/>
      <c r="NEL152" s="107"/>
      <c r="NEM152" s="107"/>
      <c r="NET152" s="107"/>
      <c r="NEU152" s="107"/>
      <c r="NEV152" s="108"/>
      <c r="NEX152" s="109"/>
      <c r="NEY152" s="107"/>
      <c r="NEZ152" s="107"/>
      <c r="NFG152" s="107"/>
      <c r="NFH152" s="107"/>
      <c r="NFI152" s="108"/>
      <c r="NFK152" s="109"/>
      <c r="NFL152" s="107"/>
      <c r="NFM152" s="107"/>
      <c r="NFT152" s="107"/>
      <c r="NFU152" s="107"/>
      <c r="NFV152" s="108"/>
      <c r="NFX152" s="109"/>
      <c r="NFY152" s="107"/>
      <c r="NFZ152" s="107"/>
      <c r="NGG152" s="107"/>
      <c r="NGH152" s="107"/>
      <c r="NGI152" s="108"/>
      <c r="NGK152" s="109"/>
      <c r="NGL152" s="107"/>
      <c r="NGM152" s="107"/>
      <c r="NGT152" s="107"/>
      <c r="NGU152" s="107"/>
      <c r="NGV152" s="108"/>
      <c r="NGX152" s="109"/>
      <c r="NGY152" s="107"/>
      <c r="NGZ152" s="107"/>
      <c r="NHG152" s="107"/>
      <c r="NHH152" s="107"/>
      <c r="NHI152" s="108"/>
      <c r="NHK152" s="109"/>
      <c r="NHL152" s="107"/>
      <c r="NHM152" s="107"/>
      <c r="NHT152" s="107"/>
      <c r="NHU152" s="107"/>
      <c r="NHV152" s="108"/>
      <c r="NHX152" s="109"/>
      <c r="NHY152" s="107"/>
      <c r="NHZ152" s="107"/>
      <c r="NIG152" s="107"/>
      <c r="NIH152" s="107"/>
      <c r="NII152" s="108"/>
      <c r="NIK152" s="109"/>
      <c r="NIL152" s="107"/>
      <c r="NIM152" s="107"/>
      <c r="NIT152" s="107"/>
      <c r="NIU152" s="107"/>
      <c r="NIV152" s="108"/>
      <c r="NIX152" s="109"/>
      <c r="NIY152" s="107"/>
      <c r="NIZ152" s="107"/>
      <c r="NJG152" s="107"/>
      <c r="NJH152" s="107"/>
      <c r="NJI152" s="108"/>
      <c r="NJK152" s="109"/>
      <c r="NJL152" s="107"/>
      <c r="NJM152" s="107"/>
      <c r="NJT152" s="107"/>
      <c r="NJU152" s="107"/>
      <c r="NJV152" s="108"/>
      <c r="NJX152" s="109"/>
      <c r="NJY152" s="107"/>
      <c r="NJZ152" s="107"/>
      <c r="NKG152" s="107"/>
      <c r="NKH152" s="107"/>
      <c r="NKI152" s="108"/>
      <c r="NKK152" s="109"/>
      <c r="NKL152" s="107"/>
      <c r="NKM152" s="107"/>
      <c r="NKT152" s="107"/>
      <c r="NKU152" s="107"/>
      <c r="NKV152" s="108"/>
      <c r="NKX152" s="109"/>
      <c r="NKY152" s="107"/>
      <c r="NKZ152" s="107"/>
      <c r="NLG152" s="107"/>
      <c r="NLH152" s="107"/>
      <c r="NLI152" s="108"/>
      <c r="NLK152" s="109"/>
      <c r="NLL152" s="107"/>
      <c r="NLM152" s="107"/>
      <c r="NLT152" s="107"/>
      <c r="NLU152" s="107"/>
      <c r="NLV152" s="108"/>
      <c r="NLX152" s="109"/>
      <c r="NLY152" s="107"/>
      <c r="NLZ152" s="107"/>
      <c r="NMG152" s="107"/>
      <c r="NMH152" s="107"/>
      <c r="NMI152" s="108"/>
      <c r="NMK152" s="109"/>
      <c r="NML152" s="107"/>
      <c r="NMM152" s="107"/>
      <c r="NMT152" s="107"/>
      <c r="NMU152" s="107"/>
      <c r="NMV152" s="108"/>
      <c r="NMX152" s="109"/>
      <c r="NMY152" s="107"/>
      <c r="NMZ152" s="107"/>
      <c r="NNG152" s="107"/>
      <c r="NNH152" s="107"/>
      <c r="NNI152" s="108"/>
      <c r="NNK152" s="109"/>
      <c r="NNL152" s="107"/>
      <c r="NNM152" s="107"/>
      <c r="NNT152" s="107"/>
      <c r="NNU152" s="107"/>
      <c r="NNV152" s="108"/>
      <c r="NNX152" s="109"/>
      <c r="NNY152" s="107"/>
      <c r="NNZ152" s="107"/>
      <c r="NOG152" s="107"/>
      <c r="NOH152" s="107"/>
      <c r="NOI152" s="108"/>
      <c r="NOK152" s="109"/>
      <c r="NOL152" s="107"/>
      <c r="NOM152" s="107"/>
      <c r="NOT152" s="107"/>
      <c r="NOU152" s="107"/>
      <c r="NOV152" s="108"/>
      <c r="NOX152" s="109"/>
      <c r="NOY152" s="107"/>
      <c r="NOZ152" s="107"/>
      <c r="NPG152" s="107"/>
      <c r="NPH152" s="107"/>
      <c r="NPI152" s="108"/>
      <c r="NPK152" s="109"/>
      <c r="NPL152" s="107"/>
      <c r="NPM152" s="107"/>
      <c r="NPT152" s="107"/>
      <c r="NPU152" s="107"/>
      <c r="NPV152" s="108"/>
      <c r="NPX152" s="109"/>
      <c r="NPY152" s="107"/>
      <c r="NPZ152" s="107"/>
      <c r="NQG152" s="107"/>
      <c r="NQH152" s="107"/>
      <c r="NQI152" s="108"/>
      <c r="NQK152" s="109"/>
      <c r="NQL152" s="107"/>
      <c r="NQM152" s="107"/>
      <c r="NQT152" s="107"/>
      <c r="NQU152" s="107"/>
      <c r="NQV152" s="108"/>
      <c r="NQX152" s="109"/>
      <c r="NQY152" s="107"/>
      <c r="NQZ152" s="107"/>
      <c r="NRG152" s="107"/>
      <c r="NRH152" s="107"/>
      <c r="NRI152" s="108"/>
      <c r="NRK152" s="109"/>
      <c r="NRL152" s="107"/>
      <c r="NRM152" s="107"/>
      <c r="NRT152" s="107"/>
      <c r="NRU152" s="107"/>
      <c r="NRV152" s="108"/>
      <c r="NRX152" s="109"/>
      <c r="NRY152" s="107"/>
      <c r="NRZ152" s="107"/>
      <c r="NSG152" s="107"/>
      <c r="NSH152" s="107"/>
      <c r="NSI152" s="108"/>
      <c r="NSK152" s="109"/>
      <c r="NSL152" s="107"/>
      <c r="NSM152" s="107"/>
      <c r="NST152" s="107"/>
      <c r="NSU152" s="107"/>
      <c r="NSV152" s="108"/>
      <c r="NSX152" s="109"/>
      <c r="NSY152" s="107"/>
      <c r="NSZ152" s="107"/>
      <c r="NTG152" s="107"/>
      <c r="NTH152" s="107"/>
      <c r="NTI152" s="108"/>
      <c r="NTK152" s="109"/>
      <c r="NTL152" s="107"/>
      <c r="NTM152" s="107"/>
      <c r="NTT152" s="107"/>
      <c r="NTU152" s="107"/>
      <c r="NTV152" s="108"/>
      <c r="NTX152" s="109"/>
      <c r="NTY152" s="107"/>
      <c r="NTZ152" s="107"/>
      <c r="NUG152" s="107"/>
      <c r="NUH152" s="107"/>
      <c r="NUI152" s="108"/>
      <c r="NUK152" s="109"/>
      <c r="NUL152" s="107"/>
      <c r="NUM152" s="107"/>
      <c r="NUT152" s="107"/>
      <c r="NUU152" s="107"/>
      <c r="NUV152" s="108"/>
      <c r="NUX152" s="109"/>
      <c r="NUY152" s="107"/>
      <c r="NUZ152" s="107"/>
      <c r="NVG152" s="107"/>
      <c r="NVH152" s="107"/>
      <c r="NVI152" s="108"/>
      <c r="NVK152" s="109"/>
      <c r="NVL152" s="107"/>
      <c r="NVM152" s="107"/>
      <c r="NVT152" s="107"/>
      <c r="NVU152" s="107"/>
      <c r="NVV152" s="108"/>
      <c r="NVX152" s="109"/>
      <c r="NVY152" s="107"/>
      <c r="NVZ152" s="107"/>
      <c r="NWG152" s="107"/>
      <c r="NWH152" s="107"/>
      <c r="NWI152" s="108"/>
      <c r="NWK152" s="109"/>
      <c r="NWL152" s="107"/>
      <c r="NWM152" s="107"/>
      <c r="NWT152" s="107"/>
      <c r="NWU152" s="107"/>
      <c r="NWV152" s="108"/>
      <c r="NWX152" s="109"/>
      <c r="NWY152" s="107"/>
      <c r="NWZ152" s="107"/>
      <c r="NXG152" s="107"/>
      <c r="NXH152" s="107"/>
      <c r="NXI152" s="108"/>
      <c r="NXK152" s="109"/>
      <c r="NXL152" s="107"/>
      <c r="NXM152" s="107"/>
      <c r="NXT152" s="107"/>
      <c r="NXU152" s="107"/>
      <c r="NXV152" s="108"/>
      <c r="NXX152" s="109"/>
      <c r="NXY152" s="107"/>
      <c r="NXZ152" s="107"/>
      <c r="NYG152" s="107"/>
      <c r="NYH152" s="107"/>
      <c r="NYI152" s="108"/>
      <c r="NYK152" s="109"/>
      <c r="NYL152" s="107"/>
      <c r="NYM152" s="107"/>
      <c r="NYT152" s="107"/>
      <c r="NYU152" s="107"/>
      <c r="NYV152" s="108"/>
      <c r="NYX152" s="109"/>
      <c r="NYY152" s="107"/>
      <c r="NYZ152" s="107"/>
      <c r="NZG152" s="107"/>
      <c r="NZH152" s="107"/>
      <c r="NZI152" s="108"/>
      <c r="NZK152" s="109"/>
      <c r="NZL152" s="107"/>
      <c r="NZM152" s="107"/>
      <c r="NZT152" s="107"/>
      <c r="NZU152" s="107"/>
      <c r="NZV152" s="108"/>
      <c r="NZX152" s="109"/>
      <c r="NZY152" s="107"/>
      <c r="NZZ152" s="107"/>
      <c r="OAG152" s="107"/>
      <c r="OAH152" s="107"/>
      <c r="OAI152" s="108"/>
      <c r="OAK152" s="109"/>
      <c r="OAL152" s="107"/>
      <c r="OAM152" s="107"/>
      <c r="OAT152" s="107"/>
      <c r="OAU152" s="107"/>
      <c r="OAV152" s="108"/>
      <c r="OAX152" s="109"/>
      <c r="OAY152" s="107"/>
      <c r="OAZ152" s="107"/>
      <c r="OBG152" s="107"/>
      <c r="OBH152" s="107"/>
      <c r="OBI152" s="108"/>
      <c r="OBK152" s="109"/>
      <c r="OBL152" s="107"/>
      <c r="OBM152" s="107"/>
      <c r="OBT152" s="107"/>
      <c r="OBU152" s="107"/>
      <c r="OBV152" s="108"/>
      <c r="OBX152" s="109"/>
      <c r="OBY152" s="107"/>
      <c r="OBZ152" s="107"/>
      <c r="OCG152" s="107"/>
      <c r="OCH152" s="107"/>
      <c r="OCI152" s="108"/>
      <c r="OCK152" s="109"/>
      <c r="OCL152" s="107"/>
      <c r="OCM152" s="107"/>
      <c r="OCT152" s="107"/>
      <c r="OCU152" s="107"/>
      <c r="OCV152" s="108"/>
      <c r="OCX152" s="109"/>
      <c r="OCY152" s="107"/>
      <c r="OCZ152" s="107"/>
      <c r="ODG152" s="107"/>
      <c r="ODH152" s="107"/>
      <c r="ODI152" s="108"/>
      <c r="ODK152" s="109"/>
      <c r="ODL152" s="107"/>
      <c r="ODM152" s="107"/>
      <c r="ODT152" s="107"/>
      <c r="ODU152" s="107"/>
      <c r="ODV152" s="108"/>
      <c r="ODX152" s="109"/>
      <c r="ODY152" s="107"/>
      <c r="ODZ152" s="107"/>
      <c r="OEG152" s="107"/>
      <c r="OEH152" s="107"/>
      <c r="OEI152" s="108"/>
      <c r="OEK152" s="109"/>
      <c r="OEL152" s="107"/>
      <c r="OEM152" s="107"/>
      <c r="OET152" s="107"/>
      <c r="OEU152" s="107"/>
      <c r="OEV152" s="108"/>
      <c r="OEX152" s="109"/>
      <c r="OEY152" s="107"/>
      <c r="OEZ152" s="107"/>
      <c r="OFG152" s="107"/>
      <c r="OFH152" s="107"/>
      <c r="OFI152" s="108"/>
      <c r="OFK152" s="109"/>
      <c r="OFL152" s="107"/>
      <c r="OFM152" s="107"/>
      <c r="OFT152" s="107"/>
      <c r="OFU152" s="107"/>
      <c r="OFV152" s="108"/>
      <c r="OFX152" s="109"/>
      <c r="OFY152" s="107"/>
      <c r="OFZ152" s="107"/>
      <c r="OGG152" s="107"/>
      <c r="OGH152" s="107"/>
      <c r="OGI152" s="108"/>
      <c r="OGK152" s="109"/>
      <c r="OGL152" s="107"/>
      <c r="OGM152" s="107"/>
      <c r="OGT152" s="107"/>
      <c r="OGU152" s="107"/>
      <c r="OGV152" s="108"/>
      <c r="OGX152" s="109"/>
      <c r="OGY152" s="107"/>
      <c r="OGZ152" s="107"/>
      <c r="OHG152" s="107"/>
      <c r="OHH152" s="107"/>
      <c r="OHI152" s="108"/>
      <c r="OHK152" s="109"/>
      <c r="OHL152" s="107"/>
      <c r="OHM152" s="107"/>
      <c r="OHT152" s="107"/>
      <c r="OHU152" s="107"/>
      <c r="OHV152" s="108"/>
      <c r="OHX152" s="109"/>
      <c r="OHY152" s="107"/>
      <c r="OHZ152" s="107"/>
      <c r="OIG152" s="107"/>
      <c r="OIH152" s="107"/>
      <c r="OII152" s="108"/>
      <c r="OIK152" s="109"/>
      <c r="OIL152" s="107"/>
      <c r="OIM152" s="107"/>
      <c r="OIT152" s="107"/>
      <c r="OIU152" s="107"/>
      <c r="OIV152" s="108"/>
      <c r="OIX152" s="109"/>
      <c r="OIY152" s="107"/>
      <c r="OIZ152" s="107"/>
      <c r="OJG152" s="107"/>
      <c r="OJH152" s="107"/>
      <c r="OJI152" s="108"/>
      <c r="OJK152" s="109"/>
      <c r="OJL152" s="107"/>
      <c r="OJM152" s="107"/>
      <c r="OJT152" s="107"/>
      <c r="OJU152" s="107"/>
      <c r="OJV152" s="108"/>
      <c r="OJX152" s="109"/>
      <c r="OJY152" s="107"/>
      <c r="OJZ152" s="107"/>
      <c r="OKG152" s="107"/>
      <c r="OKH152" s="107"/>
      <c r="OKI152" s="108"/>
      <c r="OKK152" s="109"/>
      <c r="OKL152" s="107"/>
      <c r="OKM152" s="107"/>
      <c r="OKT152" s="107"/>
      <c r="OKU152" s="107"/>
      <c r="OKV152" s="108"/>
      <c r="OKX152" s="109"/>
      <c r="OKY152" s="107"/>
      <c r="OKZ152" s="107"/>
      <c r="OLG152" s="107"/>
      <c r="OLH152" s="107"/>
      <c r="OLI152" s="108"/>
      <c r="OLK152" s="109"/>
      <c r="OLL152" s="107"/>
      <c r="OLM152" s="107"/>
      <c r="OLT152" s="107"/>
      <c r="OLU152" s="107"/>
      <c r="OLV152" s="108"/>
      <c r="OLX152" s="109"/>
      <c r="OLY152" s="107"/>
      <c r="OLZ152" s="107"/>
      <c r="OMG152" s="107"/>
      <c r="OMH152" s="107"/>
      <c r="OMI152" s="108"/>
      <c r="OMK152" s="109"/>
      <c r="OML152" s="107"/>
      <c r="OMM152" s="107"/>
      <c r="OMT152" s="107"/>
      <c r="OMU152" s="107"/>
      <c r="OMV152" s="108"/>
      <c r="OMX152" s="109"/>
      <c r="OMY152" s="107"/>
      <c r="OMZ152" s="107"/>
      <c r="ONG152" s="107"/>
      <c r="ONH152" s="107"/>
      <c r="ONI152" s="108"/>
      <c r="ONK152" s="109"/>
      <c r="ONL152" s="107"/>
      <c r="ONM152" s="107"/>
      <c r="ONT152" s="107"/>
      <c r="ONU152" s="107"/>
      <c r="ONV152" s="108"/>
      <c r="ONX152" s="109"/>
      <c r="ONY152" s="107"/>
      <c r="ONZ152" s="107"/>
      <c r="OOG152" s="107"/>
      <c r="OOH152" s="107"/>
      <c r="OOI152" s="108"/>
      <c r="OOK152" s="109"/>
      <c r="OOL152" s="107"/>
      <c r="OOM152" s="107"/>
      <c r="OOT152" s="107"/>
      <c r="OOU152" s="107"/>
      <c r="OOV152" s="108"/>
      <c r="OOX152" s="109"/>
      <c r="OOY152" s="107"/>
      <c r="OOZ152" s="107"/>
      <c r="OPG152" s="107"/>
      <c r="OPH152" s="107"/>
      <c r="OPI152" s="108"/>
      <c r="OPK152" s="109"/>
      <c r="OPL152" s="107"/>
      <c r="OPM152" s="107"/>
      <c r="OPT152" s="107"/>
      <c r="OPU152" s="107"/>
      <c r="OPV152" s="108"/>
      <c r="OPX152" s="109"/>
      <c r="OPY152" s="107"/>
      <c r="OPZ152" s="107"/>
      <c r="OQG152" s="107"/>
      <c r="OQH152" s="107"/>
      <c r="OQI152" s="108"/>
      <c r="OQK152" s="109"/>
      <c r="OQL152" s="107"/>
      <c r="OQM152" s="107"/>
      <c r="OQT152" s="107"/>
      <c r="OQU152" s="107"/>
      <c r="OQV152" s="108"/>
      <c r="OQX152" s="109"/>
      <c r="OQY152" s="107"/>
      <c r="OQZ152" s="107"/>
      <c r="ORG152" s="107"/>
      <c r="ORH152" s="107"/>
      <c r="ORI152" s="108"/>
      <c r="ORK152" s="109"/>
      <c r="ORL152" s="107"/>
      <c r="ORM152" s="107"/>
      <c r="ORT152" s="107"/>
      <c r="ORU152" s="107"/>
      <c r="ORV152" s="108"/>
      <c r="ORX152" s="109"/>
      <c r="ORY152" s="107"/>
      <c r="ORZ152" s="107"/>
      <c r="OSG152" s="107"/>
      <c r="OSH152" s="107"/>
      <c r="OSI152" s="108"/>
      <c r="OSK152" s="109"/>
      <c r="OSL152" s="107"/>
      <c r="OSM152" s="107"/>
      <c r="OST152" s="107"/>
      <c r="OSU152" s="107"/>
      <c r="OSV152" s="108"/>
      <c r="OSX152" s="109"/>
      <c r="OSY152" s="107"/>
      <c r="OSZ152" s="107"/>
      <c r="OTG152" s="107"/>
      <c r="OTH152" s="107"/>
      <c r="OTI152" s="108"/>
      <c r="OTK152" s="109"/>
      <c r="OTL152" s="107"/>
      <c r="OTM152" s="107"/>
      <c r="OTT152" s="107"/>
      <c r="OTU152" s="107"/>
      <c r="OTV152" s="108"/>
      <c r="OTX152" s="109"/>
      <c r="OTY152" s="107"/>
      <c r="OTZ152" s="107"/>
      <c r="OUG152" s="107"/>
      <c r="OUH152" s="107"/>
      <c r="OUI152" s="108"/>
      <c r="OUK152" s="109"/>
      <c r="OUL152" s="107"/>
      <c r="OUM152" s="107"/>
      <c r="OUT152" s="107"/>
      <c r="OUU152" s="107"/>
      <c r="OUV152" s="108"/>
      <c r="OUX152" s="109"/>
      <c r="OUY152" s="107"/>
      <c r="OUZ152" s="107"/>
      <c r="OVG152" s="107"/>
      <c r="OVH152" s="107"/>
      <c r="OVI152" s="108"/>
      <c r="OVK152" s="109"/>
      <c r="OVL152" s="107"/>
      <c r="OVM152" s="107"/>
      <c r="OVT152" s="107"/>
      <c r="OVU152" s="107"/>
      <c r="OVV152" s="108"/>
      <c r="OVX152" s="109"/>
      <c r="OVY152" s="107"/>
      <c r="OVZ152" s="107"/>
      <c r="OWG152" s="107"/>
      <c r="OWH152" s="107"/>
      <c r="OWI152" s="108"/>
      <c r="OWK152" s="109"/>
      <c r="OWL152" s="107"/>
      <c r="OWM152" s="107"/>
      <c r="OWT152" s="107"/>
      <c r="OWU152" s="107"/>
      <c r="OWV152" s="108"/>
      <c r="OWX152" s="109"/>
      <c r="OWY152" s="107"/>
      <c r="OWZ152" s="107"/>
      <c r="OXG152" s="107"/>
      <c r="OXH152" s="107"/>
      <c r="OXI152" s="108"/>
      <c r="OXK152" s="109"/>
      <c r="OXL152" s="107"/>
      <c r="OXM152" s="107"/>
      <c r="OXT152" s="107"/>
      <c r="OXU152" s="107"/>
      <c r="OXV152" s="108"/>
      <c r="OXX152" s="109"/>
      <c r="OXY152" s="107"/>
      <c r="OXZ152" s="107"/>
      <c r="OYG152" s="107"/>
      <c r="OYH152" s="107"/>
      <c r="OYI152" s="108"/>
      <c r="OYK152" s="109"/>
      <c r="OYL152" s="107"/>
      <c r="OYM152" s="107"/>
      <c r="OYT152" s="107"/>
      <c r="OYU152" s="107"/>
      <c r="OYV152" s="108"/>
      <c r="OYX152" s="109"/>
      <c r="OYY152" s="107"/>
      <c r="OYZ152" s="107"/>
      <c r="OZG152" s="107"/>
      <c r="OZH152" s="107"/>
      <c r="OZI152" s="108"/>
      <c r="OZK152" s="109"/>
      <c r="OZL152" s="107"/>
      <c r="OZM152" s="107"/>
      <c r="OZT152" s="107"/>
      <c r="OZU152" s="107"/>
      <c r="OZV152" s="108"/>
      <c r="OZX152" s="109"/>
      <c r="OZY152" s="107"/>
      <c r="OZZ152" s="107"/>
      <c r="PAG152" s="107"/>
      <c r="PAH152" s="107"/>
      <c r="PAI152" s="108"/>
      <c r="PAK152" s="109"/>
      <c r="PAL152" s="107"/>
      <c r="PAM152" s="107"/>
      <c r="PAT152" s="107"/>
      <c r="PAU152" s="107"/>
      <c r="PAV152" s="108"/>
      <c r="PAX152" s="109"/>
      <c r="PAY152" s="107"/>
      <c r="PAZ152" s="107"/>
      <c r="PBG152" s="107"/>
      <c r="PBH152" s="107"/>
      <c r="PBI152" s="108"/>
      <c r="PBK152" s="109"/>
      <c r="PBL152" s="107"/>
      <c r="PBM152" s="107"/>
      <c r="PBT152" s="107"/>
      <c r="PBU152" s="107"/>
      <c r="PBV152" s="108"/>
      <c r="PBX152" s="109"/>
      <c r="PBY152" s="107"/>
      <c r="PBZ152" s="107"/>
      <c r="PCG152" s="107"/>
      <c r="PCH152" s="107"/>
      <c r="PCI152" s="108"/>
      <c r="PCK152" s="109"/>
      <c r="PCL152" s="107"/>
      <c r="PCM152" s="107"/>
      <c r="PCT152" s="107"/>
      <c r="PCU152" s="107"/>
      <c r="PCV152" s="108"/>
      <c r="PCX152" s="109"/>
      <c r="PCY152" s="107"/>
      <c r="PCZ152" s="107"/>
      <c r="PDG152" s="107"/>
      <c r="PDH152" s="107"/>
      <c r="PDI152" s="108"/>
      <c r="PDK152" s="109"/>
      <c r="PDL152" s="107"/>
      <c r="PDM152" s="107"/>
      <c r="PDT152" s="107"/>
      <c r="PDU152" s="107"/>
      <c r="PDV152" s="108"/>
      <c r="PDX152" s="109"/>
      <c r="PDY152" s="107"/>
      <c r="PDZ152" s="107"/>
      <c r="PEG152" s="107"/>
      <c r="PEH152" s="107"/>
      <c r="PEI152" s="108"/>
      <c r="PEK152" s="109"/>
      <c r="PEL152" s="107"/>
      <c r="PEM152" s="107"/>
      <c r="PET152" s="107"/>
      <c r="PEU152" s="107"/>
      <c r="PEV152" s="108"/>
      <c r="PEX152" s="109"/>
      <c r="PEY152" s="107"/>
      <c r="PEZ152" s="107"/>
      <c r="PFG152" s="107"/>
      <c r="PFH152" s="107"/>
      <c r="PFI152" s="108"/>
      <c r="PFK152" s="109"/>
      <c r="PFL152" s="107"/>
      <c r="PFM152" s="107"/>
      <c r="PFT152" s="107"/>
      <c r="PFU152" s="107"/>
      <c r="PFV152" s="108"/>
      <c r="PFX152" s="109"/>
      <c r="PFY152" s="107"/>
      <c r="PFZ152" s="107"/>
      <c r="PGG152" s="107"/>
      <c r="PGH152" s="107"/>
      <c r="PGI152" s="108"/>
      <c r="PGK152" s="109"/>
      <c r="PGL152" s="107"/>
      <c r="PGM152" s="107"/>
      <c r="PGT152" s="107"/>
      <c r="PGU152" s="107"/>
      <c r="PGV152" s="108"/>
      <c r="PGX152" s="109"/>
      <c r="PGY152" s="107"/>
      <c r="PGZ152" s="107"/>
      <c r="PHG152" s="107"/>
      <c r="PHH152" s="107"/>
      <c r="PHI152" s="108"/>
      <c r="PHK152" s="109"/>
      <c r="PHL152" s="107"/>
      <c r="PHM152" s="107"/>
      <c r="PHT152" s="107"/>
      <c r="PHU152" s="107"/>
      <c r="PHV152" s="108"/>
      <c r="PHX152" s="109"/>
      <c r="PHY152" s="107"/>
      <c r="PHZ152" s="107"/>
      <c r="PIG152" s="107"/>
      <c r="PIH152" s="107"/>
      <c r="PII152" s="108"/>
      <c r="PIK152" s="109"/>
      <c r="PIL152" s="107"/>
      <c r="PIM152" s="107"/>
      <c r="PIT152" s="107"/>
      <c r="PIU152" s="107"/>
      <c r="PIV152" s="108"/>
      <c r="PIX152" s="109"/>
      <c r="PIY152" s="107"/>
      <c r="PIZ152" s="107"/>
      <c r="PJG152" s="107"/>
      <c r="PJH152" s="107"/>
      <c r="PJI152" s="108"/>
      <c r="PJK152" s="109"/>
      <c r="PJL152" s="107"/>
      <c r="PJM152" s="107"/>
      <c r="PJT152" s="107"/>
      <c r="PJU152" s="107"/>
      <c r="PJV152" s="108"/>
      <c r="PJX152" s="109"/>
      <c r="PJY152" s="107"/>
      <c r="PJZ152" s="107"/>
      <c r="PKG152" s="107"/>
      <c r="PKH152" s="107"/>
      <c r="PKI152" s="108"/>
      <c r="PKK152" s="109"/>
      <c r="PKL152" s="107"/>
      <c r="PKM152" s="107"/>
      <c r="PKT152" s="107"/>
      <c r="PKU152" s="107"/>
      <c r="PKV152" s="108"/>
      <c r="PKX152" s="109"/>
      <c r="PKY152" s="107"/>
      <c r="PKZ152" s="107"/>
      <c r="PLG152" s="107"/>
      <c r="PLH152" s="107"/>
      <c r="PLI152" s="108"/>
      <c r="PLK152" s="109"/>
      <c r="PLL152" s="107"/>
      <c r="PLM152" s="107"/>
      <c r="PLT152" s="107"/>
      <c r="PLU152" s="107"/>
      <c r="PLV152" s="108"/>
      <c r="PLX152" s="109"/>
      <c r="PLY152" s="107"/>
      <c r="PLZ152" s="107"/>
      <c r="PMG152" s="107"/>
      <c r="PMH152" s="107"/>
      <c r="PMI152" s="108"/>
      <c r="PMK152" s="109"/>
      <c r="PML152" s="107"/>
      <c r="PMM152" s="107"/>
      <c r="PMT152" s="107"/>
      <c r="PMU152" s="107"/>
      <c r="PMV152" s="108"/>
      <c r="PMX152" s="109"/>
      <c r="PMY152" s="107"/>
      <c r="PMZ152" s="107"/>
      <c r="PNG152" s="107"/>
      <c r="PNH152" s="107"/>
      <c r="PNI152" s="108"/>
      <c r="PNK152" s="109"/>
      <c r="PNL152" s="107"/>
      <c r="PNM152" s="107"/>
      <c r="PNT152" s="107"/>
      <c r="PNU152" s="107"/>
      <c r="PNV152" s="108"/>
      <c r="PNX152" s="109"/>
      <c r="PNY152" s="107"/>
      <c r="PNZ152" s="107"/>
      <c r="POG152" s="107"/>
      <c r="POH152" s="107"/>
      <c r="POI152" s="108"/>
      <c r="POK152" s="109"/>
      <c r="POL152" s="107"/>
      <c r="POM152" s="107"/>
      <c r="POT152" s="107"/>
      <c r="POU152" s="107"/>
      <c r="POV152" s="108"/>
      <c r="POX152" s="109"/>
      <c r="POY152" s="107"/>
      <c r="POZ152" s="107"/>
      <c r="PPG152" s="107"/>
      <c r="PPH152" s="107"/>
      <c r="PPI152" s="108"/>
      <c r="PPK152" s="109"/>
      <c r="PPL152" s="107"/>
      <c r="PPM152" s="107"/>
      <c r="PPT152" s="107"/>
      <c r="PPU152" s="107"/>
      <c r="PPV152" s="108"/>
      <c r="PPX152" s="109"/>
      <c r="PPY152" s="107"/>
      <c r="PPZ152" s="107"/>
      <c r="PQG152" s="107"/>
      <c r="PQH152" s="107"/>
      <c r="PQI152" s="108"/>
      <c r="PQK152" s="109"/>
      <c r="PQL152" s="107"/>
      <c r="PQM152" s="107"/>
      <c r="PQT152" s="107"/>
      <c r="PQU152" s="107"/>
      <c r="PQV152" s="108"/>
      <c r="PQX152" s="109"/>
      <c r="PQY152" s="107"/>
      <c r="PQZ152" s="107"/>
      <c r="PRG152" s="107"/>
      <c r="PRH152" s="107"/>
      <c r="PRI152" s="108"/>
      <c r="PRK152" s="109"/>
      <c r="PRL152" s="107"/>
      <c r="PRM152" s="107"/>
      <c r="PRT152" s="107"/>
      <c r="PRU152" s="107"/>
      <c r="PRV152" s="108"/>
      <c r="PRX152" s="109"/>
      <c r="PRY152" s="107"/>
      <c r="PRZ152" s="107"/>
      <c r="PSG152" s="107"/>
      <c r="PSH152" s="107"/>
      <c r="PSI152" s="108"/>
      <c r="PSK152" s="109"/>
      <c r="PSL152" s="107"/>
      <c r="PSM152" s="107"/>
      <c r="PST152" s="107"/>
      <c r="PSU152" s="107"/>
      <c r="PSV152" s="108"/>
      <c r="PSX152" s="109"/>
      <c r="PSY152" s="107"/>
      <c r="PSZ152" s="107"/>
      <c r="PTG152" s="107"/>
      <c r="PTH152" s="107"/>
      <c r="PTI152" s="108"/>
      <c r="PTK152" s="109"/>
      <c r="PTL152" s="107"/>
      <c r="PTM152" s="107"/>
      <c r="PTT152" s="107"/>
      <c r="PTU152" s="107"/>
      <c r="PTV152" s="108"/>
      <c r="PTX152" s="109"/>
      <c r="PTY152" s="107"/>
      <c r="PTZ152" s="107"/>
      <c r="PUG152" s="107"/>
      <c r="PUH152" s="107"/>
      <c r="PUI152" s="108"/>
      <c r="PUK152" s="109"/>
      <c r="PUL152" s="107"/>
      <c r="PUM152" s="107"/>
      <c r="PUT152" s="107"/>
      <c r="PUU152" s="107"/>
      <c r="PUV152" s="108"/>
      <c r="PUX152" s="109"/>
      <c r="PUY152" s="107"/>
      <c r="PUZ152" s="107"/>
      <c r="PVG152" s="107"/>
      <c r="PVH152" s="107"/>
      <c r="PVI152" s="108"/>
      <c r="PVK152" s="109"/>
      <c r="PVL152" s="107"/>
      <c r="PVM152" s="107"/>
      <c r="PVT152" s="107"/>
      <c r="PVU152" s="107"/>
      <c r="PVV152" s="108"/>
      <c r="PVX152" s="109"/>
      <c r="PVY152" s="107"/>
      <c r="PVZ152" s="107"/>
      <c r="PWG152" s="107"/>
      <c r="PWH152" s="107"/>
      <c r="PWI152" s="108"/>
      <c r="PWK152" s="109"/>
      <c r="PWL152" s="107"/>
      <c r="PWM152" s="107"/>
      <c r="PWT152" s="107"/>
      <c r="PWU152" s="107"/>
      <c r="PWV152" s="108"/>
      <c r="PWX152" s="109"/>
      <c r="PWY152" s="107"/>
      <c r="PWZ152" s="107"/>
      <c r="PXG152" s="107"/>
      <c r="PXH152" s="107"/>
      <c r="PXI152" s="108"/>
      <c r="PXK152" s="109"/>
      <c r="PXL152" s="107"/>
      <c r="PXM152" s="107"/>
      <c r="PXT152" s="107"/>
      <c r="PXU152" s="107"/>
      <c r="PXV152" s="108"/>
      <c r="PXX152" s="109"/>
      <c r="PXY152" s="107"/>
      <c r="PXZ152" s="107"/>
      <c r="PYG152" s="107"/>
      <c r="PYH152" s="107"/>
      <c r="PYI152" s="108"/>
      <c r="PYK152" s="109"/>
      <c r="PYL152" s="107"/>
      <c r="PYM152" s="107"/>
      <c r="PYT152" s="107"/>
      <c r="PYU152" s="107"/>
      <c r="PYV152" s="108"/>
      <c r="PYX152" s="109"/>
      <c r="PYY152" s="107"/>
      <c r="PYZ152" s="107"/>
      <c r="PZG152" s="107"/>
      <c r="PZH152" s="107"/>
      <c r="PZI152" s="108"/>
      <c r="PZK152" s="109"/>
      <c r="PZL152" s="107"/>
      <c r="PZM152" s="107"/>
      <c r="PZT152" s="107"/>
      <c r="PZU152" s="107"/>
      <c r="PZV152" s="108"/>
      <c r="PZX152" s="109"/>
      <c r="PZY152" s="107"/>
      <c r="PZZ152" s="107"/>
      <c r="QAG152" s="107"/>
      <c r="QAH152" s="107"/>
      <c r="QAI152" s="108"/>
      <c r="QAK152" s="109"/>
      <c r="QAL152" s="107"/>
      <c r="QAM152" s="107"/>
      <c r="QAT152" s="107"/>
      <c r="QAU152" s="107"/>
      <c r="QAV152" s="108"/>
      <c r="QAX152" s="109"/>
      <c r="QAY152" s="107"/>
      <c r="QAZ152" s="107"/>
      <c r="QBG152" s="107"/>
      <c r="QBH152" s="107"/>
      <c r="QBI152" s="108"/>
      <c r="QBK152" s="109"/>
      <c r="QBL152" s="107"/>
      <c r="QBM152" s="107"/>
      <c r="QBT152" s="107"/>
      <c r="QBU152" s="107"/>
      <c r="QBV152" s="108"/>
      <c r="QBX152" s="109"/>
      <c r="QBY152" s="107"/>
      <c r="QBZ152" s="107"/>
      <c r="QCG152" s="107"/>
      <c r="QCH152" s="107"/>
      <c r="QCI152" s="108"/>
      <c r="QCK152" s="109"/>
      <c r="QCL152" s="107"/>
      <c r="QCM152" s="107"/>
      <c r="QCT152" s="107"/>
      <c r="QCU152" s="107"/>
      <c r="QCV152" s="108"/>
      <c r="QCX152" s="109"/>
      <c r="QCY152" s="107"/>
      <c r="QCZ152" s="107"/>
      <c r="QDG152" s="107"/>
      <c r="QDH152" s="107"/>
      <c r="QDI152" s="108"/>
      <c r="QDK152" s="109"/>
      <c r="QDL152" s="107"/>
      <c r="QDM152" s="107"/>
      <c r="QDT152" s="107"/>
      <c r="QDU152" s="107"/>
      <c r="QDV152" s="108"/>
      <c r="QDX152" s="109"/>
      <c r="QDY152" s="107"/>
      <c r="QDZ152" s="107"/>
      <c r="QEG152" s="107"/>
      <c r="QEH152" s="107"/>
      <c r="QEI152" s="108"/>
      <c r="QEK152" s="109"/>
      <c r="QEL152" s="107"/>
      <c r="QEM152" s="107"/>
      <c r="QET152" s="107"/>
      <c r="QEU152" s="107"/>
      <c r="QEV152" s="108"/>
      <c r="QEX152" s="109"/>
      <c r="QEY152" s="107"/>
      <c r="QEZ152" s="107"/>
      <c r="QFG152" s="107"/>
      <c r="QFH152" s="107"/>
      <c r="QFI152" s="108"/>
      <c r="QFK152" s="109"/>
      <c r="QFL152" s="107"/>
      <c r="QFM152" s="107"/>
      <c r="QFT152" s="107"/>
      <c r="QFU152" s="107"/>
      <c r="QFV152" s="108"/>
      <c r="QFX152" s="109"/>
      <c r="QFY152" s="107"/>
      <c r="QFZ152" s="107"/>
      <c r="QGG152" s="107"/>
      <c r="QGH152" s="107"/>
      <c r="QGI152" s="108"/>
      <c r="QGK152" s="109"/>
      <c r="QGL152" s="107"/>
      <c r="QGM152" s="107"/>
      <c r="QGT152" s="107"/>
      <c r="QGU152" s="107"/>
      <c r="QGV152" s="108"/>
      <c r="QGX152" s="109"/>
      <c r="QGY152" s="107"/>
      <c r="QGZ152" s="107"/>
      <c r="QHG152" s="107"/>
      <c r="QHH152" s="107"/>
      <c r="QHI152" s="108"/>
      <c r="QHK152" s="109"/>
      <c r="QHL152" s="107"/>
      <c r="QHM152" s="107"/>
      <c r="QHT152" s="107"/>
      <c r="QHU152" s="107"/>
      <c r="QHV152" s="108"/>
      <c r="QHX152" s="109"/>
      <c r="QHY152" s="107"/>
      <c r="QHZ152" s="107"/>
      <c r="QIG152" s="107"/>
      <c r="QIH152" s="107"/>
      <c r="QII152" s="108"/>
      <c r="QIK152" s="109"/>
      <c r="QIL152" s="107"/>
      <c r="QIM152" s="107"/>
      <c r="QIT152" s="107"/>
      <c r="QIU152" s="107"/>
      <c r="QIV152" s="108"/>
      <c r="QIX152" s="109"/>
      <c r="QIY152" s="107"/>
      <c r="QIZ152" s="107"/>
      <c r="QJG152" s="107"/>
      <c r="QJH152" s="107"/>
      <c r="QJI152" s="108"/>
      <c r="QJK152" s="109"/>
      <c r="QJL152" s="107"/>
      <c r="QJM152" s="107"/>
      <c r="QJT152" s="107"/>
      <c r="QJU152" s="107"/>
      <c r="QJV152" s="108"/>
      <c r="QJX152" s="109"/>
      <c r="QJY152" s="107"/>
      <c r="QJZ152" s="107"/>
      <c r="QKG152" s="107"/>
      <c r="QKH152" s="107"/>
      <c r="QKI152" s="108"/>
      <c r="QKK152" s="109"/>
      <c r="QKL152" s="107"/>
      <c r="QKM152" s="107"/>
      <c r="QKT152" s="107"/>
      <c r="QKU152" s="107"/>
      <c r="QKV152" s="108"/>
      <c r="QKX152" s="109"/>
      <c r="QKY152" s="107"/>
      <c r="QKZ152" s="107"/>
      <c r="QLG152" s="107"/>
      <c r="QLH152" s="107"/>
      <c r="QLI152" s="108"/>
      <c r="QLK152" s="109"/>
      <c r="QLL152" s="107"/>
      <c r="QLM152" s="107"/>
      <c r="QLT152" s="107"/>
      <c r="QLU152" s="107"/>
      <c r="QLV152" s="108"/>
      <c r="QLX152" s="109"/>
      <c r="QLY152" s="107"/>
      <c r="QLZ152" s="107"/>
      <c r="QMG152" s="107"/>
      <c r="QMH152" s="107"/>
      <c r="QMI152" s="108"/>
      <c r="QMK152" s="109"/>
      <c r="QML152" s="107"/>
      <c r="QMM152" s="107"/>
      <c r="QMT152" s="107"/>
      <c r="QMU152" s="107"/>
      <c r="QMV152" s="108"/>
      <c r="QMX152" s="109"/>
      <c r="QMY152" s="107"/>
      <c r="QMZ152" s="107"/>
      <c r="QNG152" s="107"/>
      <c r="QNH152" s="107"/>
      <c r="QNI152" s="108"/>
      <c r="QNK152" s="109"/>
      <c r="QNL152" s="107"/>
      <c r="QNM152" s="107"/>
      <c r="QNT152" s="107"/>
      <c r="QNU152" s="107"/>
      <c r="QNV152" s="108"/>
      <c r="QNX152" s="109"/>
      <c r="QNY152" s="107"/>
      <c r="QNZ152" s="107"/>
      <c r="QOG152" s="107"/>
      <c r="QOH152" s="107"/>
      <c r="QOI152" s="108"/>
      <c r="QOK152" s="109"/>
      <c r="QOL152" s="107"/>
      <c r="QOM152" s="107"/>
      <c r="QOT152" s="107"/>
      <c r="QOU152" s="107"/>
      <c r="QOV152" s="108"/>
      <c r="QOX152" s="109"/>
      <c r="QOY152" s="107"/>
      <c r="QOZ152" s="107"/>
      <c r="QPG152" s="107"/>
      <c r="QPH152" s="107"/>
      <c r="QPI152" s="108"/>
      <c r="QPK152" s="109"/>
      <c r="QPL152" s="107"/>
      <c r="QPM152" s="107"/>
      <c r="QPT152" s="107"/>
      <c r="QPU152" s="107"/>
      <c r="QPV152" s="108"/>
      <c r="QPX152" s="109"/>
      <c r="QPY152" s="107"/>
      <c r="QPZ152" s="107"/>
      <c r="QQG152" s="107"/>
      <c r="QQH152" s="107"/>
      <c r="QQI152" s="108"/>
      <c r="QQK152" s="109"/>
      <c r="QQL152" s="107"/>
      <c r="QQM152" s="107"/>
      <c r="QQT152" s="107"/>
      <c r="QQU152" s="107"/>
      <c r="QQV152" s="108"/>
      <c r="QQX152" s="109"/>
      <c r="QQY152" s="107"/>
      <c r="QQZ152" s="107"/>
      <c r="QRG152" s="107"/>
      <c r="QRH152" s="107"/>
      <c r="QRI152" s="108"/>
      <c r="QRK152" s="109"/>
      <c r="QRL152" s="107"/>
      <c r="QRM152" s="107"/>
      <c r="QRT152" s="107"/>
      <c r="QRU152" s="107"/>
      <c r="QRV152" s="108"/>
      <c r="QRX152" s="109"/>
      <c r="QRY152" s="107"/>
      <c r="QRZ152" s="107"/>
      <c r="QSG152" s="107"/>
      <c r="QSH152" s="107"/>
      <c r="QSI152" s="108"/>
      <c r="QSK152" s="109"/>
      <c r="QSL152" s="107"/>
      <c r="QSM152" s="107"/>
      <c r="QST152" s="107"/>
      <c r="QSU152" s="107"/>
      <c r="QSV152" s="108"/>
      <c r="QSX152" s="109"/>
      <c r="QSY152" s="107"/>
      <c r="QSZ152" s="107"/>
      <c r="QTG152" s="107"/>
      <c r="QTH152" s="107"/>
      <c r="QTI152" s="108"/>
      <c r="QTK152" s="109"/>
      <c r="QTL152" s="107"/>
      <c r="QTM152" s="107"/>
      <c r="QTT152" s="107"/>
      <c r="QTU152" s="107"/>
      <c r="QTV152" s="108"/>
      <c r="QTX152" s="109"/>
      <c r="QTY152" s="107"/>
      <c r="QTZ152" s="107"/>
      <c r="QUG152" s="107"/>
      <c r="QUH152" s="107"/>
      <c r="QUI152" s="108"/>
      <c r="QUK152" s="109"/>
      <c r="QUL152" s="107"/>
      <c r="QUM152" s="107"/>
      <c r="QUT152" s="107"/>
      <c r="QUU152" s="107"/>
      <c r="QUV152" s="108"/>
      <c r="QUX152" s="109"/>
      <c r="QUY152" s="107"/>
      <c r="QUZ152" s="107"/>
      <c r="QVG152" s="107"/>
      <c r="QVH152" s="107"/>
      <c r="QVI152" s="108"/>
      <c r="QVK152" s="109"/>
      <c r="QVL152" s="107"/>
      <c r="QVM152" s="107"/>
      <c r="QVT152" s="107"/>
      <c r="QVU152" s="107"/>
      <c r="QVV152" s="108"/>
      <c r="QVX152" s="109"/>
      <c r="QVY152" s="107"/>
      <c r="QVZ152" s="107"/>
      <c r="QWG152" s="107"/>
      <c r="QWH152" s="107"/>
      <c r="QWI152" s="108"/>
      <c r="QWK152" s="109"/>
      <c r="QWL152" s="107"/>
      <c r="QWM152" s="107"/>
      <c r="QWT152" s="107"/>
      <c r="QWU152" s="107"/>
      <c r="QWV152" s="108"/>
      <c r="QWX152" s="109"/>
      <c r="QWY152" s="107"/>
      <c r="QWZ152" s="107"/>
      <c r="QXG152" s="107"/>
      <c r="QXH152" s="107"/>
      <c r="QXI152" s="108"/>
      <c r="QXK152" s="109"/>
      <c r="QXL152" s="107"/>
      <c r="QXM152" s="107"/>
      <c r="QXT152" s="107"/>
      <c r="QXU152" s="107"/>
      <c r="QXV152" s="108"/>
      <c r="QXX152" s="109"/>
      <c r="QXY152" s="107"/>
      <c r="QXZ152" s="107"/>
      <c r="QYG152" s="107"/>
      <c r="QYH152" s="107"/>
      <c r="QYI152" s="108"/>
      <c r="QYK152" s="109"/>
      <c r="QYL152" s="107"/>
      <c r="QYM152" s="107"/>
      <c r="QYT152" s="107"/>
      <c r="QYU152" s="107"/>
      <c r="QYV152" s="108"/>
      <c r="QYX152" s="109"/>
      <c r="QYY152" s="107"/>
      <c r="QYZ152" s="107"/>
      <c r="QZG152" s="107"/>
      <c r="QZH152" s="107"/>
      <c r="QZI152" s="108"/>
      <c r="QZK152" s="109"/>
      <c r="QZL152" s="107"/>
      <c r="QZM152" s="107"/>
      <c r="QZT152" s="107"/>
      <c r="QZU152" s="107"/>
      <c r="QZV152" s="108"/>
      <c r="QZX152" s="109"/>
      <c r="QZY152" s="107"/>
      <c r="QZZ152" s="107"/>
      <c r="RAG152" s="107"/>
      <c r="RAH152" s="107"/>
      <c r="RAI152" s="108"/>
      <c r="RAK152" s="109"/>
      <c r="RAL152" s="107"/>
      <c r="RAM152" s="107"/>
      <c r="RAT152" s="107"/>
      <c r="RAU152" s="107"/>
      <c r="RAV152" s="108"/>
      <c r="RAX152" s="109"/>
      <c r="RAY152" s="107"/>
      <c r="RAZ152" s="107"/>
      <c r="RBG152" s="107"/>
      <c r="RBH152" s="107"/>
      <c r="RBI152" s="108"/>
      <c r="RBK152" s="109"/>
      <c r="RBL152" s="107"/>
      <c r="RBM152" s="107"/>
      <c r="RBT152" s="107"/>
      <c r="RBU152" s="107"/>
      <c r="RBV152" s="108"/>
      <c r="RBX152" s="109"/>
      <c r="RBY152" s="107"/>
      <c r="RBZ152" s="107"/>
      <c r="RCG152" s="107"/>
      <c r="RCH152" s="107"/>
      <c r="RCI152" s="108"/>
      <c r="RCK152" s="109"/>
      <c r="RCL152" s="107"/>
      <c r="RCM152" s="107"/>
      <c r="RCT152" s="107"/>
      <c r="RCU152" s="107"/>
      <c r="RCV152" s="108"/>
      <c r="RCX152" s="109"/>
      <c r="RCY152" s="107"/>
      <c r="RCZ152" s="107"/>
      <c r="RDG152" s="107"/>
      <c r="RDH152" s="107"/>
      <c r="RDI152" s="108"/>
      <c r="RDK152" s="109"/>
      <c r="RDL152" s="107"/>
      <c r="RDM152" s="107"/>
      <c r="RDT152" s="107"/>
      <c r="RDU152" s="107"/>
      <c r="RDV152" s="108"/>
      <c r="RDX152" s="109"/>
      <c r="RDY152" s="107"/>
      <c r="RDZ152" s="107"/>
      <c r="REG152" s="107"/>
      <c r="REH152" s="107"/>
      <c r="REI152" s="108"/>
      <c r="REK152" s="109"/>
      <c r="REL152" s="107"/>
      <c r="REM152" s="107"/>
      <c r="RET152" s="107"/>
      <c r="REU152" s="107"/>
      <c r="REV152" s="108"/>
      <c r="REX152" s="109"/>
      <c r="REY152" s="107"/>
      <c r="REZ152" s="107"/>
      <c r="RFG152" s="107"/>
      <c r="RFH152" s="107"/>
      <c r="RFI152" s="108"/>
      <c r="RFK152" s="109"/>
      <c r="RFL152" s="107"/>
      <c r="RFM152" s="107"/>
      <c r="RFT152" s="107"/>
      <c r="RFU152" s="107"/>
      <c r="RFV152" s="108"/>
      <c r="RFX152" s="109"/>
      <c r="RFY152" s="107"/>
      <c r="RFZ152" s="107"/>
      <c r="RGG152" s="107"/>
      <c r="RGH152" s="107"/>
      <c r="RGI152" s="108"/>
      <c r="RGK152" s="109"/>
      <c r="RGL152" s="107"/>
      <c r="RGM152" s="107"/>
      <c r="RGT152" s="107"/>
      <c r="RGU152" s="107"/>
      <c r="RGV152" s="108"/>
      <c r="RGX152" s="109"/>
      <c r="RGY152" s="107"/>
      <c r="RGZ152" s="107"/>
      <c r="RHG152" s="107"/>
      <c r="RHH152" s="107"/>
      <c r="RHI152" s="108"/>
      <c r="RHK152" s="109"/>
      <c r="RHL152" s="107"/>
      <c r="RHM152" s="107"/>
      <c r="RHT152" s="107"/>
      <c r="RHU152" s="107"/>
      <c r="RHV152" s="108"/>
      <c r="RHX152" s="109"/>
      <c r="RHY152" s="107"/>
      <c r="RHZ152" s="107"/>
      <c r="RIG152" s="107"/>
      <c r="RIH152" s="107"/>
      <c r="RII152" s="108"/>
      <c r="RIK152" s="109"/>
      <c r="RIL152" s="107"/>
      <c r="RIM152" s="107"/>
      <c r="RIT152" s="107"/>
      <c r="RIU152" s="107"/>
      <c r="RIV152" s="108"/>
      <c r="RIX152" s="109"/>
      <c r="RIY152" s="107"/>
      <c r="RIZ152" s="107"/>
      <c r="RJG152" s="107"/>
      <c r="RJH152" s="107"/>
      <c r="RJI152" s="108"/>
      <c r="RJK152" s="109"/>
      <c r="RJL152" s="107"/>
      <c r="RJM152" s="107"/>
      <c r="RJT152" s="107"/>
      <c r="RJU152" s="107"/>
      <c r="RJV152" s="108"/>
      <c r="RJX152" s="109"/>
      <c r="RJY152" s="107"/>
      <c r="RJZ152" s="107"/>
      <c r="RKG152" s="107"/>
      <c r="RKH152" s="107"/>
      <c r="RKI152" s="108"/>
      <c r="RKK152" s="109"/>
      <c r="RKL152" s="107"/>
      <c r="RKM152" s="107"/>
      <c r="RKT152" s="107"/>
      <c r="RKU152" s="107"/>
      <c r="RKV152" s="108"/>
      <c r="RKX152" s="109"/>
      <c r="RKY152" s="107"/>
      <c r="RKZ152" s="107"/>
      <c r="RLG152" s="107"/>
      <c r="RLH152" s="107"/>
      <c r="RLI152" s="108"/>
      <c r="RLK152" s="109"/>
      <c r="RLL152" s="107"/>
      <c r="RLM152" s="107"/>
      <c r="RLT152" s="107"/>
      <c r="RLU152" s="107"/>
      <c r="RLV152" s="108"/>
      <c r="RLX152" s="109"/>
      <c r="RLY152" s="107"/>
      <c r="RLZ152" s="107"/>
      <c r="RMG152" s="107"/>
      <c r="RMH152" s="107"/>
      <c r="RMI152" s="108"/>
      <c r="RMK152" s="109"/>
      <c r="RML152" s="107"/>
      <c r="RMM152" s="107"/>
      <c r="RMT152" s="107"/>
      <c r="RMU152" s="107"/>
      <c r="RMV152" s="108"/>
      <c r="RMX152" s="109"/>
      <c r="RMY152" s="107"/>
      <c r="RMZ152" s="107"/>
      <c r="RNG152" s="107"/>
      <c r="RNH152" s="107"/>
      <c r="RNI152" s="108"/>
      <c r="RNK152" s="109"/>
      <c r="RNL152" s="107"/>
      <c r="RNM152" s="107"/>
      <c r="RNT152" s="107"/>
      <c r="RNU152" s="107"/>
      <c r="RNV152" s="108"/>
      <c r="RNX152" s="109"/>
      <c r="RNY152" s="107"/>
      <c r="RNZ152" s="107"/>
      <c r="ROG152" s="107"/>
      <c r="ROH152" s="107"/>
      <c r="ROI152" s="108"/>
      <c r="ROK152" s="109"/>
      <c r="ROL152" s="107"/>
      <c r="ROM152" s="107"/>
      <c r="ROT152" s="107"/>
      <c r="ROU152" s="107"/>
      <c r="ROV152" s="108"/>
      <c r="ROX152" s="109"/>
      <c r="ROY152" s="107"/>
      <c r="ROZ152" s="107"/>
      <c r="RPG152" s="107"/>
      <c r="RPH152" s="107"/>
      <c r="RPI152" s="108"/>
      <c r="RPK152" s="109"/>
      <c r="RPL152" s="107"/>
      <c r="RPM152" s="107"/>
      <c r="RPT152" s="107"/>
      <c r="RPU152" s="107"/>
      <c r="RPV152" s="108"/>
      <c r="RPX152" s="109"/>
      <c r="RPY152" s="107"/>
      <c r="RPZ152" s="107"/>
      <c r="RQG152" s="107"/>
      <c r="RQH152" s="107"/>
      <c r="RQI152" s="108"/>
      <c r="RQK152" s="109"/>
      <c r="RQL152" s="107"/>
      <c r="RQM152" s="107"/>
      <c r="RQT152" s="107"/>
      <c r="RQU152" s="107"/>
      <c r="RQV152" s="108"/>
      <c r="RQX152" s="109"/>
      <c r="RQY152" s="107"/>
      <c r="RQZ152" s="107"/>
      <c r="RRG152" s="107"/>
      <c r="RRH152" s="107"/>
      <c r="RRI152" s="108"/>
      <c r="RRK152" s="109"/>
      <c r="RRL152" s="107"/>
      <c r="RRM152" s="107"/>
      <c r="RRT152" s="107"/>
      <c r="RRU152" s="107"/>
      <c r="RRV152" s="108"/>
      <c r="RRX152" s="109"/>
      <c r="RRY152" s="107"/>
      <c r="RRZ152" s="107"/>
      <c r="RSG152" s="107"/>
      <c r="RSH152" s="107"/>
      <c r="RSI152" s="108"/>
      <c r="RSK152" s="109"/>
      <c r="RSL152" s="107"/>
      <c r="RSM152" s="107"/>
      <c r="RST152" s="107"/>
      <c r="RSU152" s="107"/>
      <c r="RSV152" s="108"/>
      <c r="RSX152" s="109"/>
      <c r="RSY152" s="107"/>
      <c r="RSZ152" s="107"/>
      <c r="RTG152" s="107"/>
      <c r="RTH152" s="107"/>
      <c r="RTI152" s="108"/>
      <c r="RTK152" s="109"/>
      <c r="RTL152" s="107"/>
      <c r="RTM152" s="107"/>
      <c r="RTT152" s="107"/>
      <c r="RTU152" s="107"/>
      <c r="RTV152" s="108"/>
      <c r="RTX152" s="109"/>
      <c r="RTY152" s="107"/>
      <c r="RTZ152" s="107"/>
      <c r="RUG152" s="107"/>
      <c r="RUH152" s="107"/>
      <c r="RUI152" s="108"/>
      <c r="RUK152" s="109"/>
      <c r="RUL152" s="107"/>
      <c r="RUM152" s="107"/>
      <c r="RUT152" s="107"/>
      <c r="RUU152" s="107"/>
      <c r="RUV152" s="108"/>
      <c r="RUX152" s="109"/>
      <c r="RUY152" s="107"/>
      <c r="RUZ152" s="107"/>
      <c r="RVG152" s="107"/>
      <c r="RVH152" s="107"/>
      <c r="RVI152" s="108"/>
      <c r="RVK152" s="109"/>
      <c r="RVL152" s="107"/>
      <c r="RVM152" s="107"/>
      <c r="RVT152" s="107"/>
      <c r="RVU152" s="107"/>
      <c r="RVV152" s="108"/>
      <c r="RVX152" s="109"/>
      <c r="RVY152" s="107"/>
      <c r="RVZ152" s="107"/>
      <c r="RWG152" s="107"/>
      <c r="RWH152" s="107"/>
      <c r="RWI152" s="108"/>
      <c r="RWK152" s="109"/>
      <c r="RWL152" s="107"/>
      <c r="RWM152" s="107"/>
      <c r="RWT152" s="107"/>
      <c r="RWU152" s="107"/>
      <c r="RWV152" s="108"/>
      <c r="RWX152" s="109"/>
      <c r="RWY152" s="107"/>
      <c r="RWZ152" s="107"/>
      <c r="RXG152" s="107"/>
      <c r="RXH152" s="107"/>
      <c r="RXI152" s="108"/>
      <c r="RXK152" s="109"/>
      <c r="RXL152" s="107"/>
      <c r="RXM152" s="107"/>
      <c r="RXT152" s="107"/>
      <c r="RXU152" s="107"/>
      <c r="RXV152" s="108"/>
      <c r="RXX152" s="109"/>
      <c r="RXY152" s="107"/>
      <c r="RXZ152" s="107"/>
      <c r="RYG152" s="107"/>
      <c r="RYH152" s="107"/>
      <c r="RYI152" s="108"/>
      <c r="RYK152" s="109"/>
      <c r="RYL152" s="107"/>
      <c r="RYM152" s="107"/>
      <c r="RYT152" s="107"/>
      <c r="RYU152" s="107"/>
      <c r="RYV152" s="108"/>
      <c r="RYX152" s="109"/>
      <c r="RYY152" s="107"/>
      <c r="RYZ152" s="107"/>
      <c r="RZG152" s="107"/>
      <c r="RZH152" s="107"/>
      <c r="RZI152" s="108"/>
      <c r="RZK152" s="109"/>
      <c r="RZL152" s="107"/>
      <c r="RZM152" s="107"/>
      <c r="RZT152" s="107"/>
      <c r="RZU152" s="107"/>
      <c r="RZV152" s="108"/>
      <c r="RZX152" s="109"/>
      <c r="RZY152" s="107"/>
      <c r="RZZ152" s="107"/>
      <c r="SAG152" s="107"/>
      <c r="SAH152" s="107"/>
      <c r="SAI152" s="108"/>
      <c r="SAK152" s="109"/>
      <c r="SAL152" s="107"/>
      <c r="SAM152" s="107"/>
      <c r="SAT152" s="107"/>
      <c r="SAU152" s="107"/>
      <c r="SAV152" s="108"/>
      <c r="SAX152" s="109"/>
      <c r="SAY152" s="107"/>
      <c r="SAZ152" s="107"/>
      <c r="SBG152" s="107"/>
      <c r="SBH152" s="107"/>
      <c r="SBI152" s="108"/>
      <c r="SBK152" s="109"/>
      <c r="SBL152" s="107"/>
      <c r="SBM152" s="107"/>
      <c r="SBT152" s="107"/>
      <c r="SBU152" s="107"/>
      <c r="SBV152" s="108"/>
      <c r="SBX152" s="109"/>
      <c r="SBY152" s="107"/>
      <c r="SBZ152" s="107"/>
      <c r="SCG152" s="107"/>
      <c r="SCH152" s="107"/>
      <c r="SCI152" s="108"/>
      <c r="SCK152" s="109"/>
      <c r="SCL152" s="107"/>
      <c r="SCM152" s="107"/>
      <c r="SCT152" s="107"/>
      <c r="SCU152" s="107"/>
      <c r="SCV152" s="108"/>
      <c r="SCX152" s="109"/>
      <c r="SCY152" s="107"/>
      <c r="SCZ152" s="107"/>
      <c r="SDG152" s="107"/>
      <c r="SDH152" s="107"/>
      <c r="SDI152" s="108"/>
      <c r="SDK152" s="109"/>
      <c r="SDL152" s="107"/>
      <c r="SDM152" s="107"/>
      <c r="SDT152" s="107"/>
      <c r="SDU152" s="107"/>
      <c r="SDV152" s="108"/>
      <c r="SDX152" s="109"/>
      <c r="SDY152" s="107"/>
      <c r="SDZ152" s="107"/>
      <c r="SEG152" s="107"/>
      <c r="SEH152" s="107"/>
      <c r="SEI152" s="108"/>
      <c r="SEK152" s="109"/>
      <c r="SEL152" s="107"/>
      <c r="SEM152" s="107"/>
      <c r="SET152" s="107"/>
      <c r="SEU152" s="107"/>
      <c r="SEV152" s="108"/>
      <c r="SEX152" s="109"/>
      <c r="SEY152" s="107"/>
      <c r="SEZ152" s="107"/>
      <c r="SFG152" s="107"/>
      <c r="SFH152" s="107"/>
      <c r="SFI152" s="108"/>
      <c r="SFK152" s="109"/>
      <c r="SFL152" s="107"/>
      <c r="SFM152" s="107"/>
      <c r="SFT152" s="107"/>
      <c r="SFU152" s="107"/>
      <c r="SFV152" s="108"/>
      <c r="SFX152" s="109"/>
      <c r="SFY152" s="107"/>
      <c r="SFZ152" s="107"/>
      <c r="SGG152" s="107"/>
      <c r="SGH152" s="107"/>
      <c r="SGI152" s="108"/>
      <c r="SGK152" s="109"/>
      <c r="SGL152" s="107"/>
      <c r="SGM152" s="107"/>
      <c r="SGT152" s="107"/>
      <c r="SGU152" s="107"/>
      <c r="SGV152" s="108"/>
      <c r="SGX152" s="109"/>
      <c r="SGY152" s="107"/>
      <c r="SGZ152" s="107"/>
      <c r="SHG152" s="107"/>
      <c r="SHH152" s="107"/>
      <c r="SHI152" s="108"/>
      <c r="SHK152" s="109"/>
      <c r="SHL152" s="107"/>
      <c r="SHM152" s="107"/>
      <c r="SHT152" s="107"/>
      <c r="SHU152" s="107"/>
      <c r="SHV152" s="108"/>
      <c r="SHX152" s="109"/>
      <c r="SHY152" s="107"/>
      <c r="SHZ152" s="107"/>
      <c r="SIG152" s="107"/>
      <c r="SIH152" s="107"/>
      <c r="SII152" s="108"/>
      <c r="SIK152" s="109"/>
      <c r="SIL152" s="107"/>
      <c r="SIM152" s="107"/>
      <c r="SIT152" s="107"/>
      <c r="SIU152" s="107"/>
      <c r="SIV152" s="108"/>
      <c r="SIX152" s="109"/>
      <c r="SIY152" s="107"/>
      <c r="SIZ152" s="107"/>
      <c r="SJG152" s="107"/>
      <c r="SJH152" s="107"/>
      <c r="SJI152" s="108"/>
      <c r="SJK152" s="109"/>
      <c r="SJL152" s="107"/>
      <c r="SJM152" s="107"/>
      <c r="SJT152" s="107"/>
      <c r="SJU152" s="107"/>
      <c r="SJV152" s="108"/>
      <c r="SJX152" s="109"/>
      <c r="SJY152" s="107"/>
      <c r="SJZ152" s="107"/>
      <c r="SKG152" s="107"/>
      <c r="SKH152" s="107"/>
      <c r="SKI152" s="108"/>
      <c r="SKK152" s="109"/>
      <c r="SKL152" s="107"/>
      <c r="SKM152" s="107"/>
      <c r="SKT152" s="107"/>
      <c r="SKU152" s="107"/>
      <c r="SKV152" s="108"/>
      <c r="SKX152" s="109"/>
      <c r="SKY152" s="107"/>
      <c r="SKZ152" s="107"/>
      <c r="SLG152" s="107"/>
      <c r="SLH152" s="107"/>
      <c r="SLI152" s="108"/>
      <c r="SLK152" s="109"/>
      <c r="SLL152" s="107"/>
      <c r="SLM152" s="107"/>
      <c r="SLT152" s="107"/>
      <c r="SLU152" s="107"/>
      <c r="SLV152" s="108"/>
      <c r="SLX152" s="109"/>
      <c r="SLY152" s="107"/>
      <c r="SLZ152" s="107"/>
      <c r="SMG152" s="107"/>
      <c r="SMH152" s="107"/>
      <c r="SMI152" s="108"/>
      <c r="SMK152" s="109"/>
      <c r="SML152" s="107"/>
      <c r="SMM152" s="107"/>
      <c r="SMT152" s="107"/>
      <c r="SMU152" s="107"/>
      <c r="SMV152" s="108"/>
      <c r="SMX152" s="109"/>
      <c r="SMY152" s="107"/>
      <c r="SMZ152" s="107"/>
      <c r="SNG152" s="107"/>
      <c r="SNH152" s="107"/>
      <c r="SNI152" s="108"/>
      <c r="SNK152" s="109"/>
      <c r="SNL152" s="107"/>
      <c r="SNM152" s="107"/>
      <c r="SNT152" s="107"/>
      <c r="SNU152" s="107"/>
      <c r="SNV152" s="108"/>
      <c r="SNX152" s="109"/>
      <c r="SNY152" s="107"/>
      <c r="SNZ152" s="107"/>
      <c r="SOG152" s="107"/>
      <c r="SOH152" s="107"/>
      <c r="SOI152" s="108"/>
      <c r="SOK152" s="109"/>
      <c r="SOL152" s="107"/>
      <c r="SOM152" s="107"/>
      <c r="SOT152" s="107"/>
      <c r="SOU152" s="107"/>
      <c r="SOV152" s="108"/>
      <c r="SOX152" s="109"/>
      <c r="SOY152" s="107"/>
      <c r="SOZ152" s="107"/>
      <c r="SPG152" s="107"/>
      <c r="SPH152" s="107"/>
      <c r="SPI152" s="108"/>
      <c r="SPK152" s="109"/>
      <c r="SPL152" s="107"/>
      <c r="SPM152" s="107"/>
      <c r="SPT152" s="107"/>
      <c r="SPU152" s="107"/>
      <c r="SPV152" s="108"/>
      <c r="SPX152" s="109"/>
      <c r="SPY152" s="107"/>
      <c r="SPZ152" s="107"/>
      <c r="SQG152" s="107"/>
      <c r="SQH152" s="107"/>
      <c r="SQI152" s="108"/>
      <c r="SQK152" s="109"/>
      <c r="SQL152" s="107"/>
      <c r="SQM152" s="107"/>
      <c r="SQT152" s="107"/>
      <c r="SQU152" s="107"/>
      <c r="SQV152" s="108"/>
      <c r="SQX152" s="109"/>
      <c r="SQY152" s="107"/>
      <c r="SQZ152" s="107"/>
      <c r="SRG152" s="107"/>
      <c r="SRH152" s="107"/>
      <c r="SRI152" s="108"/>
      <c r="SRK152" s="109"/>
      <c r="SRL152" s="107"/>
      <c r="SRM152" s="107"/>
      <c r="SRT152" s="107"/>
      <c r="SRU152" s="107"/>
      <c r="SRV152" s="108"/>
      <c r="SRX152" s="109"/>
      <c r="SRY152" s="107"/>
      <c r="SRZ152" s="107"/>
      <c r="SSG152" s="107"/>
      <c r="SSH152" s="107"/>
      <c r="SSI152" s="108"/>
      <c r="SSK152" s="109"/>
      <c r="SSL152" s="107"/>
      <c r="SSM152" s="107"/>
      <c r="SST152" s="107"/>
      <c r="SSU152" s="107"/>
      <c r="SSV152" s="108"/>
      <c r="SSX152" s="109"/>
      <c r="SSY152" s="107"/>
      <c r="SSZ152" s="107"/>
      <c r="STG152" s="107"/>
      <c r="STH152" s="107"/>
      <c r="STI152" s="108"/>
      <c r="STK152" s="109"/>
      <c r="STL152" s="107"/>
      <c r="STM152" s="107"/>
      <c r="STT152" s="107"/>
      <c r="STU152" s="107"/>
      <c r="STV152" s="108"/>
      <c r="STX152" s="109"/>
      <c r="STY152" s="107"/>
      <c r="STZ152" s="107"/>
      <c r="SUG152" s="107"/>
      <c r="SUH152" s="107"/>
      <c r="SUI152" s="108"/>
      <c r="SUK152" s="109"/>
      <c r="SUL152" s="107"/>
      <c r="SUM152" s="107"/>
      <c r="SUT152" s="107"/>
      <c r="SUU152" s="107"/>
      <c r="SUV152" s="108"/>
      <c r="SUX152" s="109"/>
      <c r="SUY152" s="107"/>
      <c r="SUZ152" s="107"/>
      <c r="SVG152" s="107"/>
      <c r="SVH152" s="107"/>
      <c r="SVI152" s="108"/>
      <c r="SVK152" s="109"/>
      <c r="SVL152" s="107"/>
      <c r="SVM152" s="107"/>
      <c r="SVT152" s="107"/>
      <c r="SVU152" s="107"/>
      <c r="SVV152" s="108"/>
      <c r="SVX152" s="109"/>
      <c r="SVY152" s="107"/>
      <c r="SVZ152" s="107"/>
      <c r="SWG152" s="107"/>
      <c r="SWH152" s="107"/>
      <c r="SWI152" s="108"/>
      <c r="SWK152" s="109"/>
      <c r="SWL152" s="107"/>
      <c r="SWM152" s="107"/>
      <c r="SWT152" s="107"/>
      <c r="SWU152" s="107"/>
      <c r="SWV152" s="108"/>
      <c r="SWX152" s="109"/>
      <c r="SWY152" s="107"/>
      <c r="SWZ152" s="107"/>
      <c r="SXG152" s="107"/>
      <c r="SXH152" s="107"/>
      <c r="SXI152" s="108"/>
      <c r="SXK152" s="109"/>
      <c r="SXL152" s="107"/>
      <c r="SXM152" s="107"/>
      <c r="SXT152" s="107"/>
      <c r="SXU152" s="107"/>
      <c r="SXV152" s="108"/>
      <c r="SXX152" s="109"/>
      <c r="SXY152" s="107"/>
      <c r="SXZ152" s="107"/>
      <c r="SYG152" s="107"/>
      <c r="SYH152" s="107"/>
      <c r="SYI152" s="108"/>
      <c r="SYK152" s="109"/>
      <c r="SYL152" s="107"/>
      <c r="SYM152" s="107"/>
      <c r="SYT152" s="107"/>
      <c r="SYU152" s="107"/>
      <c r="SYV152" s="108"/>
      <c r="SYX152" s="109"/>
      <c r="SYY152" s="107"/>
      <c r="SYZ152" s="107"/>
      <c r="SZG152" s="107"/>
      <c r="SZH152" s="107"/>
      <c r="SZI152" s="108"/>
      <c r="SZK152" s="109"/>
      <c r="SZL152" s="107"/>
      <c r="SZM152" s="107"/>
      <c r="SZT152" s="107"/>
      <c r="SZU152" s="107"/>
      <c r="SZV152" s="108"/>
      <c r="SZX152" s="109"/>
      <c r="SZY152" s="107"/>
      <c r="SZZ152" s="107"/>
      <c r="TAG152" s="107"/>
      <c r="TAH152" s="107"/>
      <c r="TAI152" s="108"/>
      <c r="TAK152" s="109"/>
      <c r="TAL152" s="107"/>
      <c r="TAM152" s="107"/>
      <c r="TAT152" s="107"/>
      <c r="TAU152" s="107"/>
      <c r="TAV152" s="108"/>
      <c r="TAX152" s="109"/>
      <c r="TAY152" s="107"/>
      <c r="TAZ152" s="107"/>
      <c r="TBG152" s="107"/>
      <c r="TBH152" s="107"/>
      <c r="TBI152" s="108"/>
      <c r="TBK152" s="109"/>
      <c r="TBL152" s="107"/>
      <c r="TBM152" s="107"/>
      <c r="TBT152" s="107"/>
      <c r="TBU152" s="107"/>
      <c r="TBV152" s="108"/>
      <c r="TBX152" s="109"/>
      <c r="TBY152" s="107"/>
      <c r="TBZ152" s="107"/>
      <c r="TCG152" s="107"/>
      <c r="TCH152" s="107"/>
      <c r="TCI152" s="108"/>
      <c r="TCK152" s="109"/>
      <c r="TCL152" s="107"/>
      <c r="TCM152" s="107"/>
      <c r="TCT152" s="107"/>
      <c r="TCU152" s="107"/>
      <c r="TCV152" s="108"/>
      <c r="TCX152" s="109"/>
      <c r="TCY152" s="107"/>
      <c r="TCZ152" s="107"/>
      <c r="TDG152" s="107"/>
      <c r="TDH152" s="107"/>
      <c r="TDI152" s="108"/>
      <c r="TDK152" s="109"/>
      <c r="TDL152" s="107"/>
      <c r="TDM152" s="107"/>
      <c r="TDT152" s="107"/>
      <c r="TDU152" s="107"/>
      <c r="TDV152" s="108"/>
      <c r="TDX152" s="109"/>
      <c r="TDY152" s="107"/>
      <c r="TDZ152" s="107"/>
      <c r="TEG152" s="107"/>
      <c r="TEH152" s="107"/>
      <c r="TEI152" s="108"/>
      <c r="TEK152" s="109"/>
      <c r="TEL152" s="107"/>
      <c r="TEM152" s="107"/>
      <c r="TET152" s="107"/>
      <c r="TEU152" s="107"/>
      <c r="TEV152" s="108"/>
      <c r="TEX152" s="109"/>
      <c r="TEY152" s="107"/>
      <c r="TEZ152" s="107"/>
      <c r="TFG152" s="107"/>
      <c r="TFH152" s="107"/>
      <c r="TFI152" s="108"/>
      <c r="TFK152" s="109"/>
      <c r="TFL152" s="107"/>
      <c r="TFM152" s="107"/>
      <c r="TFT152" s="107"/>
      <c r="TFU152" s="107"/>
      <c r="TFV152" s="108"/>
      <c r="TFX152" s="109"/>
      <c r="TFY152" s="107"/>
      <c r="TFZ152" s="107"/>
      <c r="TGG152" s="107"/>
      <c r="TGH152" s="107"/>
      <c r="TGI152" s="108"/>
      <c r="TGK152" s="109"/>
      <c r="TGL152" s="107"/>
      <c r="TGM152" s="107"/>
      <c r="TGT152" s="107"/>
      <c r="TGU152" s="107"/>
      <c r="TGV152" s="108"/>
      <c r="TGX152" s="109"/>
      <c r="TGY152" s="107"/>
      <c r="TGZ152" s="107"/>
      <c r="THG152" s="107"/>
      <c r="THH152" s="107"/>
      <c r="THI152" s="108"/>
      <c r="THK152" s="109"/>
      <c r="THL152" s="107"/>
      <c r="THM152" s="107"/>
      <c r="THT152" s="107"/>
      <c r="THU152" s="107"/>
      <c r="THV152" s="108"/>
      <c r="THX152" s="109"/>
      <c r="THY152" s="107"/>
      <c r="THZ152" s="107"/>
      <c r="TIG152" s="107"/>
      <c r="TIH152" s="107"/>
      <c r="TII152" s="108"/>
      <c r="TIK152" s="109"/>
      <c r="TIL152" s="107"/>
      <c r="TIM152" s="107"/>
      <c r="TIT152" s="107"/>
      <c r="TIU152" s="107"/>
      <c r="TIV152" s="108"/>
      <c r="TIX152" s="109"/>
      <c r="TIY152" s="107"/>
      <c r="TIZ152" s="107"/>
      <c r="TJG152" s="107"/>
      <c r="TJH152" s="107"/>
      <c r="TJI152" s="108"/>
      <c r="TJK152" s="109"/>
      <c r="TJL152" s="107"/>
      <c r="TJM152" s="107"/>
      <c r="TJT152" s="107"/>
      <c r="TJU152" s="107"/>
      <c r="TJV152" s="108"/>
      <c r="TJX152" s="109"/>
      <c r="TJY152" s="107"/>
      <c r="TJZ152" s="107"/>
      <c r="TKG152" s="107"/>
      <c r="TKH152" s="107"/>
      <c r="TKI152" s="108"/>
      <c r="TKK152" s="109"/>
      <c r="TKL152" s="107"/>
      <c r="TKM152" s="107"/>
      <c r="TKT152" s="107"/>
      <c r="TKU152" s="107"/>
      <c r="TKV152" s="108"/>
      <c r="TKX152" s="109"/>
      <c r="TKY152" s="107"/>
      <c r="TKZ152" s="107"/>
      <c r="TLG152" s="107"/>
      <c r="TLH152" s="107"/>
      <c r="TLI152" s="108"/>
      <c r="TLK152" s="109"/>
      <c r="TLL152" s="107"/>
      <c r="TLM152" s="107"/>
      <c r="TLT152" s="107"/>
      <c r="TLU152" s="107"/>
      <c r="TLV152" s="108"/>
      <c r="TLX152" s="109"/>
      <c r="TLY152" s="107"/>
      <c r="TLZ152" s="107"/>
      <c r="TMG152" s="107"/>
      <c r="TMH152" s="107"/>
      <c r="TMI152" s="108"/>
      <c r="TMK152" s="109"/>
      <c r="TML152" s="107"/>
      <c r="TMM152" s="107"/>
      <c r="TMT152" s="107"/>
      <c r="TMU152" s="107"/>
      <c r="TMV152" s="108"/>
      <c r="TMX152" s="109"/>
      <c r="TMY152" s="107"/>
      <c r="TMZ152" s="107"/>
      <c r="TNG152" s="107"/>
      <c r="TNH152" s="107"/>
      <c r="TNI152" s="108"/>
      <c r="TNK152" s="109"/>
      <c r="TNL152" s="107"/>
      <c r="TNM152" s="107"/>
      <c r="TNT152" s="107"/>
      <c r="TNU152" s="107"/>
      <c r="TNV152" s="108"/>
      <c r="TNX152" s="109"/>
      <c r="TNY152" s="107"/>
      <c r="TNZ152" s="107"/>
      <c r="TOG152" s="107"/>
      <c r="TOH152" s="107"/>
      <c r="TOI152" s="108"/>
      <c r="TOK152" s="109"/>
      <c r="TOL152" s="107"/>
      <c r="TOM152" s="107"/>
      <c r="TOT152" s="107"/>
      <c r="TOU152" s="107"/>
      <c r="TOV152" s="108"/>
      <c r="TOX152" s="109"/>
      <c r="TOY152" s="107"/>
      <c r="TOZ152" s="107"/>
      <c r="TPG152" s="107"/>
      <c r="TPH152" s="107"/>
      <c r="TPI152" s="108"/>
      <c r="TPK152" s="109"/>
      <c r="TPL152" s="107"/>
      <c r="TPM152" s="107"/>
      <c r="TPT152" s="107"/>
      <c r="TPU152" s="107"/>
      <c r="TPV152" s="108"/>
      <c r="TPX152" s="109"/>
      <c r="TPY152" s="107"/>
      <c r="TPZ152" s="107"/>
      <c r="TQG152" s="107"/>
      <c r="TQH152" s="107"/>
      <c r="TQI152" s="108"/>
      <c r="TQK152" s="109"/>
      <c r="TQL152" s="107"/>
      <c r="TQM152" s="107"/>
      <c r="TQT152" s="107"/>
      <c r="TQU152" s="107"/>
      <c r="TQV152" s="108"/>
      <c r="TQX152" s="109"/>
      <c r="TQY152" s="107"/>
      <c r="TQZ152" s="107"/>
      <c r="TRG152" s="107"/>
      <c r="TRH152" s="107"/>
      <c r="TRI152" s="108"/>
      <c r="TRK152" s="109"/>
      <c r="TRL152" s="107"/>
      <c r="TRM152" s="107"/>
      <c r="TRT152" s="107"/>
      <c r="TRU152" s="107"/>
      <c r="TRV152" s="108"/>
      <c r="TRX152" s="109"/>
      <c r="TRY152" s="107"/>
      <c r="TRZ152" s="107"/>
      <c r="TSG152" s="107"/>
      <c r="TSH152" s="107"/>
      <c r="TSI152" s="108"/>
      <c r="TSK152" s="109"/>
      <c r="TSL152" s="107"/>
      <c r="TSM152" s="107"/>
      <c r="TST152" s="107"/>
      <c r="TSU152" s="107"/>
      <c r="TSV152" s="108"/>
      <c r="TSX152" s="109"/>
      <c r="TSY152" s="107"/>
      <c r="TSZ152" s="107"/>
      <c r="TTG152" s="107"/>
      <c r="TTH152" s="107"/>
      <c r="TTI152" s="108"/>
      <c r="TTK152" s="109"/>
      <c r="TTL152" s="107"/>
      <c r="TTM152" s="107"/>
      <c r="TTT152" s="107"/>
      <c r="TTU152" s="107"/>
      <c r="TTV152" s="108"/>
      <c r="TTX152" s="109"/>
      <c r="TTY152" s="107"/>
      <c r="TTZ152" s="107"/>
      <c r="TUG152" s="107"/>
      <c r="TUH152" s="107"/>
      <c r="TUI152" s="108"/>
      <c r="TUK152" s="109"/>
      <c r="TUL152" s="107"/>
      <c r="TUM152" s="107"/>
      <c r="TUT152" s="107"/>
      <c r="TUU152" s="107"/>
      <c r="TUV152" s="108"/>
      <c r="TUX152" s="109"/>
      <c r="TUY152" s="107"/>
      <c r="TUZ152" s="107"/>
      <c r="TVG152" s="107"/>
      <c r="TVH152" s="107"/>
      <c r="TVI152" s="108"/>
      <c r="TVK152" s="109"/>
      <c r="TVL152" s="107"/>
      <c r="TVM152" s="107"/>
      <c r="TVT152" s="107"/>
      <c r="TVU152" s="107"/>
      <c r="TVV152" s="108"/>
      <c r="TVX152" s="109"/>
      <c r="TVY152" s="107"/>
      <c r="TVZ152" s="107"/>
      <c r="TWG152" s="107"/>
      <c r="TWH152" s="107"/>
      <c r="TWI152" s="108"/>
      <c r="TWK152" s="109"/>
      <c r="TWL152" s="107"/>
      <c r="TWM152" s="107"/>
      <c r="TWT152" s="107"/>
      <c r="TWU152" s="107"/>
      <c r="TWV152" s="108"/>
      <c r="TWX152" s="109"/>
      <c r="TWY152" s="107"/>
      <c r="TWZ152" s="107"/>
      <c r="TXG152" s="107"/>
      <c r="TXH152" s="107"/>
      <c r="TXI152" s="108"/>
      <c r="TXK152" s="109"/>
      <c r="TXL152" s="107"/>
      <c r="TXM152" s="107"/>
      <c r="TXT152" s="107"/>
      <c r="TXU152" s="107"/>
      <c r="TXV152" s="108"/>
      <c r="TXX152" s="109"/>
      <c r="TXY152" s="107"/>
      <c r="TXZ152" s="107"/>
      <c r="TYG152" s="107"/>
      <c r="TYH152" s="107"/>
      <c r="TYI152" s="108"/>
      <c r="TYK152" s="109"/>
      <c r="TYL152" s="107"/>
      <c r="TYM152" s="107"/>
      <c r="TYT152" s="107"/>
      <c r="TYU152" s="107"/>
      <c r="TYV152" s="108"/>
      <c r="TYX152" s="109"/>
      <c r="TYY152" s="107"/>
      <c r="TYZ152" s="107"/>
      <c r="TZG152" s="107"/>
      <c r="TZH152" s="107"/>
      <c r="TZI152" s="108"/>
      <c r="TZK152" s="109"/>
      <c r="TZL152" s="107"/>
      <c r="TZM152" s="107"/>
      <c r="TZT152" s="107"/>
      <c r="TZU152" s="107"/>
      <c r="TZV152" s="108"/>
      <c r="TZX152" s="109"/>
      <c r="TZY152" s="107"/>
      <c r="TZZ152" s="107"/>
      <c r="UAG152" s="107"/>
      <c r="UAH152" s="107"/>
      <c r="UAI152" s="108"/>
      <c r="UAK152" s="109"/>
      <c r="UAL152" s="107"/>
      <c r="UAM152" s="107"/>
      <c r="UAT152" s="107"/>
      <c r="UAU152" s="107"/>
      <c r="UAV152" s="108"/>
      <c r="UAX152" s="109"/>
      <c r="UAY152" s="107"/>
      <c r="UAZ152" s="107"/>
      <c r="UBG152" s="107"/>
      <c r="UBH152" s="107"/>
      <c r="UBI152" s="108"/>
      <c r="UBK152" s="109"/>
      <c r="UBL152" s="107"/>
      <c r="UBM152" s="107"/>
      <c r="UBT152" s="107"/>
      <c r="UBU152" s="107"/>
      <c r="UBV152" s="108"/>
      <c r="UBX152" s="109"/>
      <c r="UBY152" s="107"/>
      <c r="UBZ152" s="107"/>
      <c r="UCG152" s="107"/>
      <c r="UCH152" s="107"/>
      <c r="UCI152" s="108"/>
      <c r="UCK152" s="109"/>
      <c r="UCL152" s="107"/>
      <c r="UCM152" s="107"/>
      <c r="UCT152" s="107"/>
      <c r="UCU152" s="107"/>
      <c r="UCV152" s="108"/>
      <c r="UCX152" s="109"/>
      <c r="UCY152" s="107"/>
      <c r="UCZ152" s="107"/>
      <c r="UDG152" s="107"/>
      <c r="UDH152" s="107"/>
      <c r="UDI152" s="108"/>
      <c r="UDK152" s="109"/>
      <c r="UDL152" s="107"/>
      <c r="UDM152" s="107"/>
      <c r="UDT152" s="107"/>
      <c r="UDU152" s="107"/>
      <c r="UDV152" s="108"/>
      <c r="UDX152" s="109"/>
      <c r="UDY152" s="107"/>
      <c r="UDZ152" s="107"/>
      <c r="UEG152" s="107"/>
      <c r="UEH152" s="107"/>
      <c r="UEI152" s="108"/>
      <c r="UEK152" s="109"/>
      <c r="UEL152" s="107"/>
      <c r="UEM152" s="107"/>
      <c r="UET152" s="107"/>
      <c r="UEU152" s="107"/>
      <c r="UEV152" s="108"/>
      <c r="UEX152" s="109"/>
      <c r="UEY152" s="107"/>
      <c r="UEZ152" s="107"/>
      <c r="UFG152" s="107"/>
      <c r="UFH152" s="107"/>
      <c r="UFI152" s="108"/>
      <c r="UFK152" s="109"/>
      <c r="UFL152" s="107"/>
      <c r="UFM152" s="107"/>
      <c r="UFT152" s="107"/>
      <c r="UFU152" s="107"/>
      <c r="UFV152" s="108"/>
      <c r="UFX152" s="109"/>
      <c r="UFY152" s="107"/>
      <c r="UFZ152" s="107"/>
      <c r="UGG152" s="107"/>
      <c r="UGH152" s="107"/>
      <c r="UGI152" s="108"/>
      <c r="UGK152" s="109"/>
      <c r="UGL152" s="107"/>
      <c r="UGM152" s="107"/>
      <c r="UGT152" s="107"/>
      <c r="UGU152" s="107"/>
      <c r="UGV152" s="108"/>
      <c r="UGX152" s="109"/>
      <c r="UGY152" s="107"/>
      <c r="UGZ152" s="107"/>
      <c r="UHG152" s="107"/>
      <c r="UHH152" s="107"/>
      <c r="UHI152" s="108"/>
      <c r="UHK152" s="109"/>
      <c r="UHL152" s="107"/>
      <c r="UHM152" s="107"/>
      <c r="UHT152" s="107"/>
      <c r="UHU152" s="107"/>
      <c r="UHV152" s="108"/>
      <c r="UHX152" s="109"/>
      <c r="UHY152" s="107"/>
      <c r="UHZ152" s="107"/>
      <c r="UIG152" s="107"/>
      <c r="UIH152" s="107"/>
      <c r="UII152" s="108"/>
      <c r="UIK152" s="109"/>
      <c r="UIL152" s="107"/>
      <c r="UIM152" s="107"/>
      <c r="UIT152" s="107"/>
      <c r="UIU152" s="107"/>
      <c r="UIV152" s="108"/>
      <c r="UIX152" s="109"/>
      <c r="UIY152" s="107"/>
      <c r="UIZ152" s="107"/>
      <c r="UJG152" s="107"/>
      <c r="UJH152" s="107"/>
      <c r="UJI152" s="108"/>
      <c r="UJK152" s="109"/>
      <c r="UJL152" s="107"/>
      <c r="UJM152" s="107"/>
      <c r="UJT152" s="107"/>
      <c r="UJU152" s="107"/>
      <c r="UJV152" s="108"/>
      <c r="UJX152" s="109"/>
      <c r="UJY152" s="107"/>
      <c r="UJZ152" s="107"/>
      <c r="UKG152" s="107"/>
      <c r="UKH152" s="107"/>
      <c r="UKI152" s="108"/>
      <c r="UKK152" s="109"/>
      <c r="UKL152" s="107"/>
      <c r="UKM152" s="107"/>
      <c r="UKT152" s="107"/>
      <c r="UKU152" s="107"/>
      <c r="UKV152" s="108"/>
      <c r="UKX152" s="109"/>
      <c r="UKY152" s="107"/>
      <c r="UKZ152" s="107"/>
      <c r="ULG152" s="107"/>
      <c r="ULH152" s="107"/>
      <c r="ULI152" s="108"/>
      <c r="ULK152" s="109"/>
      <c r="ULL152" s="107"/>
      <c r="ULM152" s="107"/>
      <c r="ULT152" s="107"/>
      <c r="ULU152" s="107"/>
      <c r="ULV152" s="108"/>
      <c r="ULX152" s="109"/>
      <c r="ULY152" s="107"/>
      <c r="ULZ152" s="107"/>
      <c r="UMG152" s="107"/>
      <c r="UMH152" s="107"/>
      <c r="UMI152" s="108"/>
      <c r="UMK152" s="109"/>
      <c r="UML152" s="107"/>
      <c r="UMM152" s="107"/>
      <c r="UMT152" s="107"/>
      <c r="UMU152" s="107"/>
      <c r="UMV152" s="108"/>
      <c r="UMX152" s="109"/>
      <c r="UMY152" s="107"/>
      <c r="UMZ152" s="107"/>
      <c r="UNG152" s="107"/>
      <c r="UNH152" s="107"/>
      <c r="UNI152" s="108"/>
      <c r="UNK152" s="109"/>
      <c r="UNL152" s="107"/>
      <c r="UNM152" s="107"/>
      <c r="UNT152" s="107"/>
      <c r="UNU152" s="107"/>
      <c r="UNV152" s="108"/>
      <c r="UNX152" s="109"/>
      <c r="UNY152" s="107"/>
      <c r="UNZ152" s="107"/>
      <c r="UOG152" s="107"/>
      <c r="UOH152" s="107"/>
      <c r="UOI152" s="108"/>
      <c r="UOK152" s="109"/>
      <c r="UOL152" s="107"/>
      <c r="UOM152" s="107"/>
      <c r="UOT152" s="107"/>
      <c r="UOU152" s="107"/>
      <c r="UOV152" s="108"/>
      <c r="UOX152" s="109"/>
      <c r="UOY152" s="107"/>
      <c r="UOZ152" s="107"/>
      <c r="UPG152" s="107"/>
      <c r="UPH152" s="107"/>
      <c r="UPI152" s="108"/>
      <c r="UPK152" s="109"/>
      <c r="UPL152" s="107"/>
      <c r="UPM152" s="107"/>
      <c r="UPT152" s="107"/>
      <c r="UPU152" s="107"/>
      <c r="UPV152" s="108"/>
      <c r="UPX152" s="109"/>
      <c r="UPY152" s="107"/>
      <c r="UPZ152" s="107"/>
      <c r="UQG152" s="107"/>
      <c r="UQH152" s="107"/>
      <c r="UQI152" s="108"/>
      <c r="UQK152" s="109"/>
      <c r="UQL152" s="107"/>
      <c r="UQM152" s="107"/>
      <c r="UQT152" s="107"/>
      <c r="UQU152" s="107"/>
      <c r="UQV152" s="108"/>
      <c r="UQX152" s="109"/>
      <c r="UQY152" s="107"/>
      <c r="UQZ152" s="107"/>
      <c r="URG152" s="107"/>
      <c r="URH152" s="107"/>
      <c r="URI152" s="108"/>
      <c r="URK152" s="109"/>
      <c r="URL152" s="107"/>
      <c r="URM152" s="107"/>
      <c r="URT152" s="107"/>
      <c r="URU152" s="107"/>
      <c r="URV152" s="108"/>
      <c r="URX152" s="109"/>
      <c r="URY152" s="107"/>
      <c r="URZ152" s="107"/>
      <c r="USG152" s="107"/>
      <c r="USH152" s="107"/>
      <c r="USI152" s="108"/>
      <c r="USK152" s="109"/>
      <c r="USL152" s="107"/>
      <c r="USM152" s="107"/>
      <c r="UST152" s="107"/>
      <c r="USU152" s="107"/>
      <c r="USV152" s="108"/>
      <c r="USX152" s="109"/>
      <c r="USY152" s="107"/>
      <c r="USZ152" s="107"/>
      <c r="UTG152" s="107"/>
      <c r="UTH152" s="107"/>
      <c r="UTI152" s="108"/>
      <c r="UTK152" s="109"/>
      <c r="UTL152" s="107"/>
      <c r="UTM152" s="107"/>
      <c r="UTT152" s="107"/>
      <c r="UTU152" s="107"/>
      <c r="UTV152" s="108"/>
      <c r="UTX152" s="109"/>
      <c r="UTY152" s="107"/>
      <c r="UTZ152" s="107"/>
      <c r="UUG152" s="107"/>
      <c r="UUH152" s="107"/>
      <c r="UUI152" s="108"/>
      <c r="UUK152" s="109"/>
      <c r="UUL152" s="107"/>
      <c r="UUM152" s="107"/>
      <c r="UUT152" s="107"/>
      <c r="UUU152" s="107"/>
      <c r="UUV152" s="108"/>
      <c r="UUX152" s="109"/>
      <c r="UUY152" s="107"/>
      <c r="UUZ152" s="107"/>
      <c r="UVG152" s="107"/>
      <c r="UVH152" s="107"/>
      <c r="UVI152" s="108"/>
      <c r="UVK152" s="109"/>
      <c r="UVL152" s="107"/>
      <c r="UVM152" s="107"/>
      <c r="UVT152" s="107"/>
      <c r="UVU152" s="107"/>
      <c r="UVV152" s="108"/>
      <c r="UVX152" s="109"/>
      <c r="UVY152" s="107"/>
      <c r="UVZ152" s="107"/>
      <c r="UWG152" s="107"/>
      <c r="UWH152" s="107"/>
      <c r="UWI152" s="108"/>
      <c r="UWK152" s="109"/>
      <c r="UWL152" s="107"/>
      <c r="UWM152" s="107"/>
      <c r="UWT152" s="107"/>
      <c r="UWU152" s="107"/>
      <c r="UWV152" s="108"/>
      <c r="UWX152" s="109"/>
      <c r="UWY152" s="107"/>
      <c r="UWZ152" s="107"/>
      <c r="UXG152" s="107"/>
      <c r="UXH152" s="107"/>
      <c r="UXI152" s="108"/>
      <c r="UXK152" s="109"/>
      <c r="UXL152" s="107"/>
      <c r="UXM152" s="107"/>
      <c r="UXT152" s="107"/>
      <c r="UXU152" s="107"/>
      <c r="UXV152" s="108"/>
      <c r="UXX152" s="109"/>
      <c r="UXY152" s="107"/>
      <c r="UXZ152" s="107"/>
      <c r="UYG152" s="107"/>
      <c r="UYH152" s="107"/>
      <c r="UYI152" s="108"/>
      <c r="UYK152" s="109"/>
      <c r="UYL152" s="107"/>
      <c r="UYM152" s="107"/>
      <c r="UYT152" s="107"/>
      <c r="UYU152" s="107"/>
      <c r="UYV152" s="108"/>
      <c r="UYX152" s="109"/>
      <c r="UYY152" s="107"/>
      <c r="UYZ152" s="107"/>
      <c r="UZG152" s="107"/>
      <c r="UZH152" s="107"/>
      <c r="UZI152" s="108"/>
      <c r="UZK152" s="109"/>
      <c r="UZL152" s="107"/>
      <c r="UZM152" s="107"/>
      <c r="UZT152" s="107"/>
      <c r="UZU152" s="107"/>
      <c r="UZV152" s="108"/>
      <c r="UZX152" s="109"/>
      <c r="UZY152" s="107"/>
      <c r="UZZ152" s="107"/>
      <c r="VAG152" s="107"/>
      <c r="VAH152" s="107"/>
      <c r="VAI152" s="108"/>
      <c r="VAK152" s="109"/>
      <c r="VAL152" s="107"/>
      <c r="VAM152" s="107"/>
      <c r="VAT152" s="107"/>
      <c r="VAU152" s="107"/>
      <c r="VAV152" s="108"/>
      <c r="VAX152" s="109"/>
      <c r="VAY152" s="107"/>
      <c r="VAZ152" s="107"/>
      <c r="VBG152" s="107"/>
      <c r="VBH152" s="107"/>
      <c r="VBI152" s="108"/>
      <c r="VBK152" s="109"/>
      <c r="VBL152" s="107"/>
      <c r="VBM152" s="107"/>
      <c r="VBT152" s="107"/>
      <c r="VBU152" s="107"/>
      <c r="VBV152" s="108"/>
      <c r="VBX152" s="109"/>
      <c r="VBY152" s="107"/>
      <c r="VBZ152" s="107"/>
      <c r="VCG152" s="107"/>
      <c r="VCH152" s="107"/>
      <c r="VCI152" s="108"/>
      <c r="VCK152" s="109"/>
      <c r="VCL152" s="107"/>
      <c r="VCM152" s="107"/>
      <c r="VCT152" s="107"/>
      <c r="VCU152" s="107"/>
      <c r="VCV152" s="108"/>
      <c r="VCX152" s="109"/>
      <c r="VCY152" s="107"/>
      <c r="VCZ152" s="107"/>
      <c r="VDG152" s="107"/>
      <c r="VDH152" s="107"/>
      <c r="VDI152" s="108"/>
      <c r="VDK152" s="109"/>
      <c r="VDL152" s="107"/>
      <c r="VDM152" s="107"/>
      <c r="VDT152" s="107"/>
      <c r="VDU152" s="107"/>
      <c r="VDV152" s="108"/>
      <c r="VDX152" s="109"/>
      <c r="VDY152" s="107"/>
      <c r="VDZ152" s="107"/>
      <c r="VEG152" s="107"/>
      <c r="VEH152" s="107"/>
      <c r="VEI152" s="108"/>
      <c r="VEK152" s="109"/>
      <c r="VEL152" s="107"/>
      <c r="VEM152" s="107"/>
      <c r="VET152" s="107"/>
      <c r="VEU152" s="107"/>
      <c r="VEV152" s="108"/>
      <c r="VEX152" s="109"/>
      <c r="VEY152" s="107"/>
      <c r="VEZ152" s="107"/>
      <c r="VFG152" s="107"/>
      <c r="VFH152" s="107"/>
      <c r="VFI152" s="108"/>
      <c r="VFK152" s="109"/>
      <c r="VFL152" s="107"/>
      <c r="VFM152" s="107"/>
      <c r="VFT152" s="107"/>
      <c r="VFU152" s="107"/>
      <c r="VFV152" s="108"/>
      <c r="VFX152" s="109"/>
      <c r="VFY152" s="107"/>
      <c r="VFZ152" s="107"/>
      <c r="VGG152" s="107"/>
      <c r="VGH152" s="107"/>
      <c r="VGI152" s="108"/>
      <c r="VGK152" s="109"/>
      <c r="VGL152" s="107"/>
      <c r="VGM152" s="107"/>
      <c r="VGT152" s="107"/>
      <c r="VGU152" s="107"/>
      <c r="VGV152" s="108"/>
      <c r="VGX152" s="109"/>
      <c r="VGY152" s="107"/>
      <c r="VGZ152" s="107"/>
      <c r="VHG152" s="107"/>
      <c r="VHH152" s="107"/>
      <c r="VHI152" s="108"/>
      <c r="VHK152" s="109"/>
      <c r="VHL152" s="107"/>
      <c r="VHM152" s="107"/>
      <c r="VHT152" s="107"/>
      <c r="VHU152" s="107"/>
      <c r="VHV152" s="108"/>
      <c r="VHX152" s="109"/>
      <c r="VHY152" s="107"/>
      <c r="VHZ152" s="107"/>
      <c r="VIG152" s="107"/>
      <c r="VIH152" s="107"/>
      <c r="VII152" s="108"/>
      <c r="VIK152" s="109"/>
      <c r="VIL152" s="107"/>
      <c r="VIM152" s="107"/>
      <c r="VIT152" s="107"/>
      <c r="VIU152" s="107"/>
      <c r="VIV152" s="108"/>
      <c r="VIX152" s="109"/>
      <c r="VIY152" s="107"/>
      <c r="VIZ152" s="107"/>
      <c r="VJG152" s="107"/>
      <c r="VJH152" s="107"/>
      <c r="VJI152" s="108"/>
      <c r="VJK152" s="109"/>
      <c r="VJL152" s="107"/>
      <c r="VJM152" s="107"/>
      <c r="VJT152" s="107"/>
      <c r="VJU152" s="107"/>
      <c r="VJV152" s="108"/>
      <c r="VJX152" s="109"/>
      <c r="VJY152" s="107"/>
      <c r="VJZ152" s="107"/>
      <c r="VKG152" s="107"/>
      <c r="VKH152" s="107"/>
      <c r="VKI152" s="108"/>
      <c r="VKK152" s="109"/>
      <c r="VKL152" s="107"/>
      <c r="VKM152" s="107"/>
      <c r="VKT152" s="107"/>
      <c r="VKU152" s="107"/>
      <c r="VKV152" s="108"/>
      <c r="VKX152" s="109"/>
      <c r="VKY152" s="107"/>
      <c r="VKZ152" s="107"/>
      <c r="VLG152" s="107"/>
      <c r="VLH152" s="107"/>
      <c r="VLI152" s="108"/>
      <c r="VLK152" s="109"/>
      <c r="VLL152" s="107"/>
      <c r="VLM152" s="107"/>
      <c r="VLT152" s="107"/>
      <c r="VLU152" s="107"/>
      <c r="VLV152" s="108"/>
      <c r="VLX152" s="109"/>
      <c r="VLY152" s="107"/>
      <c r="VLZ152" s="107"/>
      <c r="VMG152" s="107"/>
      <c r="VMH152" s="107"/>
      <c r="VMI152" s="108"/>
      <c r="VMK152" s="109"/>
      <c r="VML152" s="107"/>
      <c r="VMM152" s="107"/>
      <c r="VMT152" s="107"/>
      <c r="VMU152" s="107"/>
      <c r="VMV152" s="108"/>
      <c r="VMX152" s="109"/>
      <c r="VMY152" s="107"/>
      <c r="VMZ152" s="107"/>
      <c r="VNG152" s="107"/>
      <c r="VNH152" s="107"/>
      <c r="VNI152" s="108"/>
      <c r="VNK152" s="109"/>
      <c r="VNL152" s="107"/>
      <c r="VNM152" s="107"/>
      <c r="VNT152" s="107"/>
      <c r="VNU152" s="107"/>
      <c r="VNV152" s="108"/>
      <c r="VNX152" s="109"/>
      <c r="VNY152" s="107"/>
      <c r="VNZ152" s="107"/>
      <c r="VOG152" s="107"/>
      <c r="VOH152" s="107"/>
      <c r="VOI152" s="108"/>
      <c r="VOK152" s="109"/>
      <c r="VOL152" s="107"/>
      <c r="VOM152" s="107"/>
      <c r="VOT152" s="107"/>
      <c r="VOU152" s="107"/>
      <c r="VOV152" s="108"/>
      <c r="VOX152" s="109"/>
      <c r="VOY152" s="107"/>
      <c r="VOZ152" s="107"/>
      <c r="VPG152" s="107"/>
      <c r="VPH152" s="107"/>
      <c r="VPI152" s="108"/>
      <c r="VPK152" s="109"/>
      <c r="VPL152" s="107"/>
      <c r="VPM152" s="107"/>
      <c r="VPT152" s="107"/>
      <c r="VPU152" s="107"/>
      <c r="VPV152" s="108"/>
      <c r="VPX152" s="109"/>
      <c r="VPY152" s="107"/>
      <c r="VPZ152" s="107"/>
      <c r="VQG152" s="107"/>
      <c r="VQH152" s="107"/>
      <c r="VQI152" s="108"/>
      <c r="VQK152" s="109"/>
      <c r="VQL152" s="107"/>
      <c r="VQM152" s="107"/>
      <c r="VQT152" s="107"/>
      <c r="VQU152" s="107"/>
      <c r="VQV152" s="108"/>
      <c r="VQX152" s="109"/>
      <c r="VQY152" s="107"/>
      <c r="VQZ152" s="107"/>
      <c r="VRG152" s="107"/>
      <c r="VRH152" s="107"/>
      <c r="VRI152" s="108"/>
      <c r="VRK152" s="109"/>
      <c r="VRL152" s="107"/>
      <c r="VRM152" s="107"/>
      <c r="VRT152" s="107"/>
      <c r="VRU152" s="107"/>
      <c r="VRV152" s="108"/>
      <c r="VRX152" s="109"/>
      <c r="VRY152" s="107"/>
      <c r="VRZ152" s="107"/>
      <c r="VSG152" s="107"/>
      <c r="VSH152" s="107"/>
      <c r="VSI152" s="108"/>
      <c r="VSK152" s="109"/>
      <c r="VSL152" s="107"/>
      <c r="VSM152" s="107"/>
      <c r="VST152" s="107"/>
      <c r="VSU152" s="107"/>
      <c r="VSV152" s="108"/>
      <c r="VSX152" s="109"/>
      <c r="VSY152" s="107"/>
      <c r="VSZ152" s="107"/>
      <c r="VTG152" s="107"/>
      <c r="VTH152" s="107"/>
      <c r="VTI152" s="108"/>
      <c r="VTK152" s="109"/>
      <c r="VTL152" s="107"/>
      <c r="VTM152" s="107"/>
      <c r="VTT152" s="107"/>
      <c r="VTU152" s="107"/>
      <c r="VTV152" s="108"/>
      <c r="VTX152" s="109"/>
      <c r="VTY152" s="107"/>
      <c r="VTZ152" s="107"/>
      <c r="VUG152" s="107"/>
      <c r="VUH152" s="107"/>
      <c r="VUI152" s="108"/>
      <c r="VUK152" s="109"/>
      <c r="VUL152" s="107"/>
      <c r="VUM152" s="107"/>
      <c r="VUT152" s="107"/>
      <c r="VUU152" s="107"/>
      <c r="VUV152" s="108"/>
      <c r="VUX152" s="109"/>
      <c r="VUY152" s="107"/>
      <c r="VUZ152" s="107"/>
      <c r="VVG152" s="107"/>
      <c r="VVH152" s="107"/>
      <c r="VVI152" s="108"/>
      <c r="VVK152" s="109"/>
      <c r="VVL152" s="107"/>
      <c r="VVM152" s="107"/>
      <c r="VVT152" s="107"/>
      <c r="VVU152" s="107"/>
      <c r="VVV152" s="108"/>
      <c r="VVX152" s="109"/>
      <c r="VVY152" s="107"/>
      <c r="VVZ152" s="107"/>
      <c r="VWG152" s="107"/>
      <c r="VWH152" s="107"/>
      <c r="VWI152" s="108"/>
      <c r="VWK152" s="109"/>
      <c r="VWL152" s="107"/>
      <c r="VWM152" s="107"/>
      <c r="VWT152" s="107"/>
      <c r="VWU152" s="107"/>
      <c r="VWV152" s="108"/>
      <c r="VWX152" s="109"/>
      <c r="VWY152" s="107"/>
      <c r="VWZ152" s="107"/>
      <c r="VXG152" s="107"/>
      <c r="VXH152" s="107"/>
      <c r="VXI152" s="108"/>
      <c r="VXK152" s="109"/>
      <c r="VXL152" s="107"/>
      <c r="VXM152" s="107"/>
      <c r="VXT152" s="107"/>
      <c r="VXU152" s="107"/>
      <c r="VXV152" s="108"/>
      <c r="VXX152" s="109"/>
      <c r="VXY152" s="107"/>
      <c r="VXZ152" s="107"/>
      <c r="VYG152" s="107"/>
      <c r="VYH152" s="107"/>
      <c r="VYI152" s="108"/>
      <c r="VYK152" s="109"/>
      <c r="VYL152" s="107"/>
      <c r="VYM152" s="107"/>
      <c r="VYT152" s="107"/>
      <c r="VYU152" s="107"/>
      <c r="VYV152" s="108"/>
      <c r="VYX152" s="109"/>
      <c r="VYY152" s="107"/>
      <c r="VYZ152" s="107"/>
      <c r="VZG152" s="107"/>
      <c r="VZH152" s="107"/>
      <c r="VZI152" s="108"/>
      <c r="VZK152" s="109"/>
      <c r="VZL152" s="107"/>
      <c r="VZM152" s="107"/>
      <c r="VZT152" s="107"/>
      <c r="VZU152" s="107"/>
      <c r="VZV152" s="108"/>
      <c r="VZX152" s="109"/>
      <c r="VZY152" s="107"/>
      <c r="VZZ152" s="107"/>
      <c r="WAG152" s="107"/>
      <c r="WAH152" s="107"/>
      <c r="WAI152" s="108"/>
      <c r="WAK152" s="109"/>
      <c r="WAL152" s="107"/>
      <c r="WAM152" s="107"/>
      <c r="WAT152" s="107"/>
      <c r="WAU152" s="107"/>
      <c r="WAV152" s="108"/>
      <c r="WAX152" s="109"/>
      <c r="WAY152" s="107"/>
      <c r="WAZ152" s="107"/>
      <c r="WBG152" s="107"/>
      <c r="WBH152" s="107"/>
      <c r="WBI152" s="108"/>
      <c r="WBK152" s="109"/>
      <c r="WBL152" s="107"/>
      <c r="WBM152" s="107"/>
      <c r="WBT152" s="107"/>
      <c r="WBU152" s="107"/>
      <c r="WBV152" s="108"/>
      <c r="WBX152" s="109"/>
      <c r="WBY152" s="107"/>
      <c r="WBZ152" s="107"/>
      <c r="WCG152" s="107"/>
      <c r="WCH152" s="107"/>
      <c r="WCI152" s="108"/>
      <c r="WCK152" s="109"/>
      <c r="WCL152" s="107"/>
      <c r="WCM152" s="107"/>
      <c r="WCT152" s="107"/>
      <c r="WCU152" s="107"/>
      <c r="WCV152" s="108"/>
      <c r="WCX152" s="109"/>
      <c r="WCY152" s="107"/>
      <c r="WCZ152" s="107"/>
      <c r="WDG152" s="107"/>
      <c r="WDH152" s="107"/>
      <c r="WDI152" s="108"/>
      <c r="WDK152" s="109"/>
      <c r="WDL152" s="107"/>
      <c r="WDM152" s="107"/>
      <c r="WDT152" s="107"/>
      <c r="WDU152" s="107"/>
      <c r="WDV152" s="108"/>
      <c r="WDX152" s="109"/>
      <c r="WDY152" s="107"/>
      <c r="WDZ152" s="107"/>
      <c r="WEG152" s="107"/>
      <c r="WEH152" s="107"/>
      <c r="WEI152" s="108"/>
      <c r="WEK152" s="109"/>
      <c r="WEL152" s="107"/>
      <c r="WEM152" s="107"/>
      <c r="WET152" s="107"/>
      <c r="WEU152" s="107"/>
      <c r="WEV152" s="108"/>
      <c r="WEX152" s="109"/>
      <c r="WEY152" s="107"/>
      <c r="WEZ152" s="107"/>
      <c r="WFG152" s="107"/>
      <c r="WFH152" s="107"/>
      <c r="WFI152" s="108"/>
      <c r="WFK152" s="109"/>
      <c r="WFL152" s="107"/>
      <c r="WFM152" s="107"/>
      <c r="WFT152" s="107"/>
      <c r="WFU152" s="107"/>
      <c r="WFV152" s="108"/>
      <c r="WFX152" s="109"/>
      <c r="WFY152" s="107"/>
      <c r="WFZ152" s="107"/>
      <c r="WGG152" s="107"/>
      <c r="WGH152" s="107"/>
      <c r="WGI152" s="108"/>
      <c r="WGK152" s="109"/>
      <c r="WGL152" s="107"/>
      <c r="WGM152" s="107"/>
      <c r="WGT152" s="107"/>
      <c r="WGU152" s="107"/>
      <c r="WGV152" s="108"/>
      <c r="WGX152" s="109"/>
      <c r="WGY152" s="107"/>
      <c r="WGZ152" s="107"/>
      <c r="WHG152" s="107"/>
      <c r="WHH152" s="107"/>
      <c r="WHI152" s="108"/>
      <c r="WHK152" s="109"/>
      <c r="WHL152" s="107"/>
      <c r="WHM152" s="107"/>
      <c r="WHT152" s="107"/>
      <c r="WHU152" s="107"/>
      <c r="WHV152" s="108"/>
      <c r="WHX152" s="109"/>
      <c r="WHY152" s="107"/>
      <c r="WHZ152" s="107"/>
      <c r="WIG152" s="107"/>
      <c r="WIH152" s="107"/>
      <c r="WII152" s="108"/>
      <c r="WIK152" s="109"/>
      <c r="WIL152" s="107"/>
      <c r="WIM152" s="107"/>
      <c r="WIT152" s="107"/>
      <c r="WIU152" s="107"/>
      <c r="WIV152" s="108"/>
      <c r="WIX152" s="109"/>
      <c r="WIY152" s="107"/>
      <c r="WIZ152" s="107"/>
      <c r="WJG152" s="107"/>
      <c r="WJH152" s="107"/>
      <c r="WJI152" s="108"/>
      <c r="WJK152" s="109"/>
      <c r="WJL152" s="107"/>
      <c r="WJM152" s="107"/>
      <c r="WJT152" s="107"/>
      <c r="WJU152" s="107"/>
      <c r="WJV152" s="108"/>
      <c r="WJX152" s="109"/>
      <c r="WJY152" s="107"/>
      <c r="WJZ152" s="107"/>
      <c r="WKG152" s="107"/>
      <c r="WKH152" s="107"/>
      <c r="WKI152" s="108"/>
      <c r="WKK152" s="109"/>
      <c r="WKL152" s="107"/>
      <c r="WKM152" s="107"/>
      <c r="WKT152" s="107"/>
      <c r="WKU152" s="107"/>
      <c r="WKV152" s="108"/>
      <c r="WKX152" s="109"/>
      <c r="WKY152" s="107"/>
      <c r="WKZ152" s="107"/>
      <c r="WLG152" s="107"/>
      <c r="WLH152" s="107"/>
      <c r="WLI152" s="108"/>
      <c r="WLK152" s="109"/>
      <c r="WLL152" s="107"/>
      <c r="WLM152" s="107"/>
      <c r="WLT152" s="107"/>
      <c r="WLU152" s="107"/>
      <c r="WLV152" s="108"/>
      <c r="WLX152" s="109"/>
      <c r="WLY152" s="107"/>
      <c r="WLZ152" s="107"/>
      <c r="WMG152" s="107"/>
      <c r="WMH152" s="107"/>
      <c r="WMI152" s="108"/>
      <c r="WMK152" s="109"/>
      <c r="WML152" s="107"/>
      <c r="WMM152" s="107"/>
      <c r="WMT152" s="107"/>
      <c r="WMU152" s="107"/>
      <c r="WMV152" s="108"/>
      <c r="WMX152" s="109"/>
      <c r="WMY152" s="107"/>
      <c r="WMZ152" s="107"/>
      <c r="WNG152" s="107"/>
      <c r="WNH152" s="107"/>
      <c r="WNI152" s="108"/>
      <c r="WNK152" s="109"/>
      <c r="WNL152" s="107"/>
      <c r="WNM152" s="107"/>
      <c r="WNT152" s="107"/>
      <c r="WNU152" s="107"/>
      <c r="WNV152" s="108"/>
      <c r="WNX152" s="109"/>
      <c r="WNY152" s="107"/>
      <c r="WNZ152" s="107"/>
      <c r="WOG152" s="107"/>
      <c r="WOH152" s="107"/>
      <c r="WOI152" s="108"/>
      <c r="WOK152" s="109"/>
      <c r="WOL152" s="107"/>
      <c r="WOM152" s="107"/>
      <c r="WOT152" s="107"/>
      <c r="WOU152" s="107"/>
      <c r="WOV152" s="108"/>
      <c r="WOX152" s="109"/>
      <c r="WOY152" s="107"/>
      <c r="WOZ152" s="107"/>
      <c r="WPG152" s="107"/>
      <c r="WPH152" s="107"/>
      <c r="WPI152" s="108"/>
      <c r="WPK152" s="109"/>
      <c r="WPL152" s="107"/>
      <c r="WPM152" s="107"/>
      <c r="WPT152" s="107"/>
      <c r="WPU152" s="107"/>
      <c r="WPV152" s="108"/>
      <c r="WPX152" s="109"/>
      <c r="WPY152" s="107"/>
      <c r="WPZ152" s="107"/>
      <c r="WQG152" s="107"/>
      <c r="WQH152" s="107"/>
      <c r="WQI152" s="108"/>
      <c r="WQK152" s="109"/>
      <c r="WQL152" s="107"/>
      <c r="WQM152" s="107"/>
      <c r="WQT152" s="107"/>
      <c r="WQU152" s="107"/>
      <c r="WQV152" s="108"/>
      <c r="WQX152" s="109"/>
      <c r="WQY152" s="107"/>
      <c r="WQZ152" s="107"/>
      <c r="WRG152" s="107"/>
      <c r="WRH152" s="107"/>
      <c r="WRI152" s="108"/>
      <c r="WRK152" s="109"/>
      <c r="WRL152" s="107"/>
      <c r="WRM152" s="107"/>
      <c r="WRT152" s="107"/>
      <c r="WRU152" s="107"/>
      <c r="WRV152" s="108"/>
      <c r="WRX152" s="109"/>
      <c r="WRY152" s="107"/>
      <c r="WRZ152" s="107"/>
      <c r="WSG152" s="107"/>
      <c r="WSH152" s="107"/>
      <c r="WSI152" s="108"/>
      <c r="WSK152" s="109"/>
      <c r="WSL152" s="107"/>
      <c r="WSM152" s="107"/>
      <c r="WST152" s="107"/>
      <c r="WSU152" s="107"/>
      <c r="WSV152" s="108"/>
      <c r="WSX152" s="109"/>
      <c r="WSY152" s="107"/>
      <c r="WSZ152" s="107"/>
      <c r="WTG152" s="107"/>
      <c r="WTH152" s="107"/>
      <c r="WTI152" s="108"/>
      <c r="WTK152" s="109"/>
      <c r="WTL152" s="107"/>
      <c r="WTM152" s="107"/>
      <c r="WTT152" s="107"/>
      <c r="WTU152" s="107"/>
      <c r="WTV152" s="108"/>
      <c r="WTX152" s="109"/>
      <c r="WTY152" s="107"/>
      <c r="WTZ152" s="107"/>
      <c r="WUG152" s="107"/>
      <c r="WUH152" s="107"/>
      <c r="WUI152" s="108"/>
      <c r="WUK152" s="109"/>
      <c r="WUL152" s="107"/>
      <c r="WUM152" s="107"/>
      <c r="WUT152" s="107"/>
      <c r="WUU152" s="107"/>
      <c r="WUV152" s="108"/>
      <c r="WUX152" s="109"/>
      <c r="WUY152" s="107"/>
      <c r="WUZ152" s="107"/>
      <c r="WVG152" s="107"/>
      <c r="WVH152" s="107"/>
      <c r="WVI152" s="108"/>
      <c r="WVK152" s="109"/>
      <c r="WVL152" s="107"/>
      <c r="WVM152" s="107"/>
      <c r="WVT152" s="107"/>
      <c r="WVU152" s="107"/>
      <c r="WVV152" s="108"/>
      <c r="WVX152" s="109"/>
      <c r="WVY152" s="107"/>
      <c r="WVZ152" s="107"/>
      <c r="WWG152" s="107"/>
      <c r="WWH152" s="107"/>
      <c r="WWI152" s="108"/>
      <c r="WWK152" s="109"/>
      <c r="WWL152" s="107"/>
      <c r="WWM152" s="107"/>
      <c r="WWT152" s="107"/>
      <c r="WWU152" s="107"/>
      <c r="WWV152" s="108"/>
      <c r="WWX152" s="109"/>
      <c r="WWY152" s="107"/>
      <c r="WWZ152" s="107"/>
      <c r="WXG152" s="107"/>
      <c r="WXH152" s="107"/>
      <c r="WXI152" s="108"/>
      <c r="WXK152" s="109"/>
      <c r="WXL152" s="107"/>
      <c r="WXM152" s="107"/>
      <c r="WXT152" s="107"/>
      <c r="WXU152" s="107"/>
      <c r="WXV152" s="108"/>
      <c r="WXX152" s="109"/>
      <c r="WXY152" s="107"/>
      <c r="WXZ152" s="107"/>
      <c r="WYG152" s="107"/>
      <c r="WYH152" s="107"/>
      <c r="WYI152" s="108"/>
      <c r="WYK152" s="109"/>
      <c r="WYL152" s="107"/>
      <c r="WYM152" s="107"/>
      <c r="WYT152" s="107"/>
      <c r="WYU152" s="107"/>
      <c r="WYV152" s="108"/>
      <c r="WYX152" s="109"/>
      <c r="WYY152" s="107"/>
      <c r="WYZ152" s="107"/>
      <c r="WZG152" s="107"/>
      <c r="WZH152" s="107"/>
      <c r="WZI152" s="108"/>
      <c r="WZK152" s="109"/>
      <c r="WZL152" s="107"/>
      <c r="WZM152" s="107"/>
      <c r="WZT152" s="107"/>
      <c r="WZU152" s="107"/>
      <c r="WZV152" s="108"/>
      <c r="WZX152" s="109"/>
      <c r="WZY152" s="107"/>
      <c r="WZZ152" s="107"/>
      <c r="XAG152" s="107"/>
      <c r="XAH152" s="107"/>
      <c r="XAI152" s="108"/>
      <c r="XAK152" s="109"/>
      <c r="XAL152" s="107"/>
      <c r="XAM152" s="107"/>
      <c r="XAT152" s="107"/>
      <c r="XAU152" s="107"/>
      <c r="XAV152" s="108"/>
      <c r="XAX152" s="109"/>
      <c r="XAY152" s="107"/>
      <c r="XAZ152" s="107"/>
      <c r="XBG152" s="107"/>
      <c r="XBH152" s="107"/>
      <c r="XBI152" s="108"/>
      <c r="XBK152" s="109"/>
      <c r="XBL152" s="107"/>
      <c r="XBM152" s="107"/>
      <c r="XBT152" s="107"/>
      <c r="XBU152" s="107"/>
      <c r="XBV152" s="108"/>
      <c r="XBX152" s="109"/>
      <c r="XBY152" s="107"/>
      <c r="XBZ152" s="107"/>
      <c r="XCG152" s="107"/>
      <c r="XCH152" s="107"/>
      <c r="XCI152" s="108"/>
      <c r="XCK152" s="109"/>
      <c r="XCL152" s="107"/>
      <c r="XCM152" s="107"/>
      <c r="XCT152" s="107"/>
      <c r="XCU152" s="107"/>
      <c r="XCV152" s="108"/>
      <c r="XCX152" s="109"/>
      <c r="XCY152" s="107"/>
      <c r="XCZ152" s="107"/>
      <c r="XDG152" s="107"/>
      <c r="XDH152" s="107"/>
      <c r="XDI152" s="108"/>
      <c r="XDK152" s="109"/>
      <c r="XDL152" s="107"/>
      <c r="XDM152" s="107"/>
      <c r="XDT152" s="107"/>
      <c r="XDU152" s="107"/>
      <c r="XDV152" s="108"/>
      <c r="XDX152" s="109"/>
      <c r="XDY152" s="107"/>
      <c r="XDZ152" s="107"/>
      <c r="XEG152" s="107"/>
      <c r="XEH152" s="107"/>
      <c r="XEI152" s="108"/>
      <c r="XEK152" s="109"/>
      <c r="XEL152" s="107"/>
      <c r="XEM152" s="107"/>
      <c r="XET152" s="107"/>
      <c r="XEU152" s="107"/>
      <c r="XEV152" s="108"/>
      <c r="XEX152" s="109"/>
      <c r="XEY152" s="107"/>
      <c r="XEZ152" s="107"/>
    </row>
    <row r="153" spans="1:1023 1025:3068 3075:4095 4102:7163 7170:8190 8197:10240 10242:11258 11265:12285 12292:13312 13319:14335 14337:16380" ht="29">
      <c r="A153" s="258" t="s">
        <v>219</v>
      </c>
      <c r="B153" s="259" t="s">
        <v>2979</v>
      </c>
      <c r="C153" s="259" t="s">
        <v>220</v>
      </c>
      <c r="D153" s="260" t="s">
        <v>10239</v>
      </c>
      <c r="E153" s="261" t="s">
        <v>306</v>
      </c>
      <c r="F153" s="261" t="s">
        <v>16</v>
      </c>
      <c r="G153" s="262" t="s">
        <v>2155</v>
      </c>
      <c r="H153" s="263" t="s">
        <v>26</v>
      </c>
      <c r="I153" s="262" t="s">
        <v>251</v>
      </c>
      <c r="J153" s="263" t="s">
        <v>252</v>
      </c>
      <c r="K153" s="264">
        <v>3600000</v>
      </c>
      <c r="L153" s="265" t="s">
        <v>2057</v>
      </c>
      <c r="M153" s="266" t="s">
        <v>14</v>
      </c>
    </row>
    <row r="154" spans="1:1023 1025:3068 3075:4095 4102:7163 7170:8190 8197:10240 10242:11258 11265:12285 12292:13312 13319:14335 14337:16380" ht="29">
      <c r="A154" s="258" t="s">
        <v>219</v>
      </c>
      <c r="B154" s="259" t="s">
        <v>2980</v>
      </c>
      <c r="C154" s="259" t="s">
        <v>220</v>
      </c>
      <c r="D154" s="260" t="s">
        <v>10240</v>
      </c>
      <c r="E154" s="261" t="s">
        <v>306</v>
      </c>
      <c r="F154" s="261" t="s">
        <v>16</v>
      </c>
      <c r="G154" s="262" t="s">
        <v>2155</v>
      </c>
      <c r="H154" s="263" t="s">
        <v>26</v>
      </c>
      <c r="I154" s="262" t="s">
        <v>251</v>
      </c>
      <c r="J154" s="263" t="s">
        <v>252</v>
      </c>
      <c r="K154" s="264">
        <v>3600000</v>
      </c>
      <c r="L154" s="265" t="s">
        <v>2057</v>
      </c>
      <c r="M154" s="266" t="s">
        <v>14</v>
      </c>
    </row>
    <row r="155" spans="1:1023 1025:3068 3075:4095 4102:7163 7170:8190 8197:10240 10242:11258 11265:12285 12292:13312 13319:14335 14337:16380" ht="29">
      <c r="A155" s="258" t="s">
        <v>219</v>
      </c>
      <c r="B155" s="259" t="s">
        <v>2981</v>
      </c>
      <c r="C155" s="259" t="s">
        <v>220</v>
      </c>
      <c r="D155" s="260" t="s">
        <v>10241</v>
      </c>
      <c r="E155" s="261" t="s">
        <v>306</v>
      </c>
      <c r="F155" s="261" t="s">
        <v>16</v>
      </c>
      <c r="G155" s="262" t="s">
        <v>2155</v>
      </c>
      <c r="H155" s="263" t="s">
        <v>26</v>
      </c>
      <c r="I155" s="262" t="s">
        <v>251</v>
      </c>
      <c r="J155" s="263" t="s">
        <v>252</v>
      </c>
      <c r="K155" s="264">
        <v>3600000</v>
      </c>
      <c r="L155" s="265" t="s">
        <v>2057</v>
      </c>
      <c r="M155" s="266" t="s">
        <v>14</v>
      </c>
    </row>
    <row r="156" spans="1:1023 1025:3068 3075:4095 4102:7163 7170:8190 8197:10240 10242:11258 11265:12285 12292:13312 13319:14335 14337:16380" ht="29">
      <c r="A156" s="258" t="s">
        <v>219</v>
      </c>
      <c r="B156" s="259" t="s">
        <v>2982</v>
      </c>
      <c r="C156" s="259" t="s">
        <v>220</v>
      </c>
      <c r="D156" s="260" t="s">
        <v>10242</v>
      </c>
      <c r="E156" s="261" t="s">
        <v>306</v>
      </c>
      <c r="F156" s="261" t="s">
        <v>16</v>
      </c>
      <c r="G156" s="262" t="s">
        <v>2155</v>
      </c>
      <c r="H156" s="263" t="s">
        <v>26</v>
      </c>
      <c r="I156" s="262" t="s">
        <v>251</v>
      </c>
      <c r="J156" s="263" t="s">
        <v>252</v>
      </c>
      <c r="K156" s="264">
        <v>1440000</v>
      </c>
      <c r="L156" s="265" t="s">
        <v>2057</v>
      </c>
      <c r="M156" s="266" t="s">
        <v>14</v>
      </c>
    </row>
    <row r="157" spans="1:1023 1025:3068 3075:4095 4102:7163 7170:8190 8197:10240 10242:11258 11265:12285 12292:13312 13319:14335 14337:16380" ht="29">
      <c r="A157" s="258" t="s">
        <v>219</v>
      </c>
      <c r="B157" s="259" t="s">
        <v>2983</v>
      </c>
      <c r="C157" s="259" t="s">
        <v>220</v>
      </c>
      <c r="D157" s="260" t="s">
        <v>10243</v>
      </c>
      <c r="E157" s="261" t="s">
        <v>306</v>
      </c>
      <c r="F157" s="261" t="s">
        <v>16</v>
      </c>
      <c r="G157" s="262" t="s">
        <v>2155</v>
      </c>
      <c r="H157" s="263" t="s">
        <v>26</v>
      </c>
      <c r="I157" s="262" t="s">
        <v>251</v>
      </c>
      <c r="J157" s="263" t="s">
        <v>252</v>
      </c>
      <c r="K157" s="264">
        <v>2520000</v>
      </c>
      <c r="L157" s="265" t="s">
        <v>2057</v>
      </c>
      <c r="M157" s="266" t="s">
        <v>14</v>
      </c>
    </row>
    <row r="158" spans="1:1023 1025:3068 3075:4095 4102:7163 7170:8190 8197:10240 10242:11258 11265:12285 12292:13312 13319:14335 14337:16380" ht="29">
      <c r="A158" s="258" t="s">
        <v>219</v>
      </c>
      <c r="B158" s="259" t="s">
        <v>2984</v>
      </c>
      <c r="C158" s="259" t="s">
        <v>220</v>
      </c>
      <c r="D158" s="260" t="s">
        <v>10244</v>
      </c>
      <c r="E158" s="261" t="s">
        <v>306</v>
      </c>
      <c r="F158" s="261" t="s">
        <v>16</v>
      </c>
      <c r="G158" s="262" t="s">
        <v>2155</v>
      </c>
      <c r="H158" s="263" t="s">
        <v>26</v>
      </c>
      <c r="I158" s="262" t="s">
        <v>251</v>
      </c>
      <c r="J158" s="263" t="s">
        <v>252</v>
      </c>
      <c r="K158" s="264">
        <v>3600000</v>
      </c>
      <c r="L158" s="265" t="s">
        <v>2057</v>
      </c>
      <c r="M158" s="266" t="s">
        <v>14</v>
      </c>
    </row>
    <row r="159" spans="1:1023 1025:3068 3075:4095 4102:7163 7170:8190 8197:10240 10242:11258 11265:12285 12292:13312 13319:14335 14337:16380" ht="29">
      <c r="A159" s="258" t="s">
        <v>219</v>
      </c>
      <c r="B159" s="259" t="s">
        <v>2985</v>
      </c>
      <c r="C159" s="259" t="s">
        <v>220</v>
      </c>
      <c r="D159" s="260" t="s">
        <v>10245</v>
      </c>
      <c r="E159" s="261" t="s">
        <v>306</v>
      </c>
      <c r="F159" s="261" t="s">
        <v>16</v>
      </c>
      <c r="G159" s="262" t="s">
        <v>2155</v>
      </c>
      <c r="H159" s="263" t="s">
        <v>26</v>
      </c>
      <c r="I159" s="262" t="s">
        <v>251</v>
      </c>
      <c r="J159" s="263" t="s">
        <v>252</v>
      </c>
      <c r="K159" s="264">
        <v>1440000</v>
      </c>
      <c r="L159" s="265" t="s">
        <v>2057</v>
      </c>
      <c r="M159" s="266" t="s">
        <v>14</v>
      </c>
    </row>
    <row r="160" spans="1:1023 1025:3068 3075:4095 4102:7163 7170:8190 8197:10240 10242:11258 11265:12285 12292:13312 13319:14335 14337:16380" ht="29">
      <c r="A160" s="258" t="s">
        <v>219</v>
      </c>
      <c r="B160" s="259" t="s">
        <v>2986</v>
      </c>
      <c r="C160" s="259" t="s">
        <v>220</v>
      </c>
      <c r="D160" s="260" t="s">
        <v>10246</v>
      </c>
      <c r="E160" s="261" t="s">
        <v>306</v>
      </c>
      <c r="F160" s="261" t="s">
        <v>16</v>
      </c>
      <c r="G160" s="262" t="s">
        <v>2155</v>
      </c>
      <c r="H160" s="263" t="s">
        <v>26</v>
      </c>
      <c r="I160" s="262" t="s">
        <v>251</v>
      </c>
      <c r="J160" s="263" t="s">
        <v>252</v>
      </c>
      <c r="K160" s="264">
        <v>2520000</v>
      </c>
      <c r="L160" s="265" t="s">
        <v>2057</v>
      </c>
      <c r="M160" s="266" t="s">
        <v>14</v>
      </c>
    </row>
    <row r="161" spans="1:13" ht="29">
      <c r="A161" s="258" t="s">
        <v>219</v>
      </c>
      <c r="B161" s="259" t="s">
        <v>2987</v>
      </c>
      <c r="C161" s="259" t="s">
        <v>220</v>
      </c>
      <c r="D161" s="260" t="s">
        <v>10247</v>
      </c>
      <c r="E161" s="261" t="s">
        <v>306</v>
      </c>
      <c r="F161" s="261" t="s">
        <v>16</v>
      </c>
      <c r="G161" s="262" t="s">
        <v>2155</v>
      </c>
      <c r="H161" s="263" t="s">
        <v>26</v>
      </c>
      <c r="I161" s="262" t="s">
        <v>251</v>
      </c>
      <c r="J161" s="263" t="s">
        <v>252</v>
      </c>
      <c r="K161" s="264">
        <v>3600000</v>
      </c>
      <c r="L161" s="265" t="s">
        <v>2057</v>
      </c>
      <c r="M161" s="266" t="s">
        <v>14</v>
      </c>
    </row>
    <row r="162" spans="1:13" ht="43.5">
      <c r="A162" s="258" t="s">
        <v>219</v>
      </c>
      <c r="B162" s="259" t="s">
        <v>10248</v>
      </c>
      <c r="C162" s="259" t="s">
        <v>220</v>
      </c>
      <c r="D162" s="260" t="s">
        <v>10249</v>
      </c>
      <c r="E162" s="261" t="s">
        <v>306</v>
      </c>
      <c r="F162" s="261" t="s">
        <v>16</v>
      </c>
      <c r="G162" s="262" t="s">
        <v>2155</v>
      </c>
      <c r="H162" s="263" t="s">
        <v>26</v>
      </c>
      <c r="I162" s="262" t="s">
        <v>251</v>
      </c>
      <c r="J162" s="263" t="s">
        <v>252</v>
      </c>
      <c r="K162" s="264">
        <v>24850800</v>
      </c>
      <c r="L162" s="265" t="s">
        <v>2057</v>
      </c>
      <c r="M162" s="266" t="s">
        <v>14</v>
      </c>
    </row>
    <row r="163" spans="1:13" ht="29">
      <c r="A163" s="258" t="s">
        <v>219</v>
      </c>
      <c r="B163" s="259" t="s">
        <v>10250</v>
      </c>
      <c r="C163" s="259" t="s">
        <v>220</v>
      </c>
      <c r="D163" s="260" t="s">
        <v>10251</v>
      </c>
      <c r="E163" s="261" t="s">
        <v>306</v>
      </c>
      <c r="F163" s="261" t="s">
        <v>16</v>
      </c>
      <c r="G163" s="262" t="s">
        <v>2155</v>
      </c>
      <c r="H163" s="263" t="s">
        <v>26</v>
      </c>
      <c r="I163" s="262" t="s">
        <v>251</v>
      </c>
      <c r="J163" s="263" t="s">
        <v>252</v>
      </c>
      <c r="K163" s="264">
        <v>56480800</v>
      </c>
      <c r="L163" s="265" t="s">
        <v>2057</v>
      </c>
      <c r="M163" s="266" t="s">
        <v>14</v>
      </c>
    </row>
    <row r="164" spans="1:13" ht="29">
      <c r="A164" s="258" t="s">
        <v>219</v>
      </c>
      <c r="B164" s="259" t="s">
        <v>10252</v>
      </c>
      <c r="C164" s="259" t="s">
        <v>220</v>
      </c>
      <c r="D164" s="260" t="s">
        <v>10253</v>
      </c>
      <c r="E164" s="261" t="s">
        <v>306</v>
      </c>
      <c r="F164" s="261" t="s">
        <v>16</v>
      </c>
      <c r="G164" s="262" t="s">
        <v>2155</v>
      </c>
      <c r="H164" s="263" t="s">
        <v>26</v>
      </c>
      <c r="I164" s="262" t="s">
        <v>251</v>
      </c>
      <c r="J164" s="263" t="s">
        <v>252</v>
      </c>
      <c r="K164" s="264">
        <v>99370800</v>
      </c>
      <c r="L164" s="265" t="s">
        <v>2057</v>
      </c>
      <c r="M164" s="266" t="s">
        <v>14</v>
      </c>
    </row>
    <row r="165" spans="1:13" ht="43.5">
      <c r="A165" s="258" t="s">
        <v>219</v>
      </c>
      <c r="B165" s="259" t="s">
        <v>10254</v>
      </c>
      <c r="C165" s="259" t="s">
        <v>220</v>
      </c>
      <c r="D165" s="260" t="s">
        <v>10255</v>
      </c>
      <c r="E165" s="261" t="s">
        <v>306</v>
      </c>
      <c r="F165" s="261" t="s">
        <v>16</v>
      </c>
      <c r="G165" s="262" t="s">
        <v>2155</v>
      </c>
      <c r="H165" s="263" t="s">
        <v>26</v>
      </c>
      <c r="I165" s="262" t="s">
        <v>251</v>
      </c>
      <c r="J165" s="263" t="s">
        <v>252</v>
      </c>
      <c r="K165" s="264">
        <v>157520800</v>
      </c>
      <c r="L165" s="265" t="s">
        <v>2057</v>
      </c>
      <c r="M165" s="266" t="s">
        <v>14</v>
      </c>
    </row>
    <row r="166" spans="1:13">
      <c r="A166" s="258"/>
      <c r="B166" s="259"/>
      <c r="C166" s="259"/>
      <c r="D166" s="260"/>
      <c r="E166" s="261"/>
      <c r="F166" s="261"/>
      <c r="G166" s="262"/>
      <c r="H166" s="263"/>
      <c r="I166" s="262"/>
      <c r="J166" s="263"/>
      <c r="K166" s="264"/>
      <c r="L166" s="265"/>
      <c r="M166" s="266"/>
    </row>
    <row r="167" spans="1:13">
      <c r="A167" s="258"/>
      <c r="B167" s="259"/>
      <c r="C167" s="259"/>
      <c r="D167" s="260"/>
      <c r="E167" s="261"/>
      <c r="F167" s="261"/>
      <c r="G167" s="262"/>
      <c r="H167" s="263"/>
      <c r="I167" s="262"/>
      <c r="J167" s="263"/>
      <c r="K167" s="264"/>
      <c r="L167" s="265"/>
      <c r="M167" s="266"/>
    </row>
    <row r="168" spans="1:13">
      <c r="A168" s="258"/>
      <c r="B168" s="259"/>
      <c r="C168" s="259"/>
      <c r="D168" s="260"/>
      <c r="E168" s="261"/>
      <c r="F168" s="261"/>
      <c r="G168" s="262"/>
      <c r="H168" s="263"/>
      <c r="I168" s="262"/>
      <c r="J168" s="263"/>
      <c r="K168" s="264"/>
      <c r="L168" s="265"/>
      <c r="M168" s="266"/>
    </row>
    <row r="169" spans="1:13">
      <c r="A169" s="258"/>
      <c r="B169" s="259"/>
      <c r="C169" s="259"/>
      <c r="D169" s="260"/>
      <c r="E169" s="261"/>
      <c r="F169" s="261"/>
      <c r="G169" s="262"/>
      <c r="H169" s="263"/>
      <c r="I169" s="262"/>
      <c r="J169" s="263"/>
      <c r="K169" s="264"/>
      <c r="L169" s="265"/>
      <c r="M169" s="266"/>
    </row>
    <row r="170" spans="1:13">
      <c r="A170" s="258"/>
      <c r="B170" s="259"/>
      <c r="C170" s="259"/>
      <c r="D170" s="260"/>
      <c r="E170" s="261"/>
      <c r="F170" s="261"/>
      <c r="G170" s="262"/>
      <c r="H170" s="263"/>
      <c r="I170" s="262"/>
      <c r="J170" s="263"/>
      <c r="K170" s="264"/>
      <c r="L170" s="265"/>
      <c r="M170" s="266"/>
    </row>
    <row r="171" spans="1:13">
      <c r="A171" s="258"/>
      <c r="B171" s="259"/>
      <c r="C171" s="259"/>
      <c r="D171" s="260"/>
      <c r="E171" s="261"/>
      <c r="F171" s="261"/>
      <c r="G171" s="262"/>
      <c r="H171" s="263"/>
      <c r="I171" s="262"/>
      <c r="J171" s="263"/>
      <c r="K171" s="264"/>
      <c r="L171" s="265"/>
      <c r="M171" s="266"/>
    </row>
    <row r="172" spans="1:13">
      <c r="A172" s="258"/>
      <c r="B172" s="259"/>
      <c r="C172" s="259"/>
      <c r="D172" s="260"/>
      <c r="E172" s="261"/>
      <c r="F172" s="261"/>
      <c r="G172" s="262"/>
      <c r="H172" s="263"/>
      <c r="I172" s="262"/>
      <c r="J172" s="263"/>
      <c r="K172" s="264"/>
      <c r="L172" s="265"/>
      <c r="M172" s="266"/>
    </row>
    <row r="173" spans="1:13">
      <c r="A173" s="258"/>
      <c r="B173" s="259"/>
      <c r="C173" s="259"/>
      <c r="D173" s="260"/>
      <c r="E173" s="261"/>
      <c r="F173" s="261"/>
      <c r="G173" s="262"/>
      <c r="H173" s="263"/>
      <c r="I173" s="262"/>
      <c r="J173" s="263"/>
      <c r="K173" s="264"/>
      <c r="L173" s="265"/>
      <c r="M173" s="266"/>
    </row>
    <row r="174" spans="1:13">
      <c r="A174" s="258"/>
      <c r="B174" s="259"/>
      <c r="C174" s="259"/>
      <c r="D174" s="260"/>
      <c r="E174" s="261"/>
      <c r="F174" s="261"/>
      <c r="G174" s="262"/>
      <c r="H174" s="263"/>
      <c r="I174" s="262"/>
      <c r="J174" s="263"/>
      <c r="K174" s="264"/>
      <c r="L174" s="265"/>
      <c r="M174" s="266"/>
    </row>
    <row r="175" spans="1:13">
      <c r="A175" s="258"/>
      <c r="B175" s="259"/>
      <c r="C175" s="259"/>
      <c r="D175" s="260"/>
      <c r="E175" s="261"/>
      <c r="F175" s="261"/>
      <c r="G175" s="262"/>
      <c r="H175" s="263"/>
      <c r="I175" s="262"/>
      <c r="J175" s="263"/>
      <c r="K175" s="264"/>
      <c r="L175" s="265"/>
      <c r="M175" s="266"/>
    </row>
    <row r="176" spans="1:13">
      <c r="A176" s="258"/>
      <c r="B176" s="259"/>
      <c r="C176" s="259"/>
      <c r="D176" s="260"/>
      <c r="E176" s="261"/>
      <c r="F176" s="261"/>
      <c r="G176" s="262"/>
      <c r="H176" s="263"/>
      <c r="I176" s="262"/>
      <c r="J176" s="263"/>
      <c r="K176" s="264"/>
      <c r="L176" s="265"/>
      <c r="M176" s="266"/>
    </row>
    <row r="177" spans="1:13">
      <c r="A177" s="258"/>
      <c r="B177" s="259"/>
      <c r="C177" s="259"/>
      <c r="D177" s="260"/>
      <c r="E177" s="261"/>
      <c r="F177" s="261"/>
      <c r="G177" s="262"/>
      <c r="H177" s="263"/>
      <c r="I177" s="262"/>
      <c r="J177" s="263"/>
      <c r="K177" s="264"/>
      <c r="L177" s="265"/>
      <c r="M177" s="266"/>
    </row>
    <row r="178" spans="1:13">
      <c r="A178" s="258"/>
      <c r="B178" s="259"/>
      <c r="C178" s="259"/>
      <c r="D178" s="260"/>
      <c r="E178" s="261"/>
      <c r="F178" s="261"/>
      <c r="G178" s="262"/>
      <c r="H178" s="263"/>
      <c r="I178" s="262"/>
      <c r="J178" s="263"/>
      <c r="K178" s="264"/>
      <c r="L178" s="265"/>
      <c r="M178" s="266"/>
    </row>
    <row r="179" spans="1:13">
      <c r="A179" s="258"/>
      <c r="B179" s="259"/>
      <c r="C179" s="259"/>
      <c r="D179" s="260"/>
      <c r="E179" s="261"/>
      <c r="F179" s="261"/>
      <c r="G179" s="262"/>
      <c r="H179" s="263"/>
      <c r="I179" s="262"/>
      <c r="J179" s="263"/>
      <c r="K179" s="264"/>
      <c r="L179" s="265"/>
      <c r="M179" s="266"/>
    </row>
    <row r="180" spans="1:13">
      <c r="A180" s="258"/>
      <c r="B180" s="259"/>
      <c r="C180" s="259"/>
      <c r="D180" s="260"/>
      <c r="E180" s="261"/>
      <c r="F180" s="261"/>
      <c r="G180" s="262"/>
      <c r="H180" s="263"/>
      <c r="I180" s="262"/>
      <c r="J180" s="263"/>
      <c r="K180" s="264"/>
      <c r="L180" s="265"/>
      <c r="M180" s="266"/>
    </row>
    <row r="181" spans="1:13">
      <c r="A181" s="258"/>
      <c r="B181" s="259"/>
      <c r="C181" s="259"/>
      <c r="D181" s="260"/>
      <c r="E181" s="261"/>
      <c r="F181" s="261"/>
      <c r="G181" s="262"/>
      <c r="H181" s="263"/>
      <c r="I181" s="262"/>
      <c r="J181" s="263"/>
      <c r="K181" s="264"/>
      <c r="L181" s="265"/>
      <c r="M181" s="266"/>
    </row>
    <row r="182" spans="1:13">
      <c r="A182" s="258"/>
      <c r="B182" s="259"/>
      <c r="C182" s="259"/>
      <c r="D182" s="260"/>
      <c r="E182" s="261"/>
      <c r="F182" s="261"/>
      <c r="G182" s="262"/>
      <c r="H182" s="263"/>
      <c r="I182" s="262"/>
      <c r="J182" s="263"/>
      <c r="K182" s="264"/>
      <c r="L182" s="265"/>
      <c r="M182" s="266"/>
    </row>
    <row r="183" spans="1:13">
      <c r="A183" s="258"/>
      <c r="B183" s="259"/>
      <c r="C183" s="259"/>
      <c r="D183" s="260"/>
      <c r="E183" s="261"/>
      <c r="F183" s="261"/>
      <c r="G183" s="262"/>
      <c r="H183" s="263"/>
      <c r="I183" s="262"/>
      <c r="J183" s="263"/>
      <c r="K183" s="264"/>
      <c r="L183" s="265"/>
      <c r="M183" s="266"/>
    </row>
    <row r="184" spans="1:13">
      <c r="A184" s="258"/>
      <c r="B184" s="259"/>
      <c r="C184" s="259"/>
      <c r="D184" s="260"/>
      <c r="E184" s="261"/>
      <c r="F184" s="261"/>
      <c r="G184" s="262"/>
      <c r="H184" s="263"/>
      <c r="I184" s="262"/>
      <c r="J184" s="263"/>
      <c r="K184" s="264"/>
      <c r="L184" s="265"/>
      <c r="M184" s="266"/>
    </row>
    <row r="185" spans="1:13">
      <c r="A185" s="258"/>
      <c r="B185" s="259"/>
      <c r="C185" s="259"/>
      <c r="D185" s="260"/>
      <c r="E185" s="261"/>
      <c r="F185" s="261"/>
      <c r="G185" s="262"/>
      <c r="H185" s="263"/>
      <c r="I185" s="262"/>
      <c r="J185" s="263"/>
      <c r="K185" s="264"/>
      <c r="L185" s="265"/>
      <c r="M185" s="266"/>
    </row>
    <row r="186" spans="1:13">
      <c r="A186" s="258"/>
      <c r="B186" s="259"/>
      <c r="C186" s="259"/>
      <c r="D186" s="260"/>
      <c r="E186" s="261"/>
      <c r="F186" s="261"/>
      <c r="G186" s="262"/>
      <c r="H186" s="263"/>
      <c r="I186" s="262"/>
      <c r="J186" s="263"/>
      <c r="K186" s="264"/>
      <c r="L186" s="265"/>
      <c r="M186" s="266"/>
    </row>
    <row r="187" spans="1:13">
      <c r="A187" s="258"/>
      <c r="B187" s="259"/>
      <c r="C187" s="259"/>
      <c r="D187" s="260"/>
      <c r="E187" s="261"/>
      <c r="F187" s="261"/>
      <c r="G187" s="262"/>
      <c r="H187" s="263"/>
      <c r="I187" s="262"/>
      <c r="J187" s="263"/>
      <c r="K187" s="264"/>
      <c r="L187" s="265"/>
      <c r="M187" s="266"/>
    </row>
    <row r="188" spans="1:13">
      <c r="A188" s="258"/>
      <c r="B188" s="259"/>
      <c r="C188" s="259"/>
      <c r="D188" s="260"/>
      <c r="E188" s="261"/>
      <c r="F188" s="261"/>
      <c r="G188" s="262"/>
      <c r="H188" s="263"/>
      <c r="I188" s="262"/>
      <c r="J188" s="263"/>
      <c r="K188" s="264"/>
      <c r="L188" s="265"/>
      <c r="M188" s="266"/>
    </row>
    <row r="189" spans="1:13">
      <c r="A189" s="258"/>
      <c r="B189" s="259"/>
      <c r="C189" s="259"/>
      <c r="D189" s="260"/>
      <c r="E189" s="261"/>
      <c r="F189" s="261"/>
      <c r="G189" s="262"/>
      <c r="H189" s="263"/>
      <c r="I189" s="262"/>
      <c r="J189" s="263"/>
      <c r="K189" s="264"/>
      <c r="L189" s="265"/>
      <c r="M189" s="266"/>
    </row>
    <row r="190" spans="1:13">
      <c r="A190" s="258"/>
      <c r="B190" s="259"/>
      <c r="C190" s="259"/>
      <c r="D190" s="260"/>
      <c r="E190" s="261"/>
      <c r="F190" s="261"/>
      <c r="G190" s="262"/>
      <c r="H190" s="263"/>
      <c r="I190" s="262"/>
      <c r="J190" s="263"/>
      <c r="K190" s="264"/>
      <c r="L190" s="265"/>
      <c r="M190" s="266"/>
    </row>
    <row r="191" spans="1:13">
      <c r="A191" s="258"/>
      <c r="B191" s="259"/>
      <c r="C191" s="259"/>
      <c r="D191" s="260"/>
      <c r="E191" s="261"/>
      <c r="F191" s="261"/>
      <c r="G191" s="262"/>
      <c r="H191" s="263"/>
      <c r="I191" s="262"/>
      <c r="J191" s="263"/>
      <c r="K191" s="264"/>
      <c r="L191" s="265"/>
      <c r="M191" s="266"/>
    </row>
    <row r="192" spans="1:13">
      <c r="A192" s="258"/>
      <c r="B192" s="259"/>
      <c r="C192" s="259"/>
      <c r="D192" s="260"/>
      <c r="E192" s="261"/>
      <c r="F192" s="261"/>
      <c r="G192" s="262"/>
      <c r="H192" s="263"/>
      <c r="I192" s="262"/>
      <c r="J192" s="263"/>
      <c r="K192" s="264"/>
      <c r="L192" s="265"/>
      <c r="M192" s="266"/>
    </row>
    <row r="193" spans="1:13">
      <c r="A193" s="258"/>
      <c r="B193" s="259"/>
      <c r="C193" s="259"/>
      <c r="D193" s="260"/>
      <c r="E193" s="261"/>
      <c r="F193" s="261"/>
      <c r="G193" s="262"/>
      <c r="H193" s="263"/>
      <c r="I193" s="262"/>
      <c r="J193" s="263"/>
      <c r="K193" s="264"/>
      <c r="L193" s="265"/>
      <c r="M193" s="266"/>
    </row>
    <row r="194" spans="1:13">
      <c r="A194" s="258"/>
      <c r="B194" s="259"/>
      <c r="C194" s="259"/>
      <c r="D194" s="260"/>
      <c r="E194" s="261"/>
      <c r="F194" s="261"/>
      <c r="G194" s="262"/>
      <c r="H194" s="263"/>
      <c r="I194" s="262"/>
      <c r="J194" s="263"/>
      <c r="K194" s="264"/>
      <c r="L194" s="265"/>
      <c r="M194" s="266"/>
    </row>
    <row r="195" spans="1:13">
      <c r="A195" s="258"/>
      <c r="B195" s="259"/>
      <c r="C195" s="259"/>
      <c r="D195" s="260"/>
      <c r="E195" s="261"/>
      <c r="F195" s="261"/>
      <c r="G195" s="262"/>
      <c r="H195" s="263"/>
      <c r="I195" s="262"/>
      <c r="J195" s="263"/>
      <c r="K195" s="264"/>
      <c r="L195" s="265"/>
      <c r="M195" s="266"/>
    </row>
    <row r="196" spans="1:13">
      <c r="A196" s="258"/>
      <c r="B196" s="259"/>
      <c r="C196" s="259"/>
      <c r="D196" s="260"/>
      <c r="E196" s="261"/>
      <c r="F196" s="261"/>
      <c r="G196" s="262"/>
      <c r="H196" s="263"/>
      <c r="I196" s="262"/>
      <c r="J196" s="263"/>
      <c r="K196" s="264"/>
      <c r="L196" s="265"/>
      <c r="M196" s="266"/>
    </row>
    <row r="197" spans="1:13">
      <c r="A197" s="258"/>
      <c r="B197" s="259"/>
      <c r="C197" s="259"/>
      <c r="D197" s="260"/>
      <c r="E197" s="261"/>
      <c r="F197" s="261"/>
      <c r="G197" s="262"/>
      <c r="H197" s="263"/>
      <c r="I197" s="262"/>
      <c r="J197" s="263"/>
      <c r="K197" s="264"/>
      <c r="L197" s="265"/>
      <c r="M197" s="266"/>
    </row>
    <row r="198" spans="1:13">
      <c r="A198" s="258"/>
      <c r="B198" s="259"/>
      <c r="C198" s="259"/>
      <c r="D198" s="260"/>
      <c r="E198" s="261"/>
      <c r="F198" s="261"/>
      <c r="G198" s="262"/>
      <c r="H198" s="263"/>
      <c r="I198" s="262"/>
      <c r="J198" s="263"/>
      <c r="K198" s="264"/>
      <c r="L198" s="265"/>
      <c r="M198" s="266"/>
    </row>
    <row r="199" spans="1:13">
      <c r="A199" s="258"/>
      <c r="B199" s="259"/>
      <c r="C199" s="259"/>
      <c r="D199" s="260"/>
      <c r="E199" s="261"/>
      <c r="F199" s="261"/>
      <c r="G199" s="262"/>
      <c r="H199" s="263"/>
      <c r="I199" s="262"/>
      <c r="J199" s="263"/>
      <c r="K199" s="264"/>
      <c r="L199" s="265"/>
      <c r="M199" s="266"/>
    </row>
    <row r="200" spans="1:13">
      <c r="A200" s="258"/>
      <c r="B200" s="259"/>
      <c r="C200" s="259"/>
      <c r="D200" s="260"/>
      <c r="E200" s="261"/>
      <c r="F200" s="261"/>
      <c r="G200" s="262"/>
      <c r="H200" s="263"/>
      <c r="I200" s="262"/>
      <c r="J200" s="263"/>
      <c r="K200" s="264"/>
      <c r="L200" s="265"/>
      <c r="M200" s="266"/>
    </row>
    <row r="201" spans="1:13">
      <c r="A201" s="258"/>
      <c r="B201" s="259"/>
      <c r="C201" s="259"/>
      <c r="D201" s="260"/>
      <c r="E201" s="261"/>
      <c r="F201" s="261"/>
      <c r="G201" s="262"/>
      <c r="H201" s="263"/>
      <c r="I201" s="262"/>
      <c r="J201" s="263"/>
      <c r="K201" s="264"/>
      <c r="L201" s="265"/>
      <c r="M201" s="266"/>
    </row>
    <row r="202" spans="1:13">
      <c r="A202" s="258"/>
      <c r="B202" s="259"/>
      <c r="C202" s="259"/>
      <c r="D202" s="260"/>
      <c r="E202" s="261"/>
      <c r="F202" s="261"/>
      <c r="G202" s="262"/>
      <c r="H202" s="263"/>
      <c r="I202" s="262"/>
      <c r="J202" s="263"/>
      <c r="K202" s="264"/>
      <c r="L202" s="265"/>
      <c r="M202" s="266"/>
    </row>
    <row r="203" spans="1:13">
      <c r="A203" s="258"/>
      <c r="B203" s="259"/>
      <c r="C203" s="259"/>
      <c r="D203" s="260"/>
      <c r="E203" s="261"/>
      <c r="F203" s="261"/>
      <c r="G203" s="262"/>
      <c r="H203" s="263"/>
      <c r="I203" s="262"/>
      <c r="J203" s="263"/>
      <c r="K203" s="264"/>
      <c r="L203" s="265"/>
      <c r="M203" s="266"/>
    </row>
    <row r="204" spans="1:13">
      <c r="A204" s="258"/>
      <c r="B204" s="259"/>
      <c r="C204" s="259"/>
      <c r="D204" s="260"/>
      <c r="E204" s="261"/>
      <c r="F204" s="261"/>
      <c r="G204" s="262"/>
      <c r="H204" s="263"/>
      <c r="I204" s="262"/>
      <c r="J204" s="263"/>
      <c r="K204" s="264"/>
      <c r="L204" s="265"/>
      <c r="M204" s="266"/>
    </row>
    <row r="205" spans="1:13">
      <c r="A205" s="258"/>
      <c r="B205" s="259"/>
      <c r="C205" s="259"/>
      <c r="D205" s="260"/>
      <c r="E205" s="261"/>
      <c r="F205" s="261"/>
      <c r="G205" s="262"/>
      <c r="H205" s="263"/>
      <c r="I205" s="262"/>
      <c r="J205" s="263"/>
      <c r="K205" s="264"/>
      <c r="L205" s="265"/>
      <c r="M205" s="266"/>
    </row>
    <row r="206" spans="1:13">
      <c r="A206" s="258"/>
      <c r="B206" s="259"/>
      <c r="C206" s="259"/>
      <c r="D206" s="260"/>
      <c r="E206" s="261"/>
      <c r="F206" s="261"/>
      <c r="G206" s="262"/>
      <c r="H206" s="263"/>
      <c r="I206" s="262"/>
      <c r="J206" s="263"/>
      <c r="K206" s="264"/>
      <c r="L206" s="265"/>
      <c r="M206" s="266"/>
    </row>
    <row r="207" spans="1:13">
      <c r="A207" s="258"/>
      <c r="B207" s="259"/>
      <c r="C207" s="259"/>
      <c r="D207" s="260"/>
      <c r="E207" s="261"/>
      <c r="F207" s="261"/>
      <c r="G207" s="262"/>
      <c r="H207" s="263"/>
      <c r="I207" s="262"/>
      <c r="J207" s="263"/>
      <c r="K207" s="264"/>
      <c r="L207" s="265"/>
      <c r="M207" s="266"/>
    </row>
    <row r="208" spans="1:13">
      <c r="A208" s="258"/>
      <c r="B208" s="259"/>
      <c r="C208" s="259"/>
      <c r="D208" s="260"/>
      <c r="E208" s="261"/>
      <c r="F208" s="261"/>
      <c r="G208" s="262"/>
      <c r="H208" s="263"/>
      <c r="I208" s="262"/>
      <c r="J208" s="263"/>
      <c r="K208" s="264"/>
      <c r="L208" s="265"/>
      <c r="M208" s="266"/>
    </row>
    <row r="209" spans="1:13">
      <c r="A209" s="258"/>
      <c r="B209" s="259"/>
      <c r="C209" s="259"/>
      <c r="D209" s="260"/>
      <c r="E209" s="261"/>
      <c r="F209" s="261"/>
      <c r="G209" s="262"/>
      <c r="H209" s="263"/>
      <c r="I209" s="262"/>
      <c r="J209" s="263"/>
      <c r="K209" s="264"/>
      <c r="L209" s="265"/>
      <c r="M209" s="266"/>
    </row>
    <row r="210" spans="1:13">
      <c r="A210" s="258"/>
      <c r="B210" s="259"/>
      <c r="C210" s="259"/>
      <c r="D210" s="260"/>
      <c r="E210" s="261"/>
      <c r="F210" s="261"/>
      <c r="G210" s="262"/>
      <c r="H210" s="263"/>
      <c r="I210" s="262"/>
      <c r="J210" s="263"/>
      <c r="K210" s="264"/>
      <c r="L210" s="265"/>
      <c r="M210" s="266"/>
    </row>
    <row r="211" spans="1:13">
      <c r="A211" s="258"/>
      <c r="B211" s="259"/>
      <c r="C211" s="259"/>
      <c r="D211" s="260"/>
      <c r="E211" s="261"/>
      <c r="F211" s="261"/>
      <c r="G211" s="262"/>
      <c r="H211" s="263"/>
      <c r="I211" s="262"/>
      <c r="J211" s="263"/>
      <c r="K211" s="264"/>
      <c r="L211" s="265"/>
      <c r="M211" s="266"/>
    </row>
    <row r="212" spans="1:13">
      <c r="A212" s="258"/>
      <c r="B212" s="259"/>
      <c r="C212" s="259"/>
      <c r="D212" s="260"/>
      <c r="E212" s="261"/>
      <c r="F212" s="261"/>
      <c r="G212" s="262"/>
      <c r="H212" s="263"/>
      <c r="I212" s="262"/>
      <c r="J212" s="263"/>
      <c r="K212" s="264"/>
      <c r="L212" s="265"/>
      <c r="M212" s="266"/>
    </row>
    <row r="213" spans="1:13">
      <c r="A213" s="258"/>
      <c r="B213" s="259"/>
      <c r="C213" s="259"/>
      <c r="D213" s="260"/>
      <c r="E213" s="261"/>
      <c r="F213" s="261"/>
      <c r="G213" s="262"/>
      <c r="H213" s="263"/>
      <c r="I213" s="262"/>
      <c r="J213" s="263"/>
      <c r="K213" s="264"/>
      <c r="L213" s="265"/>
      <c r="M213" s="266"/>
    </row>
    <row r="214" spans="1:13">
      <c r="A214" s="258"/>
      <c r="B214" s="259"/>
      <c r="C214" s="259"/>
      <c r="D214" s="260"/>
      <c r="E214" s="261"/>
      <c r="F214" s="261"/>
      <c r="G214" s="262"/>
      <c r="H214" s="263"/>
      <c r="I214" s="262"/>
      <c r="J214" s="263"/>
      <c r="K214" s="264"/>
      <c r="L214" s="265"/>
      <c r="M214" s="266"/>
    </row>
    <row r="215" spans="1:13">
      <c r="A215" s="258"/>
      <c r="B215" s="259"/>
      <c r="C215" s="259"/>
      <c r="D215" s="260"/>
      <c r="E215" s="261"/>
      <c r="F215" s="261"/>
      <c r="G215" s="262"/>
      <c r="H215" s="263"/>
      <c r="I215" s="262"/>
      <c r="J215" s="263"/>
      <c r="K215" s="264"/>
      <c r="L215" s="265"/>
      <c r="M215" s="266"/>
    </row>
    <row r="216" spans="1:13">
      <c r="A216" s="258"/>
      <c r="B216" s="259"/>
      <c r="C216" s="259"/>
      <c r="D216" s="260"/>
      <c r="E216" s="261"/>
      <c r="F216" s="261"/>
      <c r="G216" s="262"/>
      <c r="H216" s="263"/>
      <c r="I216" s="262"/>
      <c r="J216" s="263"/>
      <c r="K216" s="264"/>
      <c r="L216" s="265"/>
      <c r="M216" s="266"/>
    </row>
    <row r="217" spans="1:13">
      <c r="A217" s="258"/>
      <c r="B217" s="259"/>
      <c r="C217" s="259"/>
      <c r="D217" s="260"/>
      <c r="E217" s="261"/>
      <c r="F217" s="261"/>
      <c r="G217" s="262"/>
      <c r="H217" s="263"/>
      <c r="I217" s="262"/>
      <c r="J217" s="263"/>
      <c r="K217" s="264"/>
      <c r="L217" s="265"/>
      <c r="M217" s="266"/>
    </row>
    <row r="218" spans="1:13">
      <c r="A218" s="258"/>
      <c r="B218" s="259"/>
      <c r="C218" s="259"/>
      <c r="D218" s="260"/>
      <c r="E218" s="261"/>
      <c r="F218" s="261"/>
      <c r="G218" s="262"/>
      <c r="H218" s="263"/>
      <c r="I218" s="262"/>
      <c r="J218" s="263"/>
      <c r="K218" s="264"/>
      <c r="L218" s="265"/>
      <c r="M218" s="266"/>
    </row>
    <row r="219" spans="1:13">
      <c r="A219" s="258"/>
      <c r="B219" s="259"/>
      <c r="C219" s="259"/>
      <c r="D219" s="260"/>
      <c r="E219" s="261"/>
      <c r="F219" s="261"/>
      <c r="G219" s="262"/>
      <c r="H219" s="263"/>
      <c r="I219" s="262"/>
      <c r="J219" s="263"/>
      <c r="K219" s="264"/>
      <c r="L219" s="265"/>
      <c r="M219" s="266"/>
    </row>
    <row r="220" spans="1:13">
      <c r="A220" s="258"/>
      <c r="B220" s="259"/>
      <c r="C220" s="259"/>
      <c r="D220" s="260"/>
      <c r="E220" s="261"/>
      <c r="F220" s="261"/>
      <c r="G220" s="262"/>
      <c r="H220" s="263"/>
      <c r="I220" s="262"/>
      <c r="J220" s="263"/>
      <c r="K220" s="264"/>
      <c r="L220" s="265"/>
      <c r="M220" s="266"/>
    </row>
    <row r="221" spans="1:13">
      <c r="A221" s="258"/>
      <c r="B221" s="259"/>
      <c r="C221" s="259"/>
      <c r="D221" s="260"/>
      <c r="E221" s="261"/>
      <c r="F221" s="261"/>
      <c r="G221" s="262"/>
      <c r="H221" s="263"/>
      <c r="I221" s="262"/>
      <c r="J221" s="263"/>
      <c r="K221" s="264"/>
      <c r="L221" s="265"/>
      <c r="M221" s="266"/>
    </row>
    <row r="222" spans="1:13">
      <c r="A222" s="258"/>
      <c r="B222" s="259"/>
      <c r="C222" s="259"/>
      <c r="D222" s="260"/>
      <c r="E222" s="261"/>
      <c r="F222" s="261"/>
      <c r="G222" s="262"/>
      <c r="H222" s="263"/>
      <c r="I222" s="262"/>
      <c r="J222" s="263"/>
      <c r="K222" s="264"/>
      <c r="L222" s="265"/>
      <c r="M222" s="266"/>
    </row>
    <row r="223" spans="1:13">
      <c r="A223" s="258"/>
      <c r="B223" s="259"/>
      <c r="C223" s="259"/>
      <c r="D223" s="260"/>
      <c r="E223" s="261"/>
      <c r="F223" s="261"/>
      <c r="G223" s="262"/>
      <c r="H223" s="263"/>
      <c r="I223" s="262"/>
      <c r="J223" s="263"/>
      <c r="K223" s="264"/>
      <c r="L223" s="265"/>
      <c r="M223" s="266"/>
    </row>
    <row r="224" spans="1:13">
      <c r="A224" s="258"/>
      <c r="B224" s="259"/>
      <c r="C224" s="259"/>
      <c r="D224" s="260"/>
      <c r="E224" s="261"/>
      <c r="F224" s="261"/>
      <c r="G224" s="262"/>
      <c r="H224" s="263"/>
      <c r="I224" s="262"/>
      <c r="J224" s="263"/>
      <c r="K224" s="264"/>
      <c r="L224" s="265"/>
      <c r="M224" s="266"/>
    </row>
    <row r="225" spans="1:13">
      <c r="A225" s="258"/>
      <c r="B225" s="259"/>
      <c r="C225" s="259"/>
      <c r="D225" s="260"/>
      <c r="E225" s="261"/>
      <c r="F225" s="261"/>
      <c r="G225" s="262"/>
      <c r="H225" s="263"/>
      <c r="I225" s="262"/>
      <c r="J225" s="263"/>
      <c r="K225" s="264"/>
      <c r="L225" s="265"/>
      <c r="M225" s="266"/>
    </row>
    <row r="226" spans="1:13">
      <c r="A226" s="258"/>
      <c r="B226" s="259"/>
      <c r="C226" s="259"/>
      <c r="D226" s="260"/>
      <c r="E226" s="261"/>
      <c r="F226" s="261"/>
      <c r="G226" s="262"/>
      <c r="H226" s="263"/>
      <c r="I226" s="262"/>
      <c r="J226" s="263"/>
      <c r="K226" s="264"/>
      <c r="L226" s="265"/>
      <c r="M226" s="266"/>
    </row>
    <row r="227" spans="1:13">
      <c r="A227" s="258"/>
      <c r="B227" s="259"/>
      <c r="C227" s="259"/>
      <c r="D227" s="260"/>
      <c r="E227" s="261"/>
      <c r="F227" s="261"/>
      <c r="G227" s="262"/>
      <c r="H227" s="263"/>
      <c r="I227" s="262"/>
      <c r="J227" s="263"/>
      <c r="K227" s="264"/>
      <c r="L227" s="265"/>
      <c r="M227" s="266"/>
    </row>
    <row r="228" spans="1:13">
      <c r="A228" s="258"/>
      <c r="B228" s="259"/>
      <c r="C228" s="259"/>
      <c r="D228" s="260"/>
      <c r="E228" s="261"/>
      <c r="F228" s="261"/>
      <c r="G228" s="262"/>
      <c r="H228" s="263"/>
      <c r="I228" s="262"/>
      <c r="J228" s="263"/>
      <c r="K228" s="264"/>
      <c r="L228" s="265"/>
      <c r="M228" s="266"/>
    </row>
    <row r="229" spans="1:13">
      <c r="A229" s="258"/>
      <c r="B229" s="259"/>
      <c r="C229" s="259"/>
      <c r="D229" s="260"/>
      <c r="E229" s="261"/>
      <c r="F229" s="261"/>
      <c r="G229" s="262"/>
      <c r="H229" s="263"/>
      <c r="I229" s="262"/>
      <c r="J229" s="263"/>
      <c r="K229" s="264"/>
      <c r="L229" s="265"/>
      <c r="M229" s="266"/>
    </row>
    <row r="230" spans="1:13">
      <c r="A230" s="258"/>
      <c r="B230" s="259"/>
      <c r="C230" s="259"/>
      <c r="D230" s="260"/>
      <c r="E230" s="261"/>
      <c r="F230" s="261"/>
      <c r="G230" s="262"/>
      <c r="H230" s="263"/>
      <c r="I230" s="262"/>
      <c r="J230" s="263"/>
      <c r="K230" s="264"/>
      <c r="L230" s="265"/>
      <c r="M230" s="266"/>
    </row>
    <row r="231" spans="1:13">
      <c r="A231" s="258"/>
      <c r="B231" s="259"/>
      <c r="C231" s="259"/>
      <c r="D231" s="260"/>
      <c r="E231" s="261"/>
      <c r="F231" s="261"/>
      <c r="G231" s="262"/>
      <c r="H231" s="263"/>
      <c r="I231" s="262"/>
      <c r="J231" s="263"/>
      <c r="K231" s="264"/>
      <c r="L231" s="265"/>
      <c r="M231" s="266"/>
    </row>
    <row r="232" spans="1:13">
      <c r="A232" s="258"/>
      <c r="B232" s="259"/>
      <c r="C232" s="259"/>
      <c r="D232" s="260"/>
      <c r="E232" s="261"/>
      <c r="F232" s="261"/>
      <c r="G232" s="262"/>
      <c r="H232" s="263"/>
      <c r="I232" s="262"/>
      <c r="J232" s="263"/>
      <c r="K232" s="264"/>
      <c r="L232" s="265"/>
      <c r="M232" s="266"/>
    </row>
    <row r="233" spans="1:13">
      <c r="A233" s="258"/>
      <c r="B233" s="259"/>
      <c r="C233" s="259"/>
      <c r="D233" s="260"/>
      <c r="E233" s="261"/>
      <c r="F233" s="261"/>
      <c r="G233" s="262"/>
      <c r="H233" s="263"/>
      <c r="I233" s="262"/>
      <c r="J233" s="263"/>
      <c r="K233" s="264"/>
      <c r="L233" s="265"/>
      <c r="M233" s="266"/>
    </row>
    <row r="234" spans="1:13">
      <c r="A234" s="258"/>
      <c r="B234" s="259"/>
      <c r="C234" s="259"/>
      <c r="D234" s="260"/>
      <c r="E234" s="261"/>
      <c r="F234" s="261"/>
      <c r="G234" s="262"/>
      <c r="H234" s="263"/>
      <c r="I234" s="262"/>
      <c r="J234" s="263"/>
      <c r="K234" s="264"/>
      <c r="L234" s="265"/>
      <c r="M234" s="266"/>
    </row>
    <row r="235" spans="1:13">
      <c r="A235" s="258"/>
      <c r="B235" s="259"/>
      <c r="C235" s="259"/>
      <c r="D235" s="260"/>
      <c r="E235" s="261"/>
      <c r="F235" s="261"/>
      <c r="G235" s="262"/>
      <c r="H235" s="263"/>
      <c r="I235" s="262"/>
      <c r="J235" s="263"/>
      <c r="K235" s="264"/>
      <c r="L235" s="265"/>
      <c r="M235" s="266"/>
    </row>
    <row r="236" spans="1:13">
      <c r="A236" s="258"/>
      <c r="B236" s="259"/>
      <c r="C236" s="259"/>
      <c r="D236" s="260"/>
      <c r="E236" s="261"/>
      <c r="F236" s="261"/>
      <c r="G236" s="262"/>
      <c r="H236" s="263"/>
      <c r="I236" s="262"/>
      <c r="J236" s="263"/>
      <c r="K236" s="264"/>
      <c r="L236" s="265"/>
      <c r="M236" s="266"/>
    </row>
    <row r="237" spans="1:13">
      <c r="A237" s="258"/>
      <c r="B237" s="259"/>
      <c r="C237" s="259"/>
      <c r="D237" s="260"/>
      <c r="E237" s="261"/>
      <c r="F237" s="261"/>
      <c r="G237" s="262"/>
      <c r="H237" s="263"/>
      <c r="I237" s="262"/>
      <c r="J237" s="263"/>
      <c r="K237" s="264"/>
      <c r="L237" s="265"/>
      <c r="M237" s="266"/>
    </row>
    <row r="238" spans="1:13">
      <c r="A238" s="258"/>
      <c r="B238" s="259"/>
      <c r="C238" s="259"/>
      <c r="D238" s="260"/>
      <c r="E238" s="261"/>
      <c r="F238" s="261"/>
      <c r="G238" s="262"/>
      <c r="H238" s="263"/>
      <c r="I238" s="262"/>
      <c r="J238" s="263"/>
      <c r="K238" s="264"/>
      <c r="L238" s="265"/>
      <c r="M238" s="266"/>
    </row>
    <row r="239" spans="1:13">
      <c r="A239" s="258"/>
      <c r="B239" s="259"/>
      <c r="C239" s="259"/>
      <c r="D239" s="260"/>
      <c r="E239" s="261"/>
      <c r="F239" s="261"/>
      <c r="G239" s="262"/>
      <c r="H239" s="263"/>
      <c r="I239" s="262"/>
      <c r="J239" s="263"/>
      <c r="K239" s="264"/>
      <c r="L239" s="265"/>
      <c r="M239" s="266"/>
    </row>
    <row r="240" spans="1:13">
      <c r="A240" s="258"/>
      <c r="B240" s="259"/>
      <c r="C240" s="259"/>
      <c r="D240" s="260"/>
      <c r="E240" s="261"/>
      <c r="F240" s="261"/>
      <c r="G240" s="262"/>
      <c r="H240" s="263"/>
      <c r="I240" s="262"/>
      <c r="J240" s="263"/>
      <c r="K240" s="264"/>
      <c r="L240" s="265"/>
      <c r="M240" s="266"/>
    </row>
    <row r="241" spans="1:13">
      <c r="A241" s="258"/>
      <c r="B241" s="259"/>
      <c r="C241" s="259"/>
      <c r="D241" s="260"/>
      <c r="E241" s="261"/>
      <c r="F241" s="261"/>
      <c r="G241" s="262"/>
      <c r="H241" s="263"/>
      <c r="I241" s="262"/>
      <c r="J241" s="263"/>
      <c r="K241" s="264"/>
      <c r="L241" s="265"/>
      <c r="M241" s="266"/>
    </row>
    <row r="242" spans="1:13">
      <c r="A242" s="258"/>
      <c r="B242" s="259"/>
      <c r="C242" s="259"/>
      <c r="D242" s="260"/>
      <c r="E242" s="261"/>
      <c r="F242" s="261"/>
      <c r="G242" s="262"/>
      <c r="H242" s="263"/>
      <c r="I242" s="262"/>
      <c r="J242" s="263"/>
      <c r="K242" s="264"/>
      <c r="L242" s="265"/>
      <c r="M242" s="266"/>
    </row>
    <row r="243" spans="1:13">
      <c r="A243" s="258"/>
      <c r="B243" s="259"/>
      <c r="C243" s="259"/>
      <c r="D243" s="260"/>
      <c r="E243" s="261"/>
      <c r="F243" s="261"/>
      <c r="G243" s="262"/>
      <c r="H243" s="263"/>
      <c r="I243" s="262"/>
      <c r="J243" s="263"/>
      <c r="K243" s="264"/>
      <c r="L243" s="265"/>
      <c r="M243" s="266"/>
    </row>
    <row r="244" spans="1:13">
      <c r="A244" s="258"/>
      <c r="B244" s="259"/>
      <c r="C244" s="259"/>
      <c r="D244" s="260"/>
      <c r="E244" s="261"/>
      <c r="F244" s="261"/>
      <c r="G244" s="262"/>
      <c r="H244" s="263"/>
      <c r="I244" s="262"/>
      <c r="J244" s="263"/>
      <c r="K244" s="264"/>
      <c r="L244" s="265"/>
      <c r="M244" s="266"/>
    </row>
    <row r="245" spans="1:13">
      <c r="A245" s="258"/>
      <c r="B245" s="259"/>
      <c r="C245" s="259"/>
      <c r="D245" s="260"/>
      <c r="E245" s="261"/>
      <c r="F245" s="261"/>
      <c r="G245" s="262"/>
      <c r="H245" s="263"/>
      <c r="I245" s="262"/>
      <c r="J245" s="263"/>
      <c r="K245" s="264"/>
      <c r="L245" s="265"/>
      <c r="M245" s="266"/>
    </row>
    <row r="246" spans="1:13">
      <c r="A246" s="258"/>
      <c r="B246" s="259"/>
      <c r="C246" s="259"/>
      <c r="D246" s="260"/>
      <c r="E246" s="261"/>
      <c r="F246" s="261"/>
      <c r="G246" s="262"/>
      <c r="H246" s="263"/>
      <c r="I246" s="262"/>
      <c r="J246" s="263"/>
      <c r="K246" s="264"/>
      <c r="L246" s="265"/>
      <c r="M246" s="266"/>
    </row>
    <row r="247" spans="1:13">
      <c r="A247" s="258"/>
      <c r="B247" s="259"/>
      <c r="C247" s="259"/>
      <c r="D247" s="260"/>
      <c r="E247" s="261"/>
      <c r="F247" s="261"/>
      <c r="G247" s="262"/>
      <c r="H247" s="263"/>
      <c r="I247" s="262"/>
      <c r="J247" s="263"/>
      <c r="K247" s="264"/>
      <c r="L247" s="265"/>
      <c r="M247" s="266"/>
    </row>
    <row r="248" spans="1:13">
      <c r="A248" s="258"/>
      <c r="B248" s="259"/>
      <c r="C248" s="259"/>
      <c r="D248" s="260"/>
      <c r="E248" s="261"/>
      <c r="F248" s="261"/>
      <c r="G248" s="262"/>
      <c r="H248" s="263"/>
      <c r="I248" s="262"/>
      <c r="J248" s="263"/>
      <c r="K248" s="264"/>
      <c r="L248" s="265"/>
      <c r="M248" s="266"/>
    </row>
    <row r="249" spans="1:13">
      <c r="A249" s="258"/>
      <c r="B249" s="259"/>
      <c r="C249" s="259"/>
      <c r="D249" s="260"/>
      <c r="E249" s="261"/>
      <c r="F249" s="261"/>
      <c r="G249" s="262"/>
      <c r="H249" s="263"/>
      <c r="I249" s="262"/>
      <c r="J249" s="263"/>
      <c r="K249" s="264"/>
      <c r="L249" s="265"/>
      <c r="M249" s="266"/>
    </row>
    <row r="250" spans="1:13">
      <c r="A250" s="258"/>
      <c r="B250" s="259"/>
      <c r="C250" s="259"/>
      <c r="D250" s="260"/>
      <c r="E250" s="261"/>
      <c r="F250" s="261"/>
      <c r="G250" s="262"/>
      <c r="H250" s="263"/>
      <c r="I250" s="262"/>
      <c r="J250" s="263"/>
      <c r="K250" s="264"/>
      <c r="L250" s="265"/>
      <c r="M250" s="266"/>
    </row>
    <row r="251" spans="1:13">
      <c r="A251" s="258"/>
      <c r="B251" s="259"/>
      <c r="C251" s="259"/>
      <c r="D251" s="260"/>
      <c r="E251" s="261"/>
      <c r="F251" s="261"/>
      <c r="G251" s="262"/>
      <c r="H251" s="263"/>
      <c r="I251" s="262"/>
      <c r="J251" s="263"/>
      <c r="K251" s="264"/>
      <c r="L251" s="265"/>
      <c r="M251" s="266"/>
    </row>
    <row r="252" spans="1:13">
      <c r="A252" s="258"/>
      <c r="B252" s="259"/>
      <c r="C252" s="259"/>
      <c r="D252" s="260"/>
      <c r="E252" s="261"/>
      <c r="F252" s="261"/>
      <c r="G252" s="262"/>
      <c r="H252" s="263"/>
      <c r="I252" s="262"/>
      <c r="J252" s="263"/>
      <c r="K252" s="264"/>
      <c r="L252" s="265"/>
      <c r="M252" s="266"/>
    </row>
    <row r="253" spans="1:13">
      <c r="A253" s="258"/>
      <c r="B253" s="259"/>
      <c r="C253" s="259"/>
      <c r="D253" s="260"/>
      <c r="E253" s="261"/>
      <c r="F253" s="261"/>
      <c r="G253" s="262"/>
      <c r="H253" s="263"/>
      <c r="I253" s="262"/>
      <c r="J253" s="263"/>
      <c r="K253" s="264"/>
      <c r="L253" s="265"/>
      <c r="M253" s="266"/>
    </row>
    <row r="254" spans="1:13">
      <c r="A254" s="258"/>
      <c r="B254" s="259"/>
      <c r="C254" s="259"/>
      <c r="D254" s="260"/>
      <c r="E254" s="261"/>
      <c r="F254" s="261"/>
      <c r="G254" s="262"/>
      <c r="H254" s="263"/>
      <c r="I254" s="262"/>
      <c r="J254" s="263"/>
      <c r="K254" s="264"/>
      <c r="L254" s="265"/>
      <c r="M254" s="266"/>
    </row>
    <row r="255" spans="1:13">
      <c r="A255" s="258"/>
      <c r="B255" s="259"/>
      <c r="C255" s="259"/>
      <c r="D255" s="260"/>
      <c r="E255" s="261"/>
      <c r="F255" s="261"/>
      <c r="G255" s="262"/>
      <c r="H255" s="263"/>
      <c r="I255" s="262"/>
      <c r="J255" s="263"/>
      <c r="K255" s="264"/>
      <c r="L255" s="265"/>
      <c r="M255" s="266"/>
    </row>
    <row r="256" spans="1:13">
      <c r="A256" s="258"/>
      <c r="B256" s="259"/>
      <c r="C256" s="259"/>
      <c r="D256" s="260"/>
      <c r="E256" s="261"/>
      <c r="F256" s="261"/>
      <c r="G256" s="262"/>
      <c r="H256" s="263"/>
      <c r="I256" s="262"/>
      <c r="J256" s="263"/>
      <c r="K256" s="264"/>
      <c r="L256" s="265"/>
      <c r="M256" s="266"/>
    </row>
    <row r="257" spans="1:13">
      <c r="A257" s="258"/>
      <c r="B257" s="259"/>
      <c r="C257" s="259"/>
      <c r="D257" s="260"/>
      <c r="E257" s="261"/>
      <c r="F257" s="261"/>
      <c r="G257" s="262"/>
      <c r="H257" s="263"/>
      <c r="I257" s="262"/>
      <c r="J257" s="263"/>
      <c r="K257" s="264"/>
      <c r="L257" s="265"/>
      <c r="M257" s="266"/>
    </row>
    <row r="258" spans="1:13">
      <c r="A258" s="258"/>
      <c r="B258" s="259"/>
      <c r="C258" s="259"/>
      <c r="D258" s="260"/>
      <c r="E258" s="261"/>
      <c r="F258" s="261"/>
      <c r="G258" s="262"/>
      <c r="H258" s="263"/>
      <c r="I258" s="262"/>
      <c r="J258" s="263"/>
      <c r="K258" s="264"/>
      <c r="L258" s="265"/>
      <c r="M258" s="266"/>
    </row>
    <row r="259" spans="1:13">
      <c r="A259" s="258"/>
      <c r="B259" s="259"/>
      <c r="C259" s="259"/>
      <c r="D259" s="260"/>
      <c r="E259" s="261"/>
      <c r="F259" s="261"/>
      <c r="G259" s="262"/>
      <c r="H259" s="263"/>
      <c r="I259" s="262"/>
      <c r="J259" s="263"/>
      <c r="K259" s="264"/>
      <c r="L259" s="265"/>
      <c r="M259" s="266"/>
    </row>
    <row r="260" spans="1:13">
      <c r="A260" s="258"/>
      <c r="B260" s="259"/>
      <c r="C260" s="259"/>
      <c r="D260" s="260"/>
      <c r="E260" s="261"/>
      <c r="F260" s="261"/>
      <c r="G260" s="262"/>
      <c r="H260" s="263"/>
      <c r="I260" s="262"/>
      <c r="J260" s="263"/>
      <c r="K260" s="264"/>
      <c r="L260" s="265"/>
      <c r="M260" s="266"/>
    </row>
    <row r="261" spans="1:13">
      <c r="A261" s="258"/>
      <c r="B261" s="259"/>
      <c r="C261" s="259"/>
      <c r="D261" s="260"/>
      <c r="E261" s="261"/>
      <c r="F261" s="261"/>
      <c r="G261" s="262"/>
      <c r="H261" s="263"/>
      <c r="I261" s="262"/>
      <c r="J261" s="263"/>
      <c r="K261" s="264"/>
      <c r="L261" s="265"/>
      <c r="M261" s="266"/>
    </row>
    <row r="262" spans="1:13">
      <c r="A262" s="258"/>
      <c r="B262" s="259"/>
      <c r="C262" s="259"/>
      <c r="D262" s="260"/>
      <c r="E262" s="261"/>
      <c r="F262" s="261"/>
      <c r="G262" s="262"/>
      <c r="H262" s="263"/>
      <c r="I262" s="262"/>
      <c r="J262" s="263"/>
      <c r="K262" s="264"/>
      <c r="L262" s="265"/>
      <c r="M262" s="266"/>
    </row>
    <row r="263" spans="1:13">
      <c r="A263" s="258"/>
      <c r="B263" s="259"/>
      <c r="C263" s="259"/>
      <c r="D263" s="260"/>
      <c r="E263" s="261"/>
      <c r="F263" s="261"/>
      <c r="G263" s="262"/>
      <c r="H263" s="263"/>
      <c r="I263" s="262"/>
      <c r="J263" s="263"/>
      <c r="K263" s="264"/>
      <c r="L263" s="265"/>
      <c r="M263" s="266"/>
    </row>
    <row r="264" spans="1:13">
      <c r="A264" s="258"/>
      <c r="B264" s="259"/>
      <c r="C264" s="259"/>
      <c r="D264" s="260"/>
      <c r="E264" s="261"/>
      <c r="F264" s="261"/>
      <c r="G264" s="262"/>
      <c r="H264" s="263"/>
      <c r="I264" s="262"/>
      <c r="J264" s="263"/>
      <c r="K264" s="264"/>
      <c r="L264" s="265"/>
      <c r="M264" s="266"/>
    </row>
    <row r="265" spans="1:13">
      <c r="A265" s="258"/>
      <c r="B265" s="259"/>
      <c r="C265" s="259"/>
      <c r="D265" s="260"/>
      <c r="E265" s="261"/>
      <c r="F265" s="261"/>
      <c r="G265" s="262"/>
      <c r="H265" s="263"/>
      <c r="I265" s="262"/>
      <c r="J265" s="263"/>
      <c r="K265" s="264"/>
      <c r="L265" s="265"/>
      <c r="M265" s="266"/>
    </row>
    <row r="266" spans="1:13">
      <c r="A266" s="258"/>
      <c r="B266" s="259"/>
      <c r="C266" s="259"/>
      <c r="D266" s="260"/>
      <c r="E266" s="261"/>
      <c r="F266" s="261"/>
      <c r="G266" s="262"/>
      <c r="H266" s="263"/>
      <c r="I266" s="262"/>
      <c r="J266" s="263"/>
      <c r="K266" s="264"/>
      <c r="L266" s="265"/>
      <c r="M266" s="266"/>
    </row>
    <row r="267" spans="1:13">
      <c r="A267" s="258"/>
      <c r="B267" s="259"/>
      <c r="C267" s="259"/>
      <c r="D267" s="260"/>
      <c r="E267" s="261"/>
      <c r="F267" s="261"/>
      <c r="G267" s="262"/>
      <c r="H267" s="263"/>
      <c r="I267" s="262"/>
      <c r="J267" s="263"/>
      <c r="K267" s="264"/>
      <c r="L267" s="265"/>
      <c r="M267" s="266"/>
    </row>
    <row r="268" spans="1:13">
      <c r="A268" s="258"/>
      <c r="B268" s="259"/>
      <c r="C268" s="259"/>
      <c r="D268" s="260"/>
      <c r="E268" s="261"/>
      <c r="F268" s="261"/>
      <c r="G268" s="262"/>
      <c r="H268" s="263"/>
      <c r="I268" s="262"/>
      <c r="J268" s="263"/>
      <c r="K268" s="264"/>
      <c r="L268" s="265"/>
      <c r="M268" s="266"/>
    </row>
    <row r="269" spans="1:13">
      <c r="A269" s="258"/>
      <c r="B269" s="259"/>
      <c r="C269" s="259"/>
      <c r="D269" s="260"/>
      <c r="E269" s="261"/>
      <c r="F269" s="261"/>
      <c r="G269" s="262"/>
      <c r="H269" s="263"/>
      <c r="I269" s="262"/>
      <c r="J269" s="263"/>
      <c r="K269" s="264"/>
      <c r="L269" s="265"/>
      <c r="M269" s="266"/>
    </row>
    <row r="270" spans="1:13">
      <c r="A270" s="258"/>
      <c r="B270" s="259"/>
      <c r="C270" s="259"/>
      <c r="D270" s="260"/>
      <c r="E270" s="261"/>
      <c r="F270" s="261"/>
      <c r="G270" s="262"/>
      <c r="H270" s="263"/>
      <c r="I270" s="262"/>
      <c r="J270" s="263"/>
      <c r="K270" s="264"/>
      <c r="L270" s="265"/>
      <c r="M270" s="266"/>
    </row>
    <row r="271" spans="1:13">
      <c r="A271" s="258"/>
      <c r="B271" s="259"/>
      <c r="C271" s="259"/>
      <c r="D271" s="260"/>
      <c r="E271" s="261"/>
      <c r="F271" s="261"/>
      <c r="G271" s="262"/>
      <c r="H271" s="263"/>
      <c r="I271" s="262"/>
      <c r="J271" s="263"/>
      <c r="K271" s="264"/>
      <c r="L271" s="265"/>
      <c r="M271" s="266"/>
    </row>
    <row r="272" spans="1:13">
      <c r="A272" s="258"/>
      <c r="B272" s="259"/>
      <c r="C272" s="259"/>
      <c r="D272" s="260"/>
      <c r="E272" s="261"/>
      <c r="F272" s="261"/>
      <c r="G272" s="262"/>
      <c r="H272" s="263"/>
      <c r="I272" s="262"/>
      <c r="J272" s="263"/>
      <c r="K272" s="264"/>
      <c r="L272" s="265"/>
      <c r="M272" s="266"/>
    </row>
    <row r="273" spans="1:13">
      <c r="A273" s="258"/>
      <c r="B273" s="259"/>
      <c r="C273" s="259"/>
      <c r="D273" s="260"/>
      <c r="E273" s="261"/>
      <c r="F273" s="261"/>
      <c r="G273" s="262"/>
      <c r="H273" s="263"/>
      <c r="I273" s="262"/>
      <c r="J273" s="263"/>
      <c r="K273" s="264"/>
      <c r="L273" s="265"/>
      <c r="M273" s="266"/>
    </row>
    <row r="274" spans="1:13">
      <c r="A274" s="258"/>
      <c r="B274" s="259"/>
      <c r="C274" s="259"/>
      <c r="D274" s="260"/>
      <c r="E274" s="261"/>
      <c r="F274" s="261"/>
      <c r="G274" s="262"/>
      <c r="H274" s="263"/>
      <c r="I274" s="262"/>
      <c r="J274" s="263"/>
      <c r="K274" s="264"/>
      <c r="L274" s="265"/>
      <c r="M274" s="266"/>
    </row>
    <row r="275" spans="1:13">
      <c r="A275" s="258"/>
      <c r="B275" s="259"/>
      <c r="C275" s="259"/>
      <c r="D275" s="260"/>
      <c r="E275" s="261"/>
      <c r="F275" s="261"/>
      <c r="G275" s="262"/>
      <c r="H275" s="263"/>
      <c r="I275" s="262"/>
      <c r="J275" s="263"/>
      <c r="K275" s="264"/>
      <c r="L275" s="265"/>
      <c r="M275" s="266"/>
    </row>
    <row r="276" spans="1:13">
      <c r="A276" s="258"/>
      <c r="B276" s="259"/>
      <c r="C276" s="259"/>
      <c r="D276" s="260"/>
      <c r="E276" s="261"/>
      <c r="F276" s="261"/>
      <c r="G276" s="262"/>
      <c r="H276" s="263"/>
      <c r="I276" s="262"/>
      <c r="J276" s="263"/>
      <c r="K276" s="264"/>
      <c r="L276" s="265"/>
      <c r="M276" s="266"/>
    </row>
    <row r="277" spans="1:13">
      <c r="A277" s="258"/>
      <c r="B277" s="259"/>
      <c r="C277" s="259"/>
      <c r="D277" s="260"/>
      <c r="E277" s="261"/>
      <c r="F277" s="261"/>
      <c r="G277" s="262"/>
      <c r="H277" s="263"/>
      <c r="I277" s="262"/>
      <c r="J277" s="263"/>
      <c r="K277" s="264"/>
      <c r="L277" s="265"/>
      <c r="M277" s="266"/>
    </row>
    <row r="278" spans="1:13">
      <c r="A278" s="258"/>
      <c r="B278" s="259"/>
      <c r="C278" s="259"/>
      <c r="D278" s="260"/>
      <c r="E278" s="261"/>
      <c r="F278" s="261"/>
      <c r="G278" s="262"/>
      <c r="H278" s="263"/>
      <c r="I278" s="262"/>
      <c r="J278" s="263"/>
      <c r="K278" s="264"/>
      <c r="L278" s="265"/>
      <c r="M278" s="266"/>
    </row>
    <row r="279" spans="1:13">
      <c r="A279" s="258"/>
      <c r="B279" s="259"/>
      <c r="C279" s="259"/>
      <c r="D279" s="260"/>
      <c r="E279" s="261"/>
      <c r="F279" s="261"/>
      <c r="G279" s="262"/>
      <c r="H279" s="263"/>
      <c r="I279" s="262"/>
      <c r="J279" s="263"/>
      <c r="K279" s="264"/>
      <c r="L279" s="265"/>
      <c r="M279" s="266"/>
    </row>
    <row r="280" spans="1:13">
      <c r="A280" s="258"/>
      <c r="B280" s="259"/>
      <c r="C280" s="259"/>
      <c r="D280" s="260"/>
      <c r="E280" s="261"/>
      <c r="F280" s="261"/>
      <c r="G280" s="262"/>
      <c r="H280" s="263"/>
      <c r="I280" s="262"/>
      <c r="J280" s="263"/>
      <c r="K280" s="264"/>
      <c r="L280" s="265"/>
      <c r="M280" s="266"/>
    </row>
    <row r="281" spans="1:13">
      <c r="A281" s="258"/>
      <c r="B281" s="259"/>
      <c r="C281" s="259"/>
      <c r="D281" s="260"/>
      <c r="E281" s="261"/>
      <c r="F281" s="261"/>
      <c r="G281" s="262"/>
      <c r="H281" s="263"/>
      <c r="I281" s="262"/>
      <c r="J281" s="263"/>
      <c r="K281" s="264"/>
      <c r="L281" s="265"/>
      <c r="M281" s="266"/>
    </row>
    <row r="282" spans="1:13">
      <c r="A282" s="258"/>
      <c r="B282" s="259"/>
      <c r="C282" s="259"/>
      <c r="D282" s="260"/>
      <c r="E282" s="261"/>
      <c r="F282" s="261"/>
      <c r="G282" s="262"/>
      <c r="H282" s="263"/>
      <c r="I282" s="262"/>
      <c r="J282" s="263"/>
      <c r="K282" s="264"/>
      <c r="L282" s="265"/>
      <c r="M282" s="266"/>
    </row>
    <row r="283" spans="1:13">
      <c r="A283" s="258"/>
      <c r="B283" s="259"/>
      <c r="C283" s="259"/>
      <c r="D283" s="260"/>
      <c r="E283" s="261"/>
      <c r="F283" s="261"/>
      <c r="G283" s="262"/>
      <c r="H283" s="263"/>
      <c r="I283" s="262"/>
      <c r="J283" s="263"/>
      <c r="K283" s="264"/>
      <c r="L283" s="265"/>
      <c r="M283" s="266"/>
    </row>
    <row r="284" spans="1:13">
      <c r="A284" s="258"/>
      <c r="B284" s="259"/>
      <c r="C284" s="259"/>
      <c r="D284" s="260"/>
      <c r="E284" s="261"/>
      <c r="F284" s="261"/>
      <c r="G284" s="262"/>
      <c r="H284" s="263"/>
      <c r="I284" s="262"/>
      <c r="J284" s="263"/>
      <c r="K284" s="264"/>
      <c r="L284" s="265"/>
      <c r="M284" s="266"/>
    </row>
    <row r="285" spans="1:13">
      <c r="A285" s="258"/>
      <c r="B285" s="259"/>
      <c r="C285" s="259"/>
      <c r="D285" s="260"/>
      <c r="E285" s="261"/>
      <c r="F285" s="261"/>
      <c r="G285" s="262"/>
      <c r="H285" s="263"/>
      <c r="I285" s="262"/>
      <c r="J285" s="263"/>
      <c r="K285" s="264"/>
      <c r="L285" s="265"/>
      <c r="M285" s="266"/>
    </row>
    <row r="286" spans="1:13">
      <c r="A286" s="258"/>
      <c r="B286" s="259"/>
      <c r="C286" s="259"/>
      <c r="D286" s="260"/>
      <c r="E286" s="261"/>
      <c r="F286" s="261"/>
      <c r="G286" s="262"/>
      <c r="H286" s="263"/>
      <c r="I286" s="262"/>
      <c r="J286" s="263"/>
      <c r="K286" s="264"/>
      <c r="L286" s="265"/>
      <c r="M286" s="266"/>
    </row>
    <row r="287" spans="1:13">
      <c r="A287" s="258"/>
      <c r="B287" s="259"/>
      <c r="C287" s="259"/>
      <c r="D287" s="260"/>
      <c r="E287" s="261"/>
      <c r="F287" s="261"/>
      <c r="G287" s="262"/>
      <c r="H287" s="263"/>
      <c r="I287" s="262"/>
      <c r="J287" s="263"/>
      <c r="K287" s="264"/>
      <c r="L287" s="265"/>
      <c r="M287" s="266"/>
    </row>
    <row r="288" spans="1:13">
      <c r="A288" s="258"/>
      <c r="B288" s="259"/>
      <c r="C288" s="259"/>
      <c r="D288" s="260"/>
      <c r="E288" s="261"/>
      <c r="F288" s="261"/>
      <c r="G288" s="262"/>
      <c r="H288" s="263"/>
      <c r="I288" s="262"/>
      <c r="J288" s="263"/>
      <c r="K288" s="264"/>
      <c r="L288" s="265"/>
      <c r="M288" s="266"/>
    </row>
    <row r="289" spans="1:13">
      <c r="A289" s="258"/>
      <c r="B289" s="259"/>
      <c r="C289" s="259"/>
      <c r="D289" s="260"/>
      <c r="E289" s="261"/>
      <c r="F289" s="261"/>
      <c r="G289" s="262"/>
      <c r="H289" s="263"/>
      <c r="I289" s="262"/>
      <c r="J289" s="263"/>
      <c r="K289" s="264"/>
      <c r="L289" s="265"/>
      <c r="M289" s="266"/>
    </row>
    <row r="290" spans="1:13">
      <c r="A290" s="258"/>
      <c r="B290" s="259"/>
      <c r="C290" s="259"/>
      <c r="D290" s="260"/>
      <c r="E290" s="261"/>
      <c r="F290" s="261"/>
      <c r="G290" s="262"/>
      <c r="H290" s="263"/>
      <c r="I290" s="262"/>
      <c r="J290" s="263"/>
      <c r="K290" s="264"/>
      <c r="L290" s="265"/>
      <c r="M290" s="266"/>
    </row>
    <row r="291" spans="1:13">
      <c r="A291" s="258"/>
      <c r="B291" s="259"/>
      <c r="C291" s="259"/>
      <c r="D291" s="260"/>
      <c r="E291" s="261"/>
      <c r="F291" s="261"/>
      <c r="G291" s="262"/>
      <c r="H291" s="263"/>
      <c r="I291" s="262"/>
      <c r="J291" s="263"/>
      <c r="K291" s="264"/>
      <c r="L291" s="265"/>
      <c r="M291" s="266"/>
    </row>
    <row r="292" spans="1:13">
      <c r="A292" s="258"/>
      <c r="B292" s="259"/>
      <c r="C292" s="259"/>
      <c r="D292" s="260"/>
      <c r="E292" s="261"/>
      <c r="F292" s="261"/>
      <c r="G292" s="262"/>
      <c r="H292" s="263"/>
      <c r="I292" s="262"/>
      <c r="J292" s="263"/>
      <c r="K292" s="264"/>
      <c r="L292" s="265"/>
      <c r="M292" s="266"/>
    </row>
    <row r="293" spans="1:13">
      <c r="A293" s="258"/>
      <c r="B293" s="259"/>
      <c r="C293" s="259"/>
      <c r="D293" s="260"/>
      <c r="E293" s="261"/>
      <c r="F293" s="261"/>
      <c r="G293" s="262"/>
      <c r="H293" s="263"/>
      <c r="I293" s="262"/>
      <c r="J293" s="263"/>
      <c r="K293" s="264"/>
      <c r="L293" s="265"/>
      <c r="M293" s="266"/>
    </row>
    <row r="294" spans="1:13">
      <c r="A294" s="258"/>
      <c r="B294" s="259"/>
      <c r="C294" s="259"/>
      <c r="D294" s="260"/>
      <c r="E294" s="261"/>
      <c r="F294" s="261"/>
      <c r="G294" s="262"/>
      <c r="H294" s="263"/>
      <c r="I294" s="262"/>
      <c r="J294" s="263"/>
      <c r="K294" s="264"/>
      <c r="L294" s="265"/>
      <c r="M294" s="266"/>
    </row>
    <row r="295" spans="1:13">
      <c r="A295" s="258"/>
      <c r="B295" s="259"/>
      <c r="C295" s="259"/>
      <c r="D295" s="260"/>
      <c r="E295" s="261"/>
      <c r="F295" s="261"/>
      <c r="G295" s="262"/>
      <c r="H295" s="263"/>
      <c r="I295" s="262"/>
      <c r="J295" s="263"/>
      <c r="K295" s="264"/>
      <c r="L295" s="265"/>
      <c r="M295" s="266"/>
    </row>
    <row r="296" spans="1:13">
      <c r="A296" s="258"/>
      <c r="B296" s="259"/>
      <c r="C296" s="259"/>
      <c r="D296" s="260"/>
      <c r="E296" s="261"/>
      <c r="F296" s="261"/>
      <c r="G296" s="262"/>
      <c r="H296" s="263"/>
      <c r="I296" s="262"/>
      <c r="J296" s="263"/>
      <c r="K296" s="264"/>
      <c r="L296" s="265"/>
      <c r="M296" s="266"/>
    </row>
    <row r="297" spans="1:13">
      <c r="A297" s="258"/>
      <c r="B297" s="259"/>
      <c r="C297" s="259"/>
      <c r="D297" s="260"/>
      <c r="E297" s="261"/>
      <c r="F297" s="261"/>
      <c r="G297" s="262"/>
      <c r="H297" s="263"/>
      <c r="I297" s="262"/>
      <c r="J297" s="263"/>
      <c r="K297" s="264"/>
      <c r="L297" s="265"/>
      <c r="M297" s="266"/>
    </row>
    <row r="298" spans="1:13">
      <c r="A298" s="258"/>
      <c r="B298" s="259"/>
      <c r="C298" s="259"/>
      <c r="D298" s="260"/>
      <c r="E298" s="261"/>
      <c r="F298" s="261"/>
      <c r="G298" s="262"/>
      <c r="H298" s="263"/>
      <c r="I298" s="262"/>
      <c r="J298" s="263"/>
      <c r="K298" s="264"/>
      <c r="L298" s="265"/>
      <c r="M298" s="266"/>
    </row>
    <row r="299" spans="1:13">
      <c r="A299" s="258"/>
      <c r="B299" s="259"/>
      <c r="C299" s="259"/>
      <c r="D299" s="260"/>
      <c r="E299" s="261"/>
      <c r="F299" s="261"/>
      <c r="G299" s="262"/>
      <c r="H299" s="263"/>
      <c r="I299" s="262"/>
      <c r="J299" s="263"/>
      <c r="K299" s="264"/>
      <c r="L299" s="265"/>
      <c r="M299" s="266"/>
    </row>
    <row r="300" spans="1:13">
      <c r="A300" s="258"/>
      <c r="B300" s="259"/>
      <c r="C300" s="259"/>
      <c r="D300" s="260"/>
      <c r="E300" s="261"/>
      <c r="F300" s="261"/>
      <c r="G300" s="262"/>
      <c r="H300" s="263"/>
      <c r="I300" s="262"/>
      <c r="J300" s="263"/>
      <c r="K300" s="264"/>
      <c r="L300" s="265"/>
      <c r="M300" s="266"/>
    </row>
    <row r="301" spans="1:13">
      <c r="A301" s="258"/>
      <c r="B301" s="259"/>
      <c r="C301" s="259"/>
      <c r="D301" s="260"/>
      <c r="E301" s="261"/>
      <c r="F301" s="261"/>
      <c r="G301" s="262"/>
      <c r="H301" s="263"/>
      <c r="I301" s="262"/>
      <c r="J301" s="263"/>
      <c r="K301" s="264"/>
      <c r="L301" s="265"/>
      <c r="M301" s="266"/>
    </row>
    <row r="302" spans="1:13">
      <c r="A302" s="258"/>
      <c r="B302" s="259"/>
      <c r="C302" s="259"/>
      <c r="D302" s="260"/>
      <c r="E302" s="261"/>
      <c r="F302" s="261"/>
      <c r="G302" s="262"/>
      <c r="H302" s="263"/>
      <c r="I302" s="262"/>
      <c r="J302" s="263"/>
      <c r="K302" s="264"/>
      <c r="L302" s="265"/>
      <c r="M302" s="266"/>
    </row>
    <row r="303" spans="1:13">
      <c r="A303" s="258"/>
      <c r="B303" s="259"/>
      <c r="C303" s="259"/>
      <c r="D303" s="260"/>
      <c r="E303" s="261"/>
      <c r="F303" s="261"/>
      <c r="G303" s="262"/>
      <c r="H303" s="263"/>
      <c r="I303" s="262"/>
      <c r="J303" s="263"/>
      <c r="K303" s="264"/>
      <c r="L303" s="265"/>
      <c r="M303" s="266"/>
    </row>
    <row r="304" spans="1:13">
      <c r="A304" s="258"/>
      <c r="B304" s="259"/>
      <c r="C304" s="259"/>
      <c r="D304" s="260"/>
      <c r="E304" s="261"/>
      <c r="F304" s="261"/>
      <c r="G304" s="262"/>
      <c r="H304" s="263"/>
      <c r="I304" s="262"/>
      <c r="J304" s="263"/>
      <c r="K304" s="264"/>
      <c r="L304" s="265"/>
      <c r="M304" s="266"/>
    </row>
    <row r="305" spans="1:13">
      <c r="A305" s="258"/>
      <c r="B305" s="259"/>
      <c r="C305" s="259"/>
      <c r="D305" s="260"/>
      <c r="E305" s="261"/>
      <c r="F305" s="261"/>
      <c r="G305" s="262"/>
      <c r="H305" s="263"/>
      <c r="I305" s="262"/>
      <c r="J305" s="263"/>
      <c r="K305" s="264"/>
      <c r="L305" s="265"/>
      <c r="M305" s="266"/>
    </row>
    <row r="306" spans="1:13">
      <c r="A306" s="258"/>
      <c r="B306" s="259"/>
      <c r="C306" s="259"/>
      <c r="D306" s="260"/>
      <c r="E306" s="261"/>
      <c r="F306" s="261"/>
      <c r="G306" s="262"/>
      <c r="H306" s="263"/>
      <c r="I306" s="262"/>
      <c r="J306" s="263"/>
      <c r="K306" s="264"/>
      <c r="L306" s="265"/>
      <c r="M306" s="266"/>
    </row>
    <row r="307" spans="1:13">
      <c r="A307" s="258"/>
      <c r="B307" s="259"/>
      <c r="C307" s="259"/>
      <c r="D307" s="260"/>
      <c r="E307" s="261"/>
      <c r="F307" s="261"/>
      <c r="G307" s="262"/>
      <c r="H307" s="263"/>
      <c r="I307" s="262"/>
      <c r="J307" s="263"/>
      <c r="K307" s="264"/>
      <c r="L307" s="265"/>
      <c r="M307" s="266"/>
    </row>
    <row r="308" spans="1:13">
      <c r="A308" s="258"/>
      <c r="B308" s="259"/>
      <c r="C308" s="259"/>
      <c r="D308" s="260"/>
      <c r="E308" s="261"/>
      <c r="F308" s="261"/>
      <c r="G308" s="262"/>
      <c r="H308" s="263"/>
      <c r="I308" s="262"/>
      <c r="J308" s="263"/>
      <c r="K308" s="264"/>
      <c r="L308" s="265"/>
      <c r="M308" s="266"/>
    </row>
    <row r="309" spans="1:13">
      <c r="A309" s="258"/>
      <c r="B309" s="259"/>
      <c r="C309" s="259"/>
      <c r="D309" s="260"/>
      <c r="E309" s="261"/>
      <c r="F309" s="261"/>
      <c r="G309" s="262"/>
      <c r="H309" s="263"/>
      <c r="I309" s="262"/>
      <c r="J309" s="263"/>
      <c r="K309" s="264"/>
      <c r="L309" s="265"/>
      <c r="M309" s="266"/>
    </row>
    <row r="310" spans="1:13">
      <c r="A310" s="258"/>
      <c r="B310" s="259"/>
      <c r="C310" s="259"/>
      <c r="D310" s="260"/>
      <c r="E310" s="261"/>
      <c r="F310" s="261"/>
      <c r="G310" s="262"/>
      <c r="H310" s="263"/>
      <c r="I310" s="262"/>
      <c r="J310" s="263"/>
      <c r="K310" s="264"/>
      <c r="L310" s="265"/>
      <c r="M310" s="266"/>
    </row>
    <row r="311" spans="1:13">
      <c r="A311" s="258"/>
      <c r="B311" s="259"/>
      <c r="C311" s="259"/>
      <c r="D311" s="260"/>
      <c r="E311" s="261"/>
      <c r="F311" s="261"/>
      <c r="G311" s="262"/>
      <c r="H311" s="263"/>
      <c r="I311" s="262"/>
      <c r="J311" s="263"/>
      <c r="K311" s="264"/>
      <c r="L311" s="265"/>
      <c r="M311" s="266"/>
    </row>
    <row r="312" spans="1:13">
      <c r="A312" s="258"/>
      <c r="B312" s="259"/>
      <c r="C312" s="259"/>
      <c r="D312" s="260"/>
      <c r="E312" s="261"/>
      <c r="F312" s="261"/>
      <c r="G312" s="262"/>
      <c r="H312" s="263"/>
      <c r="I312" s="262"/>
      <c r="J312" s="263"/>
      <c r="K312" s="264"/>
      <c r="L312" s="265"/>
      <c r="M312" s="266"/>
    </row>
    <row r="313" spans="1:13">
      <c r="A313" s="258"/>
      <c r="B313" s="259"/>
      <c r="C313" s="259"/>
      <c r="D313" s="260"/>
      <c r="E313" s="261"/>
      <c r="F313" s="261"/>
      <c r="G313" s="262"/>
      <c r="H313" s="263"/>
      <c r="I313" s="262"/>
      <c r="J313" s="263"/>
      <c r="K313" s="264"/>
      <c r="L313" s="265"/>
      <c r="M313" s="266"/>
    </row>
    <row r="314" spans="1:13">
      <c r="A314" s="258"/>
      <c r="B314" s="259"/>
      <c r="C314" s="259"/>
      <c r="D314" s="260"/>
      <c r="E314" s="261"/>
      <c r="F314" s="261"/>
      <c r="G314" s="262"/>
      <c r="H314" s="263"/>
      <c r="I314" s="262"/>
      <c r="J314" s="263"/>
      <c r="K314" s="264"/>
      <c r="L314" s="265"/>
      <c r="M314" s="266"/>
    </row>
    <row r="315" spans="1:13">
      <c r="A315" s="258"/>
      <c r="B315" s="259"/>
      <c r="C315" s="259"/>
      <c r="D315" s="260"/>
      <c r="E315" s="261"/>
      <c r="F315" s="261"/>
      <c r="G315" s="262"/>
      <c r="H315" s="263"/>
      <c r="I315" s="262"/>
      <c r="J315" s="263"/>
      <c r="K315" s="264"/>
      <c r="L315" s="265"/>
      <c r="M315" s="266"/>
    </row>
    <row r="316" spans="1:13">
      <c r="A316" s="258"/>
      <c r="B316" s="259"/>
      <c r="C316" s="259"/>
      <c r="D316" s="260"/>
      <c r="E316" s="261"/>
      <c r="F316" s="261"/>
      <c r="G316" s="262"/>
      <c r="H316" s="263"/>
      <c r="I316" s="262"/>
      <c r="J316" s="263"/>
      <c r="K316" s="264"/>
      <c r="L316" s="265"/>
      <c r="M316" s="266"/>
    </row>
    <row r="317" spans="1:13">
      <c r="A317" s="258"/>
      <c r="B317" s="259"/>
      <c r="C317" s="259"/>
      <c r="D317" s="260"/>
      <c r="E317" s="261"/>
      <c r="F317" s="261"/>
      <c r="G317" s="262"/>
      <c r="H317" s="263"/>
      <c r="I317" s="262"/>
      <c r="J317" s="263"/>
      <c r="K317" s="264"/>
      <c r="L317" s="265"/>
      <c r="M317" s="266"/>
    </row>
    <row r="318" spans="1:13">
      <c r="A318" s="258"/>
      <c r="B318" s="259"/>
      <c r="C318" s="259"/>
      <c r="D318" s="260"/>
      <c r="E318" s="261"/>
      <c r="F318" s="261"/>
      <c r="G318" s="262"/>
      <c r="H318" s="263"/>
      <c r="I318" s="262"/>
      <c r="J318" s="263"/>
      <c r="K318" s="264"/>
      <c r="L318" s="265"/>
      <c r="M318" s="266"/>
    </row>
    <row r="319" spans="1:13">
      <c r="A319" s="258"/>
      <c r="B319" s="259"/>
      <c r="C319" s="259"/>
      <c r="D319" s="260"/>
      <c r="E319" s="261"/>
      <c r="F319" s="261"/>
      <c r="G319" s="262"/>
      <c r="H319" s="263"/>
      <c r="I319" s="262"/>
      <c r="J319" s="263"/>
      <c r="K319" s="264"/>
      <c r="L319" s="265"/>
      <c r="M319" s="266"/>
    </row>
    <row r="320" spans="1:13">
      <c r="A320" s="258"/>
      <c r="B320" s="259"/>
      <c r="C320" s="259"/>
      <c r="D320" s="260"/>
      <c r="E320" s="261"/>
      <c r="F320" s="261"/>
      <c r="G320" s="262"/>
      <c r="H320" s="263"/>
      <c r="I320" s="262"/>
      <c r="J320" s="263"/>
      <c r="K320" s="264"/>
      <c r="L320" s="265"/>
      <c r="M320" s="266"/>
    </row>
    <row r="321" spans="1:13">
      <c r="A321" s="258"/>
      <c r="B321" s="259"/>
      <c r="C321" s="259"/>
      <c r="D321" s="260"/>
      <c r="E321" s="261"/>
      <c r="F321" s="261"/>
      <c r="G321" s="262"/>
      <c r="H321" s="263"/>
      <c r="I321" s="262"/>
      <c r="J321" s="263"/>
      <c r="K321" s="264"/>
      <c r="L321" s="265"/>
      <c r="M321" s="266"/>
    </row>
    <row r="322" spans="1:13">
      <c r="A322" s="258"/>
      <c r="B322" s="259"/>
      <c r="C322" s="259"/>
      <c r="D322" s="260"/>
      <c r="E322" s="261"/>
      <c r="F322" s="261"/>
      <c r="G322" s="262"/>
      <c r="H322" s="263"/>
      <c r="I322" s="262"/>
      <c r="J322" s="263"/>
      <c r="K322" s="264"/>
      <c r="L322" s="265"/>
      <c r="M322" s="266"/>
    </row>
    <row r="323" spans="1:13">
      <c r="A323" s="258"/>
      <c r="B323" s="259"/>
      <c r="C323" s="259"/>
      <c r="D323" s="260"/>
      <c r="E323" s="261"/>
      <c r="F323" s="261"/>
      <c r="G323" s="262"/>
      <c r="H323" s="263"/>
      <c r="I323" s="262"/>
      <c r="J323" s="263"/>
      <c r="K323" s="264"/>
      <c r="L323" s="265"/>
      <c r="M323" s="266"/>
    </row>
    <row r="324" spans="1:13">
      <c r="A324" s="258"/>
      <c r="B324" s="259"/>
      <c r="C324" s="259"/>
      <c r="D324" s="260"/>
      <c r="E324" s="261"/>
      <c r="F324" s="261"/>
      <c r="G324" s="262"/>
      <c r="H324" s="263"/>
      <c r="I324" s="262"/>
      <c r="J324" s="263"/>
      <c r="K324" s="264"/>
      <c r="L324" s="265"/>
      <c r="M324" s="266"/>
    </row>
  </sheetData>
  <mergeCells count="1">
    <mergeCell ref="A1:M1"/>
  </mergeCells>
  <conditionalFormatting sqref="B325:B1048576">
    <cfRule type="duplicateValues" dxfId="25" priority="9"/>
    <cfRule type="duplicateValues" dxfId="24" priority="10"/>
    <cfRule type="duplicateValues" dxfId="23" priority="11"/>
  </conditionalFormatting>
  <conditionalFormatting sqref="B166:B324">
    <cfRule type="duplicateValues" dxfId="22" priority="2"/>
  </conditionalFormatting>
  <conditionalFormatting sqref="B3:B165">
    <cfRule type="duplicateValues" dxfId="21" priority="1"/>
  </conditionalFormatting>
  <dataValidations count="2">
    <dataValidation type="list" allowBlank="1" showInputMessage="1" showErrorMessage="1" error="Solo se admite COP/USD" sqref="M3:M72">
      <formula1>"COP,USD"</formula1>
    </dataValidation>
    <dataValidation type="list" allowBlank="1" showInputMessage="1" showErrorMessage="1" error="Solo se admite Sí/No" sqref="L3:L72">
      <formula1>"Sí,No"</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27"/>
  <sheetViews>
    <sheetView workbookViewId="0">
      <selection activeCell="E10" sqref="E10"/>
    </sheetView>
  </sheetViews>
  <sheetFormatPr baseColWidth="10" defaultColWidth="11.453125" defaultRowHeight="14.5"/>
  <cols>
    <col min="1" max="1" width="14" style="140" bestFit="1" customWidth="1"/>
    <col min="2" max="2" width="19" style="140" bestFit="1" customWidth="1"/>
    <col min="3" max="3" width="11.453125" style="140"/>
    <col min="4" max="4" width="61.08984375" style="140" customWidth="1"/>
    <col min="5" max="5" width="14" style="140" customWidth="1"/>
    <col min="6" max="6" width="11.54296875" style="140" bestFit="1" customWidth="1"/>
    <col min="7" max="7" width="6.54296875" style="140" bestFit="1" customWidth="1"/>
    <col min="8" max="8" width="11.6328125" style="140" bestFit="1" customWidth="1"/>
    <col min="9" max="9" width="6.453125" style="140" bestFit="1" customWidth="1"/>
    <col min="10" max="10" width="26.453125" style="140" customWidth="1"/>
    <col min="11" max="11" width="12" style="140" bestFit="1" customWidth="1"/>
    <col min="12" max="12" width="11.90625" style="140" bestFit="1" customWidth="1"/>
    <col min="13" max="13" width="10" style="140" bestFit="1" customWidth="1"/>
    <col min="14" max="16384" width="11.453125" style="140"/>
  </cols>
  <sheetData>
    <row r="1" spans="1:13">
      <c r="A1" s="321" t="s">
        <v>1447</v>
      </c>
      <c r="B1" s="322"/>
      <c r="C1" s="322"/>
      <c r="D1" s="322"/>
      <c r="E1" s="322"/>
      <c r="F1" s="322"/>
      <c r="G1" s="322"/>
      <c r="H1" s="322"/>
      <c r="I1" s="322"/>
      <c r="J1" s="322"/>
      <c r="K1" s="322"/>
      <c r="L1" s="322"/>
      <c r="M1" s="322"/>
    </row>
    <row r="2" spans="1:13">
      <c r="A2" s="322"/>
      <c r="B2" s="322"/>
      <c r="C2" s="322"/>
      <c r="D2" s="322"/>
      <c r="E2" s="322"/>
      <c r="F2" s="322"/>
      <c r="G2" s="322"/>
      <c r="H2" s="322"/>
      <c r="I2" s="322"/>
      <c r="J2" s="322"/>
      <c r="K2" s="322"/>
      <c r="L2" s="322"/>
      <c r="M2" s="322"/>
    </row>
    <row r="3" spans="1:13">
      <c r="A3" s="323"/>
      <c r="B3" s="323"/>
      <c r="C3" s="323"/>
      <c r="D3" s="323"/>
      <c r="E3" s="323"/>
      <c r="F3" s="323"/>
      <c r="G3" s="323"/>
      <c r="H3" s="323"/>
      <c r="I3" s="323"/>
      <c r="J3" s="323"/>
      <c r="K3" s="323"/>
      <c r="L3" s="323"/>
      <c r="M3" s="323"/>
    </row>
    <row r="4" spans="1:13" ht="32">
      <c r="A4" s="139" t="s">
        <v>1445</v>
      </c>
      <c r="B4" s="139" t="s">
        <v>1430</v>
      </c>
      <c r="C4" s="139" t="s">
        <v>1446</v>
      </c>
      <c r="D4" s="139" t="s">
        <v>4</v>
      </c>
      <c r="E4" s="139" t="s">
        <v>5</v>
      </c>
      <c r="F4" s="139" t="s">
        <v>6</v>
      </c>
      <c r="G4" s="139" t="s">
        <v>7</v>
      </c>
      <c r="H4" s="139" t="s">
        <v>8</v>
      </c>
      <c r="I4" s="139" t="s">
        <v>9</v>
      </c>
      <c r="J4" s="139" t="s">
        <v>1434</v>
      </c>
      <c r="K4" s="139" t="s">
        <v>1432</v>
      </c>
      <c r="L4" s="139" t="s">
        <v>1433</v>
      </c>
      <c r="M4" s="139" t="s">
        <v>3</v>
      </c>
    </row>
    <row r="5" spans="1:13" s="188" customFormat="1">
      <c r="A5" s="185" t="s">
        <v>1447</v>
      </c>
      <c r="B5" s="133" t="s">
        <v>3022</v>
      </c>
      <c r="C5" s="185" t="s">
        <v>3023</v>
      </c>
      <c r="D5" s="133" t="s">
        <v>1868</v>
      </c>
      <c r="E5" s="134">
        <v>1</v>
      </c>
      <c r="F5" s="135" t="s">
        <v>1449</v>
      </c>
      <c r="G5" s="185" t="s">
        <v>15</v>
      </c>
      <c r="H5" s="185" t="s">
        <v>15</v>
      </c>
      <c r="I5" s="185" t="s">
        <v>15</v>
      </c>
      <c r="J5" s="135" t="s">
        <v>1450</v>
      </c>
      <c r="K5" s="186">
        <v>20983</v>
      </c>
      <c r="L5" s="187" t="s">
        <v>173</v>
      </c>
      <c r="M5" s="187" t="s">
        <v>175</v>
      </c>
    </row>
    <row r="6" spans="1:13" s="188" customFormat="1">
      <c r="A6" s="185" t="s">
        <v>1447</v>
      </c>
      <c r="B6" s="133" t="s">
        <v>3024</v>
      </c>
      <c r="C6" s="185" t="s">
        <v>3023</v>
      </c>
      <c r="D6" s="133" t="s">
        <v>1869</v>
      </c>
      <c r="E6" s="134">
        <v>1</v>
      </c>
      <c r="F6" s="135" t="s">
        <v>1449</v>
      </c>
      <c r="G6" s="185" t="s">
        <v>15</v>
      </c>
      <c r="H6" s="185" t="s">
        <v>15</v>
      </c>
      <c r="I6" s="185" t="s">
        <v>15</v>
      </c>
      <c r="J6" s="135" t="s">
        <v>1450</v>
      </c>
      <c r="K6" s="186">
        <v>160780</v>
      </c>
      <c r="L6" s="187" t="s">
        <v>173</v>
      </c>
      <c r="M6" s="187" t="s">
        <v>175</v>
      </c>
    </row>
    <row r="7" spans="1:13" s="188" customFormat="1">
      <c r="A7" s="185" t="s">
        <v>1447</v>
      </c>
      <c r="B7" s="133" t="s">
        <v>3025</v>
      </c>
      <c r="C7" s="185" t="s">
        <v>3023</v>
      </c>
      <c r="D7" s="133" t="s">
        <v>1870</v>
      </c>
      <c r="E7" s="134">
        <v>1</v>
      </c>
      <c r="F7" s="135" t="s">
        <v>1449</v>
      </c>
      <c r="G7" s="185" t="s">
        <v>15</v>
      </c>
      <c r="H7" s="185" t="s">
        <v>15</v>
      </c>
      <c r="I7" s="185" t="s">
        <v>15</v>
      </c>
      <c r="J7" s="135" t="s">
        <v>1450</v>
      </c>
      <c r="K7" s="186">
        <v>65252</v>
      </c>
      <c r="L7" s="187" t="s">
        <v>173</v>
      </c>
      <c r="M7" s="187" t="s">
        <v>175</v>
      </c>
    </row>
    <row r="8" spans="1:13" s="188" customFormat="1">
      <c r="A8" s="185" t="s">
        <v>1447</v>
      </c>
      <c r="B8" s="133" t="s">
        <v>3026</v>
      </c>
      <c r="C8" s="185" t="s">
        <v>3023</v>
      </c>
      <c r="D8" s="133" t="s">
        <v>1871</v>
      </c>
      <c r="E8" s="134">
        <v>1</v>
      </c>
      <c r="F8" s="135" t="s">
        <v>1449</v>
      </c>
      <c r="G8" s="185" t="s">
        <v>15</v>
      </c>
      <c r="H8" s="185" t="s">
        <v>15</v>
      </c>
      <c r="I8" s="185" t="s">
        <v>15</v>
      </c>
      <c r="J8" s="135" t="s">
        <v>1450</v>
      </c>
      <c r="K8" s="186">
        <v>81555</v>
      </c>
      <c r="L8" s="187" t="s">
        <v>173</v>
      </c>
      <c r="M8" s="187" t="s">
        <v>175</v>
      </c>
    </row>
    <row r="9" spans="1:13" s="188" customFormat="1">
      <c r="A9" s="185" t="s">
        <v>1447</v>
      </c>
      <c r="B9" s="133" t="s">
        <v>3027</v>
      </c>
      <c r="C9" s="185" t="s">
        <v>3023</v>
      </c>
      <c r="D9" s="133" t="s">
        <v>1872</v>
      </c>
      <c r="E9" s="134">
        <v>1</v>
      </c>
      <c r="F9" s="135" t="s">
        <v>1449</v>
      </c>
      <c r="G9" s="185" t="s">
        <v>15</v>
      </c>
      <c r="H9" s="185" t="s">
        <v>15</v>
      </c>
      <c r="I9" s="185" t="s">
        <v>15</v>
      </c>
      <c r="J9" s="135" t="s">
        <v>1450</v>
      </c>
      <c r="K9" s="186">
        <v>137724</v>
      </c>
      <c r="L9" s="187" t="s">
        <v>173</v>
      </c>
      <c r="M9" s="187" t="s">
        <v>175</v>
      </c>
    </row>
    <row r="10" spans="1:13" s="188" customFormat="1">
      <c r="A10" s="185" t="s">
        <v>1447</v>
      </c>
      <c r="B10" s="133" t="s">
        <v>3028</v>
      </c>
      <c r="C10" s="185" t="s">
        <v>3023</v>
      </c>
      <c r="D10" s="133" t="s">
        <v>1873</v>
      </c>
      <c r="E10" s="134">
        <v>1</v>
      </c>
      <c r="F10" s="135" t="s">
        <v>1449</v>
      </c>
      <c r="G10" s="185" t="s">
        <v>15</v>
      </c>
      <c r="H10" s="185" t="s">
        <v>15</v>
      </c>
      <c r="I10" s="185" t="s">
        <v>15</v>
      </c>
      <c r="J10" s="135" t="s">
        <v>1450</v>
      </c>
      <c r="K10" s="186">
        <v>24821</v>
      </c>
      <c r="L10" s="187" t="s">
        <v>173</v>
      </c>
      <c r="M10" s="187" t="s">
        <v>175</v>
      </c>
    </row>
    <row r="11" spans="1:13" s="188" customFormat="1">
      <c r="A11" s="185" t="s">
        <v>1447</v>
      </c>
      <c r="B11" s="133" t="s">
        <v>3029</v>
      </c>
      <c r="C11" s="185" t="s">
        <v>3023</v>
      </c>
      <c r="D11" s="133" t="s">
        <v>3030</v>
      </c>
      <c r="E11" s="134">
        <v>1</v>
      </c>
      <c r="F11" s="135" t="s">
        <v>1449</v>
      </c>
      <c r="G11" s="185" t="s">
        <v>15</v>
      </c>
      <c r="H11" s="185" t="s">
        <v>15</v>
      </c>
      <c r="I11" s="185" t="s">
        <v>15</v>
      </c>
      <c r="J11" s="135" t="s">
        <v>1450</v>
      </c>
      <c r="K11" s="186">
        <v>35348</v>
      </c>
      <c r="L11" s="187" t="s">
        <v>173</v>
      </c>
      <c r="M11" s="187" t="s">
        <v>175</v>
      </c>
    </row>
    <row r="12" spans="1:13" s="188" customFormat="1">
      <c r="A12" s="185" t="s">
        <v>1447</v>
      </c>
      <c r="B12" s="133" t="s">
        <v>3031</v>
      </c>
      <c r="C12" s="185" t="s">
        <v>3023</v>
      </c>
      <c r="D12" s="133" t="s">
        <v>3032</v>
      </c>
      <c r="E12" s="134">
        <v>1</v>
      </c>
      <c r="F12" s="135" t="s">
        <v>1449</v>
      </c>
      <c r="G12" s="185" t="s">
        <v>15</v>
      </c>
      <c r="H12" s="185" t="s">
        <v>15</v>
      </c>
      <c r="I12" s="185" t="s">
        <v>15</v>
      </c>
      <c r="J12" s="135" t="s">
        <v>1450</v>
      </c>
      <c r="K12" s="186">
        <v>187402</v>
      </c>
      <c r="L12" s="187" t="s">
        <v>173</v>
      </c>
      <c r="M12" s="187" t="s">
        <v>175</v>
      </c>
    </row>
    <row r="13" spans="1:13" s="188" customFormat="1">
      <c r="A13" s="185" t="s">
        <v>1447</v>
      </c>
      <c r="B13" s="133" t="s">
        <v>3033</v>
      </c>
      <c r="C13" s="185" t="s">
        <v>3023</v>
      </c>
      <c r="D13" s="133" t="s">
        <v>1875</v>
      </c>
      <c r="E13" s="134">
        <v>1</v>
      </c>
      <c r="F13" s="135" t="s">
        <v>1449</v>
      </c>
      <c r="G13" s="185" t="s">
        <v>15</v>
      </c>
      <c r="H13" s="185" t="s">
        <v>15</v>
      </c>
      <c r="I13" s="185" t="s">
        <v>15</v>
      </c>
      <c r="J13" s="135" t="s">
        <v>1450</v>
      </c>
      <c r="K13" s="186">
        <v>98967</v>
      </c>
      <c r="L13" s="187" t="s">
        <v>173</v>
      </c>
      <c r="M13" s="187" t="s">
        <v>175</v>
      </c>
    </row>
    <row r="14" spans="1:13" s="188" customFormat="1">
      <c r="A14" s="185" t="s">
        <v>1447</v>
      </c>
      <c r="B14" s="133" t="s">
        <v>3034</v>
      </c>
      <c r="C14" s="185" t="s">
        <v>3023</v>
      </c>
      <c r="D14" s="133" t="s">
        <v>3035</v>
      </c>
      <c r="E14" s="134">
        <v>1</v>
      </c>
      <c r="F14" s="135" t="s">
        <v>1449</v>
      </c>
      <c r="G14" s="185" t="s">
        <v>15</v>
      </c>
      <c r="H14" s="185" t="s">
        <v>15</v>
      </c>
      <c r="I14" s="185" t="s">
        <v>15</v>
      </c>
      <c r="J14" s="135" t="s">
        <v>1450</v>
      </c>
      <c r="K14" s="186">
        <v>87158</v>
      </c>
      <c r="L14" s="187" t="s">
        <v>173</v>
      </c>
      <c r="M14" s="187" t="s">
        <v>175</v>
      </c>
    </row>
    <row r="15" spans="1:13" s="188" customFormat="1">
      <c r="A15" s="185" t="s">
        <v>1447</v>
      </c>
      <c r="B15" s="133" t="s">
        <v>3036</v>
      </c>
      <c r="C15" s="185" t="s">
        <v>3023</v>
      </c>
      <c r="D15" s="133" t="s">
        <v>3037</v>
      </c>
      <c r="E15" s="134">
        <v>1</v>
      </c>
      <c r="F15" s="135" t="s">
        <v>1449</v>
      </c>
      <c r="G15" s="185" t="s">
        <v>15</v>
      </c>
      <c r="H15" s="185" t="s">
        <v>15</v>
      </c>
      <c r="I15" s="185" t="s">
        <v>15</v>
      </c>
      <c r="J15" s="135" t="s">
        <v>1450</v>
      </c>
      <c r="K15" s="186">
        <v>38716</v>
      </c>
      <c r="L15" s="187" t="s">
        <v>173</v>
      </c>
      <c r="M15" s="187" t="s">
        <v>175</v>
      </c>
    </row>
    <row r="16" spans="1:13" s="188" customFormat="1">
      <c r="A16" s="185" t="s">
        <v>1447</v>
      </c>
      <c r="B16" s="133" t="s">
        <v>3038</v>
      </c>
      <c r="C16" s="185" t="s">
        <v>3023</v>
      </c>
      <c r="D16" s="133" t="s">
        <v>3039</v>
      </c>
      <c r="E16" s="134">
        <v>1</v>
      </c>
      <c r="F16" s="135" t="s">
        <v>1449</v>
      </c>
      <c r="G16" s="185" t="s">
        <v>15</v>
      </c>
      <c r="H16" s="185" t="s">
        <v>15</v>
      </c>
      <c r="I16" s="185" t="s">
        <v>15</v>
      </c>
      <c r="J16" s="135" t="s">
        <v>1450</v>
      </c>
      <c r="K16" s="186">
        <v>10376</v>
      </c>
      <c r="L16" s="187" t="s">
        <v>173</v>
      </c>
      <c r="M16" s="187" t="s">
        <v>175</v>
      </c>
    </row>
    <row r="17" spans="1:13" s="188" customFormat="1">
      <c r="A17" s="185" t="s">
        <v>1447</v>
      </c>
      <c r="B17" s="133" t="s">
        <v>3040</v>
      </c>
      <c r="C17" s="185" t="s">
        <v>3023</v>
      </c>
      <c r="D17" s="133" t="s">
        <v>3041</v>
      </c>
      <c r="E17" s="134">
        <v>1</v>
      </c>
      <c r="F17" s="135" t="s">
        <v>1449</v>
      </c>
      <c r="G17" s="185" t="s">
        <v>15</v>
      </c>
      <c r="H17" s="185" t="s">
        <v>15</v>
      </c>
      <c r="I17" s="185" t="s">
        <v>15</v>
      </c>
      <c r="J17" s="135" t="s">
        <v>1450</v>
      </c>
      <c r="K17" s="186">
        <v>543804</v>
      </c>
      <c r="L17" s="187" t="s">
        <v>173</v>
      </c>
      <c r="M17" s="187" t="s">
        <v>175</v>
      </c>
    </row>
    <row r="18" spans="1:13" s="188" customFormat="1">
      <c r="A18" s="185" t="s">
        <v>1447</v>
      </c>
      <c r="B18" s="133" t="s">
        <v>3042</v>
      </c>
      <c r="C18" s="185" t="s">
        <v>3023</v>
      </c>
      <c r="D18" s="133" t="s">
        <v>3043</v>
      </c>
      <c r="E18" s="134">
        <v>1</v>
      </c>
      <c r="F18" s="135" t="s">
        <v>1449</v>
      </c>
      <c r="G18" s="185" t="s">
        <v>15</v>
      </c>
      <c r="H18" s="185" t="s">
        <v>15</v>
      </c>
      <c r="I18" s="185" t="s">
        <v>15</v>
      </c>
      <c r="J18" s="135" t="s">
        <v>1450</v>
      </c>
      <c r="K18" s="186">
        <v>273426</v>
      </c>
      <c r="L18" s="187" t="s">
        <v>173</v>
      </c>
      <c r="M18" s="187" t="s">
        <v>175</v>
      </c>
    </row>
    <row r="19" spans="1:13" s="188" customFormat="1">
      <c r="A19" s="185" t="s">
        <v>1447</v>
      </c>
      <c r="B19" s="133" t="s">
        <v>3044</v>
      </c>
      <c r="C19" s="185" t="s">
        <v>3023</v>
      </c>
      <c r="D19" s="133" t="s">
        <v>3045</v>
      </c>
      <c r="E19" s="134">
        <v>1</v>
      </c>
      <c r="F19" s="135" t="s">
        <v>1449</v>
      </c>
      <c r="G19" s="185" t="s">
        <v>15</v>
      </c>
      <c r="H19" s="185" t="s">
        <v>15</v>
      </c>
      <c r="I19" s="185" t="s">
        <v>15</v>
      </c>
      <c r="J19" s="135" t="s">
        <v>1450</v>
      </c>
      <c r="K19" s="186">
        <v>681924</v>
      </c>
      <c r="L19" s="187" t="s">
        <v>173</v>
      </c>
      <c r="M19" s="187" t="s">
        <v>175</v>
      </c>
    </row>
    <row r="20" spans="1:13" s="188" customFormat="1">
      <c r="A20" s="185" t="s">
        <v>1447</v>
      </c>
      <c r="B20" s="133" t="s">
        <v>3046</v>
      </c>
      <c r="C20" s="185" t="s">
        <v>3023</v>
      </c>
      <c r="D20" s="133" t="s">
        <v>3047</v>
      </c>
      <c r="E20" s="134">
        <v>1</v>
      </c>
      <c r="F20" s="135" t="s">
        <v>1449</v>
      </c>
      <c r="G20" s="185" t="s">
        <v>15</v>
      </c>
      <c r="H20" s="185" t="s">
        <v>15</v>
      </c>
      <c r="I20" s="185" t="s">
        <v>15</v>
      </c>
      <c r="J20" s="135" t="s">
        <v>1450</v>
      </c>
      <c r="K20" s="186">
        <v>408615</v>
      </c>
      <c r="L20" s="187" t="s">
        <v>173</v>
      </c>
      <c r="M20" s="187" t="s">
        <v>175</v>
      </c>
    </row>
    <row r="21" spans="1:13" s="188" customFormat="1">
      <c r="A21" s="185" t="s">
        <v>1447</v>
      </c>
      <c r="B21" s="133" t="s">
        <v>3048</v>
      </c>
      <c r="C21" s="185" t="s">
        <v>3023</v>
      </c>
      <c r="D21" s="133" t="s">
        <v>3049</v>
      </c>
      <c r="E21" s="134">
        <v>1</v>
      </c>
      <c r="F21" s="135" t="s">
        <v>1449</v>
      </c>
      <c r="G21" s="185" t="s">
        <v>15</v>
      </c>
      <c r="H21" s="185" t="s">
        <v>15</v>
      </c>
      <c r="I21" s="185" t="s">
        <v>15</v>
      </c>
      <c r="J21" s="135" t="s">
        <v>1450</v>
      </c>
      <c r="K21" s="186">
        <v>150753</v>
      </c>
      <c r="L21" s="187" t="s">
        <v>173</v>
      </c>
      <c r="M21" s="187" t="s">
        <v>175</v>
      </c>
    </row>
    <row r="22" spans="1:13" s="188" customFormat="1">
      <c r="A22" s="185" t="s">
        <v>1447</v>
      </c>
      <c r="B22" s="133" t="s">
        <v>3050</v>
      </c>
      <c r="C22" s="185" t="s">
        <v>3023</v>
      </c>
      <c r="D22" s="133" t="s">
        <v>1874</v>
      </c>
      <c r="E22" s="134">
        <v>1</v>
      </c>
      <c r="F22" s="135" t="s">
        <v>1449</v>
      </c>
      <c r="G22" s="185" t="s">
        <v>15</v>
      </c>
      <c r="H22" s="185" t="s">
        <v>15</v>
      </c>
      <c r="I22" s="185" t="s">
        <v>15</v>
      </c>
      <c r="J22" s="135" t="s">
        <v>1450</v>
      </c>
      <c r="K22" s="186">
        <v>4776</v>
      </c>
      <c r="L22" s="187" t="s">
        <v>173</v>
      </c>
      <c r="M22" s="187" t="s">
        <v>175</v>
      </c>
    </row>
    <row r="23" spans="1:13" s="188" customFormat="1">
      <c r="A23" s="185" t="s">
        <v>1447</v>
      </c>
      <c r="B23" s="133" t="s">
        <v>3051</v>
      </c>
      <c r="C23" s="185" t="s">
        <v>3023</v>
      </c>
      <c r="D23" s="133" t="s">
        <v>1874</v>
      </c>
      <c r="E23" s="134">
        <v>1</v>
      </c>
      <c r="F23" s="135" t="s">
        <v>1449</v>
      </c>
      <c r="G23" s="185" t="s">
        <v>15</v>
      </c>
      <c r="H23" s="185" t="s">
        <v>15</v>
      </c>
      <c r="I23" s="185" t="s">
        <v>15</v>
      </c>
      <c r="J23" s="135" t="s">
        <v>1450</v>
      </c>
      <c r="K23" s="186">
        <v>3732</v>
      </c>
      <c r="L23" s="187" t="s">
        <v>173</v>
      </c>
      <c r="M23" s="187" t="s">
        <v>175</v>
      </c>
    </row>
    <row r="24" spans="1:13" s="188" customFormat="1">
      <c r="A24" s="185" t="s">
        <v>1447</v>
      </c>
      <c r="B24" s="133" t="s">
        <v>3052</v>
      </c>
      <c r="C24" s="185" t="s">
        <v>3023</v>
      </c>
      <c r="D24" s="133" t="s">
        <v>1874</v>
      </c>
      <c r="E24" s="134">
        <v>1</v>
      </c>
      <c r="F24" s="135" t="s">
        <v>1449</v>
      </c>
      <c r="G24" s="185" t="s">
        <v>15</v>
      </c>
      <c r="H24" s="185" t="s">
        <v>15</v>
      </c>
      <c r="I24" s="185" t="s">
        <v>15</v>
      </c>
      <c r="J24" s="135" t="s">
        <v>1450</v>
      </c>
      <c r="K24" s="186">
        <v>3012</v>
      </c>
      <c r="L24" s="187" t="s">
        <v>173</v>
      </c>
      <c r="M24" s="187" t="s">
        <v>175</v>
      </c>
    </row>
    <row r="25" spans="1:13" s="188" customFormat="1">
      <c r="A25" s="185" t="s">
        <v>1447</v>
      </c>
      <c r="B25" s="133" t="s">
        <v>3053</v>
      </c>
      <c r="C25" s="185" t="s">
        <v>3023</v>
      </c>
      <c r="D25" s="133" t="s">
        <v>1874</v>
      </c>
      <c r="E25" s="134">
        <v>1</v>
      </c>
      <c r="F25" s="135" t="s">
        <v>1449</v>
      </c>
      <c r="G25" s="185" t="s">
        <v>15</v>
      </c>
      <c r="H25" s="185" t="s">
        <v>15</v>
      </c>
      <c r="I25" s="185" t="s">
        <v>15</v>
      </c>
      <c r="J25" s="135" t="s">
        <v>1450</v>
      </c>
      <c r="K25" s="186">
        <v>2184</v>
      </c>
      <c r="L25" s="187" t="s">
        <v>173</v>
      </c>
      <c r="M25" s="187" t="s">
        <v>175</v>
      </c>
    </row>
    <row r="26" spans="1:13" s="188" customFormat="1">
      <c r="A26" s="185" t="s">
        <v>1447</v>
      </c>
      <c r="B26" s="133" t="s">
        <v>3054</v>
      </c>
      <c r="C26" s="185" t="s">
        <v>3023</v>
      </c>
      <c r="D26" s="133" t="s">
        <v>1874</v>
      </c>
      <c r="E26" s="134">
        <v>1</v>
      </c>
      <c r="F26" s="135" t="s">
        <v>1449</v>
      </c>
      <c r="G26" s="185" t="s">
        <v>15</v>
      </c>
      <c r="H26" s="185" t="s">
        <v>15</v>
      </c>
      <c r="I26" s="185" t="s">
        <v>15</v>
      </c>
      <c r="J26" s="135" t="s">
        <v>1450</v>
      </c>
      <c r="K26" s="186">
        <v>1680</v>
      </c>
      <c r="L26" s="187" t="s">
        <v>173</v>
      </c>
      <c r="M26" s="187" t="s">
        <v>175</v>
      </c>
    </row>
    <row r="27" spans="1:13" s="188" customFormat="1">
      <c r="A27" s="185" t="s">
        <v>1447</v>
      </c>
      <c r="B27" s="133" t="s">
        <v>3055</v>
      </c>
      <c r="C27" s="185" t="s">
        <v>3023</v>
      </c>
      <c r="D27" s="133" t="s">
        <v>1874</v>
      </c>
      <c r="E27" s="134">
        <v>1</v>
      </c>
      <c r="F27" s="135" t="s">
        <v>1449</v>
      </c>
      <c r="G27" s="185" t="s">
        <v>15</v>
      </c>
      <c r="H27" s="185" t="s">
        <v>15</v>
      </c>
      <c r="I27" s="185" t="s">
        <v>15</v>
      </c>
      <c r="J27" s="135" t="s">
        <v>1450</v>
      </c>
      <c r="K27" s="186">
        <v>1248</v>
      </c>
      <c r="L27" s="187" t="s">
        <v>173</v>
      </c>
      <c r="M27" s="187" t="s">
        <v>175</v>
      </c>
    </row>
    <row r="28" spans="1:13" s="188" customFormat="1">
      <c r="A28" s="185" t="s">
        <v>1447</v>
      </c>
      <c r="B28" s="136" t="s">
        <v>3056</v>
      </c>
      <c r="C28" s="185" t="s">
        <v>3023</v>
      </c>
      <c r="D28" s="133" t="s">
        <v>3057</v>
      </c>
      <c r="E28" s="134">
        <v>1</v>
      </c>
      <c r="F28" s="135" t="s">
        <v>1449</v>
      </c>
      <c r="G28" s="185" t="s">
        <v>15</v>
      </c>
      <c r="H28" s="185" t="s">
        <v>15</v>
      </c>
      <c r="I28" s="185" t="s">
        <v>15</v>
      </c>
      <c r="J28" s="135" t="s">
        <v>1450</v>
      </c>
      <c r="K28" s="186">
        <v>0</v>
      </c>
      <c r="L28" s="187" t="s">
        <v>173</v>
      </c>
      <c r="M28" s="187" t="s">
        <v>175</v>
      </c>
    </row>
    <row r="29" spans="1:13" s="188" customFormat="1">
      <c r="A29" s="185" t="s">
        <v>1447</v>
      </c>
      <c r="B29" s="133" t="s">
        <v>3058</v>
      </c>
      <c r="C29" s="185" t="s">
        <v>3023</v>
      </c>
      <c r="D29" s="133" t="s">
        <v>1877</v>
      </c>
      <c r="E29" s="134">
        <v>1</v>
      </c>
      <c r="F29" s="135" t="s">
        <v>1449</v>
      </c>
      <c r="G29" s="185" t="s">
        <v>15</v>
      </c>
      <c r="H29" s="185" t="s">
        <v>15</v>
      </c>
      <c r="I29" s="185" t="s">
        <v>15</v>
      </c>
      <c r="J29" s="135" t="s">
        <v>1450</v>
      </c>
      <c r="K29" s="186">
        <v>86.4</v>
      </c>
      <c r="L29" s="187" t="s">
        <v>173</v>
      </c>
      <c r="M29" s="187" t="s">
        <v>175</v>
      </c>
    </row>
    <row r="30" spans="1:13" s="188" customFormat="1">
      <c r="A30" s="185" t="s">
        <v>1447</v>
      </c>
      <c r="B30" s="133" t="s">
        <v>3059</v>
      </c>
      <c r="C30" s="185" t="s">
        <v>3023</v>
      </c>
      <c r="D30" s="133" t="s">
        <v>1877</v>
      </c>
      <c r="E30" s="134">
        <v>1</v>
      </c>
      <c r="F30" s="135" t="s">
        <v>1449</v>
      </c>
      <c r="G30" s="185" t="s">
        <v>15</v>
      </c>
      <c r="H30" s="185" t="s">
        <v>15</v>
      </c>
      <c r="I30" s="185" t="s">
        <v>15</v>
      </c>
      <c r="J30" s="135" t="s">
        <v>1450</v>
      </c>
      <c r="K30" s="186">
        <v>75</v>
      </c>
      <c r="L30" s="187" t="s">
        <v>173</v>
      </c>
      <c r="M30" s="187" t="s">
        <v>175</v>
      </c>
    </row>
    <row r="31" spans="1:13" s="188" customFormat="1">
      <c r="A31" s="185" t="s">
        <v>1447</v>
      </c>
      <c r="B31" s="133" t="s">
        <v>3060</v>
      </c>
      <c r="C31" s="185" t="s">
        <v>3023</v>
      </c>
      <c r="D31" s="133" t="s">
        <v>1877</v>
      </c>
      <c r="E31" s="134">
        <v>1</v>
      </c>
      <c r="F31" s="135" t="s">
        <v>1449</v>
      </c>
      <c r="G31" s="185" t="s">
        <v>15</v>
      </c>
      <c r="H31" s="185" t="s">
        <v>15</v>
      </c>
      <c r="I31" s="185" t="s">
        <v>15</v>
      </c>
      <c r="J31" s="135" t="s">
        <v>1450</v>
      </c>
      <c r="K31" s="186">
        <v>63.36</v>
      </c>
      <c r="L31" s="187" t="s">
        <v>173</v>
      </c>
      <c r="M31" s="187" t="s">
        <v>175</v>
      </c>
    </row>
    <row r="32" spans="1:13" s="188" customFormat="1">
      <c r="A32" s="185" t="s">
        <v>1447</v>
      </c>
      <c r="B32" s="133" t="s">
        <v>3061</v>
      </c>
      <c r="C32" s="185" t="s">
        <v>3023</v>
      </c>
      <c r="D32" s="133" t="s">
        <v>1877</v>
      </c>
      <c r="E32" s="134">
        <v>1</v>
      </c>
      <c r="F32" s="135" t="s">
        <v>1449</v>
      </c>
      <c r="G32" s="185" t="s">
        <v>15</v>
      </c>
      <c r="H32" s="185" t="s">
        <v>15</v>
      </c>
      <c r="I32" s="185" t="s">
        <v>15</v>
      </c>
      <c r="J32" s="135" t="s">
        <v>1450</v>
      </c>
      <c r="K32" s="186">
        <v>54.84</v>
      </c>
      <c r="L32" s="187" t="s">
        <v>173</v>
      </c>
      <c r="M32" s="187" t="s">
        <v>175</v>
      </c>
    </row>
    <row r="33" spans="1:13" s="188" customFormat="1">
      <c r="A33" s="185" t="s">
        <v>1447</v>
      </c>
      <c r="B33" s="133" t="s">
        <v>3062</v>
      </c>
      <c r="C33" s="185" t="s">
        <v>3023</v>
      </c>
      <c r="D33" s="133" t="s">
        <v>1877</v>
      </c>
      <c r="E33" s="134">
        <v>1</v>
      </c>
      <c r="F33" s="135" t="s">
        <v>1449</v>
      </c>
      <c r="G33" s="185" t="s">
        <v>15</v>
      </c>
      <c r="H33" s="185" t="s">
        <v>15</v>
      </c>
      <c r="I33" s="185" t="s">
        <v>15</v>
      </c>
      <c r="J33" s="135" t="s">
        <v>1450</v>
      </c>
      <c r="K33" s="186">
        <v>46.08</v>
      </c>
      <c r="L33" s="187" t="s">
        <v>173</v>
      </c>
      <c r="M33" s="187" t="s">
        <v>175</v>
      </c>
    </row>
    <row r="34" spans="1:13" s="188" customFormat="1">
      <c r="A34" s="185" t="s">
        <v>1447</v>
      </c>
      <c r="B34" s="133" t="s">
        <v>3063</v>
      </c>
      <c r="C34" s="185" t="s">
        <v>3023</v>
      </c>
      <c r="D34" s="133" t="s">
        <v>1877</v>
      </c>
      <c r="E34" s="134">
        <v>1</v>
      </c>
      <c r="F34" s="135" t="s">
        <v>1449</v>
      </c>
      <c r="G34" s="185" t="s">
        <v>15</v>
      </c>
      <c r="H34" s="185" t="s">
        <v>15</v>
      </c>
      <c r="I34" s="185" t="s">
        <v>15</v>
      </c>
      <c r="J34" s="135" t="s">
        <v>1450</v>
      </c>
      <c r="K34" s="186">
        <v>34.56</v>
      </c>
      <c r="L34" s="187" t="s">
        <v>173</v>
      </c>
      <c r="M34" s="187" t="s">
        <v>175</v>
      </c>
    </row>
    <row r="35" spans="1:13" s="188" customFormat="1">
      <c r="A35" s="185" t="s">
        <v>1447</v>
      </c>
      <c r="B35" s="133" t="s">
        <v>3064</v>
      </c>
      <c r="C35" s="185" t="s">
        <v>3023</v>
      </c>
      <c r="D35" s="133" t="s">
        <v>1877</v>
      </c>
      <c r="E35" s="134">
        <v>1</v>
      </c>
      <c r="F35" s="135" t="s">
        <v>1449</v>
      </c>
      <c r="G35" s="185" t="s">
        <v>15</v>
      </c>
      <c r="H35" s="185" t="s">
        <v>15</v>
      </c>
      <c r="I35" s="185" t="s">
        <v>15</v>
      </c>
      <c r="J35" s="135" t="s">
        <v>1450</v>
      </c>
      <c r="K35" s="186">
        <v>25.92</v>
      </c>
      <c r="L35" s="187" t="s">
        <v>173</v>
      </c>
      <c r="M35" s="187" t="s">
        <v>175</v>
      </c>
    </row>
    <row r="36" spans="1:13" s="188" customFormat="1">
      <c r="A36" s="185" t="s">
        <v>1447</v>
      </c>
      <c r="B36" s="133" t="s">
        <v>3065</v>
      </c>
      <c r="C36" s="185" t="s">
        <v>3023</v>
      </c>
      <c r="D36" s="133" t="s">
        <v>1877</v>
      </c>
      <c r="E36" s="134">
        <v>1</v>
      </c>
      <c r="F36" s="135" t="s">
        <v>1449</v>
      </c>
      <c r="G36" s="185" t="s">
        <v>15</v>
      </c>
      <c r="H36" s="185" t="s">
        <v>15</v>
      </c>
      <c r="I36" s="185" t="s">
        <v>15</v>
      </c>
      <c r="J36" s="135" t="s">
        <v>1450</v>
      </c>
      <c r="K36" s="186">
        <v>14.399999999999999</v>
      </c>
      <c r="L36" s="187" t="s">
        <v>173</v>
      </c>
      <c r="M36" s="187" t="s">
        <v>175</v>
      </c>
    </row>
    <row r="37" spans="1:13" s="188" customFormat="1">
      <c r="A37" s="185" t="s">
        <v>1447</v>
      </c>
      <c r="B37" s="136" t="s">
        <v>3066</v>
      </c>
      <c r="C37" s="185" t="s">
        <v>3023</v>
      </c>
      <c r="D37" s="133" t="s">
        <v>1879</v>
      </c>
      <c r="E37" s="134">
        <v>1</v>
      </c>
      <c r="F37" s="135" t="s">
        <v>1449</v>
      </c>
      <c r="G37" s="185" t="s">
        <v>15</v>
      </c>
      <c r="H37" s="185" t="s">
        <v>15</v>
      </c>
      <c r="I37" s="185" t="s">
        <v>15</v>
      </c>
      <c r="J37" s="135" t="s">
        <v>1450</v>
      </c>
      <c r="K37" s="186">
        <v>0</v>
      </c>
      <c r="L37" s="187" t="s">
        <v>173</v>
      </c>
      <c r="M37" s="187" t="s">
        <v>175</v>
      </c>
    </row>
    <row r="38" spans="1:13" s="188" customFormat="1">
      <c r="A38" s="185" t="s">
        <v>1447</v>
      </c>
      <c r="B38" s="133" t="s">
        <v>3067</v>
      </c>
      <c r="C38" s="185" t="s">
        <v>3023</v>
      </c>
      <c r="D38" s="133" t="s">
        <v>1880</v>
      </c>
      <c r="E38" s="134">
        <v>1</v>
      </c>
      <c r="F38" s="135" t="s">
        <v>1449</v>
      </c>
      <c r="G38" s="185" t="s">
        <v>15</v>
      </c>
      <c r="H38" s="185" t="s">
        <v>15</v>
      </c>
      <c r="I38" s="185" t="s">
        <v>15</v>
      </c>
      <c r="J38" s="135" t="s">
        <v>1450</v>
      </c>
      <c r="K38" s="186">
        <v>100.80000000000001</v>
      </c>
      <c r="L38" s="187" t="s">
        <v>173</v>
      </c>
      <c r="M38" s="187" t="s">
        <v>175</v>
      </c>
    </row>
    <row r="39" spans="1:13" s="188" customFormat="1">
      <c r="A39" s="185" t="s">
        <v>1447</v>
      </c>
      <c r="B39" s="133" t="s">
        <v>3068</v>
      </c>
      <c r="C39" s="185" t="s">
        <v>3023</v>
      </c>
      <c r="D39" s="133" t="s">
        <v>1880</v>
      </c>
      <c r="E39" s="134">
        <v>1</v>
      </c>
      <c r="F39" s="135" t="s">
        <v>1449</v>
      </c>
      <c r="G39" s="185" t="s">
        <v>15</v>
      </c>
      <c r="H39" s="185" t="s">
        <v>15</v>
      </c>
      <c r="I39" s="185" t="s">
        <v>15</v>
      </c>
      <c r="J39" s="135" t="s">
        <v>1450</v>
      </c>
      <c r="K39" s="186">
        <v>67.44</v>
      </c>
      <c r="L39" s="187" t="s">
        <v>173</v>
      </c>
      <c r="M39" s="187" t="s">
        <v>175</v>
      </c>
    </row>
    <row r="40" spans="1:13" s="188" customFormat="1">
      <c r="A40" s="185" t="s">
        <v>1447</v>
      </c>
      <c r="B40" s="133" t="s">
        <v>3069</v>
      </c>
      <c r="C40" s="185" t="s">
        <v>3023</v>
      </c>
      <c r="D40" s="133" t="s">
        <v>1880</v>
      </c>
      <c r="E40" s="134">
        <v>1</v>
      </c>
      <c r="F40" s="135" t="s">
        <v>1449</v>
      </c>
      <c r="G40" s="185" t="s">
        <v>15</v>
      </c>
      <c r="H40" s="185" t="s">
        <v>15</v>
      </c>
      <c r="I40" s="185" t="s">
        <v>15</v>
      </c>
      <c r="J40" s="135" t="s">
        <v>1450</v>
      </c>
      <c r="K40" s="186">
        <v>57</v>
      </c>
      <c r="L40" s="187" t="s">
        <v>173</v>
      </c>
      <c r="M40" s="187" t="s">
        <v>175</v>
      </c>
    </row>
    <row r="41" spans="1:13" s="188" customFormat="1">
      <c r="A41" s="185" t="s">
        <v>1447</v>
      </c>
      <c r="B41" s="133" t="s">
        <v>3070</v>
      </c>
      <c r="C41" s="185" t="s">
        <v>3023</v>
      </c>
      <c r="D41" s="133" t="s">
        <v>1880</v>
      </c>
      <c r="E41" s="134">
        <v>1</v>
      </c>
      <c r="F41" s="135" t="s">
        <v>1449</v>
      </c>
      <c r="G41" s="185" t="s">
        <v>15</v>
      </c>
      <c r="H41" s="185" t="s">
        <v>15</v>
      </c>
      <c r="I41" s="185" t="s">
        <v>15</v>
      </c>
      <c r="J41" s="135" t="s">
        <v>1450</v>
      </c>
      <c r="K41" s="186">
        <v>49.320000000000007</v>
      </c>
      <c r="L41" s="187" t="s">
        <v>173</v>
      </c>
      <c r="M41" s="187" t="s">
        <v>175</v>
      </c>
    </row>
    <row r="42" spans="1:13" s="188" customFormat="1">
      <c r="A42" s="185" t="s">
        <v>1447</v>
      </c>
      <c r="B42" s="133" t="s">
        <v>3071</v>
      </c>
      <c r="C42" s="185" t="s">
        <v>3023</v>
      </c>
      <c r="D42" s="133" t="s">
        <v>1880</v>
      </c>
      <c r="E42" s="134">
        <v>1</v>
      </c>
      <c r="F42" s="135" t="s">
        <v>1449</v>
      </c>
      <c r="G42" s="185" t="s">
        <v>15</v>
      </c>
      <c r="H42" s="185" t="s">
        <v>15</v>
      </c>
      <c r="I42" s="185" t="s">
        <v>15</v>
      </c>
      <c r="J42" s="135" t="s">
        <v>1450</v>
      </c>
      <c r="K42" s="186">
        <v>41.519999999999996</v>
      </c>
      <c r="L42" s="187" t="s">
        <v>173</v>
      </c>
      <c r="M42" s="187" t="s">
        <v>175</v>
      </c>
    </row>
    <row r="43" spans="1:13" s="188" customFormat="1">
      <c r="A43" s="185" t="s">
        <v>1447</v>
      </c>
      <c r="B43" s="133" t="s">
        <v>3072</v>
      </c>
      <c r="C43" s="185" t="s">
        <v>3023</v>
      </c>
      <c r="D43" s="133" t="s">
        <v>1880</v>
      </c>
      <c r="E43" s="134">
        <v>1</v>
      </c>
      <c r="F43" s="135" t="s">
        <v>1449</v>
      </c>
      <c r="G43" s="185" t="s">
        <v>15</v>
      </c>
      <c r="H43" s="185" t="s">
        <v>15</v>
      </c>
      <c r="I43" s="185" t="s">
        <v>15</v>
      </c>
      <c r="J43" s="135" t="s">
        <v>1450</v>
      </c>
      <c r="K43" s="186">
        <v>31.08</v>
      </c>
      <c r="L43" s="187" t="s">
        <v>173</v>
      </c>
      <c r="M43" s="187" t="s">
        <v>175</v>
      </c>
    </row>
    <row r="44" spans="1:13" s="188" customFormat="1">
      <c r="A44" s="185" t="s">
        <v>1447</v>
      </c>
      <c r="B44" s="133" t="s">
        <v>3073</v>
      </c>
      <c r="C44" s="185" t="s">
        <v>3023</v>
      </c>
      <c r="D44" s="133" t="s">
        <v>1880</v>
      </c>
      <c r="E44" s="134">
        <v>1</v>
      </c>
      <c r="F44" s="135" t="s">
        <v>1449</v>
      </c>
      <c r="G44" s="185" t="s">
        <v>15</v>
      </c>
      <c r="H44" s="185" t="s">
        <v>15</v>
      </c>
      <c r="I44" s="185" t="s">
        <v>15</v>
      </c>
      <c r="J44" s="135" t="s">
        <v>1450</v>
      </c>
      <c r="K44" s="186">
        <v>23.4</v>
      </c>
      <c r="L44" s="187" t="s">
        <v>173</v>
      </c>
      <c r="M44" s="187" t="s">
        <v>175</v>
      </c>
    </row>
    <row r="45" spans="1:13" s="188" customFormat="1">
      <c r="A45" s="185" t="s">
        <v>1447</v>
      </c>
      <c r="B45" s="133" t="s">
        <v>3074</v>
      </c>
      <c r="C45" s="185" t="s">
        <v>3023</v>
      </c>
      <c r="D45" s="133" t="s">
        <v>1880</v>
      </c>
      <c r="E45" s="134">
        <v>1</v>
      </c>
      <c r="F45" s="135" t="s">
        <v>1449</v>
      </c>
      <c r="G45" s="185" t="s">
        <v>15</v>
      </c>
      <c r="H45" s="185" t="s">
        <v>15</v>
      </c>
      <c r="I45" s="185" t="s">
        <v>15</v>
      </c>
      <c r="J45" s="135" t="s">
        <v>1450</v>
      </c>
      <c r="K45" s="186">
        <v>12.96</v>
      </c>
      <c r="L45" s="187" t="s">
        <v>173</v>
      </c>
      <c r="M45" s="187" t="s">
        <v>175</v>
      </c>
    </row>
    <row r="46" spans="1:13" s="188" customFormat="1">
      <c r="A46" s="185" t="s">
        <v>1447</v>
      </c>
      <c r="B46" s="133" t="s">
        <v>3075</v>
      </c>
      <c r="C46" s="185" t="s">
        <v>3023</v>
      </c>
      <c r="D46" s="133" t="s">
        <v>1881</v>
      </c>
      <c r="E46" s="134">
        <v>1</v>
      </c>
      <c r="F46" s="135" t="s">
        <v>1449</v>
      </c>
      <c r="G46" s="185" t="s">
        <v>15</v>
      </c>
      <c r="H46" s="185" t="s">
        <v>15</v>
      </c>
      <c r="I46" s="185" t="s">
        <v>15</v>
      </c>
      <c r="J46" s="135" t="s">
        <v>1450</v>
      </c>
      <c r="K46" s="186">
        <v>143676</v>
      </c>
      <c r="L46" s="187" t="s">
        <v>173</v>
      </c>
      <c r="M46" s="187" t="s">
        <v>175</v>
      </c>
    </row>
    <row r="47" spans="1:13" s="188" customFormat="1">
      <c r="A47" s="185" t="s">
        <v>1447</v>
      </c>
      <c r="B47" s="133" t="s">
        <v>3076</v>
      </c>
      <c r="C47" s="185" t="s">
        <v>3023</v>
      </c>
      <c r="D47" s="133" t="s">
        <v>1882</v>
      </c>
      <c r="E47" s="134">
        <v>1</v>
      </c>
      <c r="F47" s="135" t="s">
        <v>1449</v>
      </c>
      <c r="G47" s="185" t="s">
        <v>15</v>
      </c>
      <c r="H47" s="185" t="s">
        <v>15</v>
      </c>
      <c r="I47" s="185" t="s">
        <v>15</v>
      </c>
      <c r="J47" s="135" t="s">
        <v>1450</v>
      </c>
      <c r="K47" s="186">
        <v>503340</v>
      </c>
      <c r="L47" s="187" t="s">
        <v>173</v>
      </c>
      <c r="M47" s="187" t="s">
        <v>175</v>
      </c>
    </row>
    <row r="48" spans="1:13" s="188" customFormat="1">
      <c r="A48" s="185" t="s">
        <v>1447</v>
      </c>
      <c r="B48" s="133" t="s">
        <v>3077</v>
      </c>
      <c r="C48" s="185" t="s">
        <v>3023</v>
      </c>
      <c r="D48" s="133" t="s">
        <v>1882</v>
      </c>
      <c r="E48" s="134">
        <v>1</v>
      </c>
      <c r="F48" s="135" t="s">
        <v>1449</v>
      </c>
      <c r="G48" s="185" t="s">
        <v>15</v>
      </c>
      <c r="H48" s="185" t="s">
        <v>15</v>
      </c>
      <c r="I48" s="185" t="s">
        <v>15</v>
      </c>
      <c r="J48" s="135" t="s">
        <v>1450</v>
      </c>
      <c r="K48" s="186">
        <v>264900</v>
      </c>
      <c r="L48" s="187" t="s">
        <v>173</v>
      </c>
      <c r="M48" s="187" t="s">
        <v>175</v>
      </c>
    </row>
    <row r="49" spans="1:13" s="188" customFormat="1">
      <c r="A49" s="185" t="s">
        <v>1447</v>
      </c>
      <c r="B49" s="136" t="s">
        <v>3078</v>
      </c>
      <c r="C49" s="185" t="s">
        <v>3023</v>
      </c>
      <c r="D49" s="133" t="s">
        <v>1883</v>
      </c>
      <c r="E49" s="134">
        <v>1</v>
      </c>
      <c r="F49" s="135" t="s">
        <v>1449</v>
      </c>
      <c r="G49" s="185" t="s">
        <v>15</v>
      </c>
      <c r="H49" s="185" t="s">
        <v>15</v>
      </c>
      <c r="I49" s="185" t="s">
        <v>15</v>
      </c>
      <c r="J49" s="135" t="s">
        <v>1450</v>
      </c>
      <c r="K49" s="186">
        <v>0</v>
      </c>
      <c r="L49" s="187" t="s">
        <v>173</v>
      </c>
      <c r="M49" s="187" t="s">
        <v>175</v>
      </c>
    </row>
    <row r="50" spans="1:13" s="188" customFormat="1">
      <c r="A50" s="185" t="s">
        <v>1447</v>
      </c>
      <c r="B50" s="133" t="s">
        <v>3079</v>
      </c>
      <c r="C50" s="185" t="s">
        <v>3023</v>
      </c>
      <c r="D50" s="133" t="s">
        <v>1884</v>
      </c>
      <c r="E50" s="134">
        <v>1</v>
      </c>
      <c r="F50" s="135" t="s">
        <v>1449</v>
      </c>
      <c r="G50" s="185" t="s">
        <v>15</v>
      </c>
      <c r="H50" s="185" t="s">
        <v>15</v>
      </c>
      <c r="I50" s="185" t="s">
        <v>15</v>
      </c>
      <c r="J50" s="135" t="s">
        <v>1450</v>
      </c>
      <c r="K50" s="186">
        <v>285768</v>
      </c>
      <c r="L50" s="187" t="s">
        <v>173</v>
      </c>
      <c r="M50" s="187" t="s">
        <v>175</v>
      </c>
    </row>
    <row r="51" spans="1:13" s="188" customFormat="1">
      <c r="A51" s="185" t="s">
        <v>1447</v>
      </c>
      <c r="B51" s="133" t="s">
        <v>3080</v>
      </c>
      <c r="C51" s="185" t="s">
        <v>3023</v>
      </c>
      <c r="D51" s="133" t="s">
        <v>1885</v>
      </c>
      <c r="E51" s="134">
        <v>1</v>
      </c>
      <c r="F51" s="135" t="s">
        <v>1449</v>
      </c>
      <c r="G51" s="185" t="s">
        <v>15</v>
      </c>
      <c r="H51" s="185" t="s">
        <v>15</v>
      </c>
      <c r="I51" s="185" t="s">
        <v>15</v>
      </c>
      <c r="J51" s="135" t="s">
        <v>1450</v>
      </c>
      <c r="K51" s="186">
        <v>199764</v>
      </c>
      <c r="L51" s="187" t="s">
        <v>173</v>
      </c>
      <c r="M51" s="187" t="s">
        <v>175</v>
      </c>
    </row>
    <row r="52" spans="1:13" s="188" customFormat="1">
      <c r="A52" s="185" t="s">
        <v>1447</v>
      </c>
      <c r="B52" s="133" t="s">
        <v>3081</v>
      </c>
      <c r="C52" s="185" t="s">
        <v>3023</v>
      </c>
      <c r="D52" s="133" t="s">
        <v>1886</v>
      </c>
      <c r="E52" s="134">
        <v>1</v>
      </c>
      <c r="F52" s="135" t="s">
        <v>1449</v>
      </c>
      <c r="G52" s="185" t="s">
        <v>15</v>
      </c>
      <c r="H52" s="185" t="s">
        <v>15</v>
      </c>
      <c r="I52" s="185" t="s">
        <v>15</v>
      </c>
      <c r="J52" s="135" t="s">
        <v>1450</v>
      </c>
      <c r="K52" s="186">
        <v>684564</v>
      </c>
      <c r="L52" s="187" t="s">
        <v>173</v>
      </c>
      <c r="M52" s="187" t="s">
        <v>175</v>
      </c>
    </row>
    <row r="53" spans="1:13" s="188" customFormat="1">
      <c r="A53" s="185" t="s">
        <v>1447</v>
      </c>
      <c r="B53" s="133" t="s">
        <v>3082</v>
      </c>
      <c r="C53" s="185" t="s">
        <v>3023</v>
      </c>
      <c r="D53" s="133" t="s">
        <v>1887</v>
      </c>
      <c r="E53" s="134">
        <v>1</v>
      </c>
      <c r="F53" s="135" t="s">
        <v>1449</v>
      </c>
      <c r="G53" s="185" t="s">
        <v>15</v>
      </c>
      <c r="H53" s="185" t="s">
        <v>15</v>
      </c>
      <c r="I53" s="185" t="s">
        <v>15</v>
      </c>
      <c r="J53" s="135" t="s">
        <v>1450</v>
      </c>
      <c r="K53" s="186">
        <v>427968</v>
      </c>
      <c r="L53" s="187" t="s">
        <v>173</v>
      </c>
      <c r="M53" s="187" t="s">
        <v>175</v>
      </c>
    </row>
    <row r="54" spans="1:13" s="188" customFormat="1">
      <c r="A54" s="185" t="s">
        <v>1447</v>
      </c>
      <c r="B54" s="136" t="s">
        <v>3083</v>
      </c>
      <c r="C54" s="185" t="s">
        <v>3023</v>
      </c>
      <c r="D54" s="133" t="s">
        <v>1888</v>
      </c>
      <c r="E54" s="134">
        <v>1</v>
      </c>
      <c r="F54" s="135" t="s">
        <v>1449</v>
      </c>
      <c r="G54" s="185" t="s">
        <v>15</v>
      </c>
      <c r="H54" s="185" t="s">
        <v>15</v>
      </c>
      <c r="I54" s="185" t="s">
        <v>15</v>
      </c>
      <c r="J54" s="135" t="s">
        <v>1450</v>
      </c>
      <c r="K54" s="186">
        <v>0</v>
      </c>
      <c r="L54" s="187" t="s">
        <v>173</v>
      </c>
      <c r="M54" s="187" t="s">
        <v>175</v>
      </c>
    </row>
    <row r="55" spans="1:13" s="188" customFormat="1">
      <c r="A55" s="185" t="s">
        <v>1447</v>
      </c>
      <c r="B55" s="133" t="s">
        <v>3084</v>
      </c>
      <c r="C55" s="185" t="s">
        <v>3023</v>
      </c>
      <c r="D55" s="133" t="s">
        <v>1889</v>
      </c>
      <c r="E55" s="134">
        <v>1</v>
      </c>
      <c r="F55" s="135" t="s">
        <v>1449</v>
      </c>
      <c r="G55" s="185" t="s">
        <v>15</v>
      </c>
      <c r="H55" s="185" t="s">
        <v>15</v>
      </c>
      <c r="I55" s="185" t="s">
        <v>15</v>
      </c>
      <c r="J55" s="135" t="s">
        <v>1450</v>
      </c>
      <c r="K55" s="186">
        <v>914112</v>
      </c>
      <c r="L55" s="187" t="s">
        <v>173</v>
      </c>
      <c r="M55" s="187" t="s">
        <v>175</v>
      </c>
    </row>
    <row r="56" spans="1:13" s="188" customFormat="1">
      <c r="A56" s="185" t="s">
        <v>1447</v>
      </c>
      <c r="B56" s="133" t="s">
        <v>3085</v>
      </c>
      <c r="C56" s="185" t="s">
        <v>3023</v>
      </c>
      <c r="D56" s="133" t="s">
        <v>1893</v>
      </c>
      <c r="E56" s="134">
        <v>1</v>
      </c>
      <c r="F56" s="135" t="s">
        <v>1449</v>
      </c>
      <c r="G56" s="185" t="s">
        <v>15</v>
      </c>
      <c r="H56" s="185" t="s">
        <v>15</v>
      </c>
      <c r="I56" s="185" t="s">
        <v>15</v>
      </c>
      <c r="J56" s="135" t="s">
        <v>1450</v>
      </c>
      <c r="K56" s="186">
        <v>844236</v>
      </c>
      <c r="L56" s="187" t="s">
        <v>173</v>
      </c>
      <c r="M56" s="187" t="s">
        <v>175</v>
      </c>
    </row>
    <row r="57" spans="1:13" s="188" customFormat="1">
      <c r="A57" s="185" t="s">
        <v>1447</v>
      </c>
      <c r="B57" s="133" t="s">
        <v>3086</v>
      </c>
      <c r="C57" s="185" t="s">
        <v>3023</v>
      </c>
      <c r="D57" s="133" t="s">
        <v>1894</v>
      </c>
      <c r="E57" s="134">
        <v>1</v>
      </c>
      <c r="F57" s="135" t="s">
        <v>1449</v>
      </c>
      <c r="G57" s="185" t="s">
        <v>15</v>
      </c>
      <c r="H57" s="185" t="s">
        <v>15</v>
      </c>
      <c r="I57" s="185" t="s">
        <v>15</v>
      </c>
      <c r="J57" s="135" t="s">
        <v>1450</v>
      </c>
      <c r="K57" s="186">
        <v>903108</v>
      </c>
      <c r="L57" s="187" t="s">
        <v>173</v>
      </c>
      <c r="M57" s="187" t="s">
        <v>175</v>
      </c>
    </row>
    <row r="58" spans="1:13" s="188" customFormat="1">
      <c r="A58" s="185" t="s">
        <v>1447</v>
      </c>
      <c r="B58" s="133" t="s">
        <v>3087</v>
      </c>
      <c r="C58" s="185" t="s">
        <v>3023</v>
      </c>
      <c r="D58" s="133" t="s">
        <v>1895</v>
      </c>
      <c r="E58" s="134">
        <v>1</v>
      </c>
      <c r="F58" s="135" t="s">
        <v>1449</v>
      </c>
      <c r="G58" s="185" t="s">
        <v>15</v>
      </c>
      <c r="H58" s="185" t="s">
        <v>15</v>
      </c>
      <c r="I58" s="185" t="s">
        <v>15</v>
      </c>
      <c r="J58" s="135" t="s">
        <v>1450</v>
      </c>
      <c r="K58" s="186">
        <v>942828</v>
      </c>
      <c r="L58" s="187" t="s">
        <v>173</v>
      </c>
      <c r="M58" s="187" t="s">
        <v>175</v>
      </c>
    </row>
    <row r="59" spans="1:13" s="188" customFormat="1">
      <c r="A59" s="185" t="s">
        <v>1447</v>
      </c>
      <c r="B59" s="133" t="s">
        <v>3088</v>
      </c>
      <c r="C59" s="185" t="s">
        <v>3023</v>
      </c>
      <c r="D59" s="133" t="s">
        <v>1896</v>
      </c>
      <c r="E59" s="134">
        <v>1</v>
      </c>
      <c r="F59" s="135" t="s">
        <v>1449</v>
      </c>
      <c r="G59" s="185" t="s">
        <v>15</v>
      </c>
      <c r="H59" s="185" t="s">
        <v>15</v>
      </c>
      <c r="I59" s="185" t="s">
        <v>15</v>
      </c>
      <c r="J59" s="135" t="s">
        <v>1450</v>
      </c>
      <c r="K59" s="186">
        <v>684564</v>
      </c>
      <c r="L59" s="187" t="s">
        <v>173</v>
      </c>
      <c r="M59" s="187" t="s">
        <v>175</v>
      </c>
    </row>
    <row r="60" spans="1:13" s="188" customFormat="1">
      <c r="A60" s="185" t="s">
        <v>1447</v>
      </c>
      <c r="B60" s="133" t="s">
        <v>3089</v>
      </c>
      <c r="C60" s="185" t="s">
        <v>3023</v>
      </c>
      <c r="D60" s="133" t="s">
        <v>1898</v>
      </c>
      <c r="E60" s="134">
        <v>1</v>
      </c>
      <c r="F60" s="135" t="s">
        <v>1449</v>
      </c>
      <c r="G60" s="185" t="s">
        <v>15</v>
      </c>
      <c r="H60" s="185" t="s">
        <v>15</v>
      </c>
      <c r="I60" s="185" t="s">
        <v>15</v>
      </c>
      <c r="J60" s="135" t="s">
        <v>1450</v>
      </c>
      <c r="K60" s="186">
        <v>1292280</v>
      </c>
      <c r="L60" s="187" t="s">
        <v>173</v>
      </c>
      <c r="M60" s="187" t="s">
        <v>175</v>
      </c>
    </row>
    <row r="61" spans="1:13" s="188" customFormat="1">
      <c r="A61" s="185" t="s">
        <v>1447</v>
      </c>
      <c r="B61" s="136" t="s">
        <v>3090</v>
      </c>
      <c r="C61" s="185" t="s">
        <v>3023</v>
      </c>
      <c r="D61" s="133" t="s">
        <v>1899</v>
      </c>
      <c r="E61" s="134">
        <v>1</v>
      </c>
      <c r="F61" s="135" t="s">
        <v>1449</v>
      </c>
      <c r="G61" s="185" t="s">
        <v>15</v>
      </c>
      <c r="H61" s="185" t="s">
        <v>15</v>
      </c>
      <c r="I61" s="185" t="s">
        <v>15</v>
      </c>
      <c r="J61" s="135" t="s">
        <v>1450</v>
      </c>
      <c r="K61" s="186">
        <v>0</v>
      </c>
      <c r="L61" s="187" t="s">
        <v>173</v>
      </c>
      <c r="M61" s="187" t="s">
        <v>175</v>
      </c>
    </row>
    <row r="62" spans="1:13" s="188" customFormat="1">
      <c r="A62" s="185" t="s">
        <v>1447</v>
      </c>
      <c r="B62" s="133" t="s">
        <v>3091</v>
      </c>
      <c r="C62" s="185" t="s">
        <v>3023</v>
      </c>
      <c r="D62" s="133" t="s">
        <v>1900</v>
      </c>
      <c r="E62" s="134">
        <v>1</v>
      </c>
      <c r="F62" s="135" t="s">
        <v>1449</v>
      </c>
      <c r="G62" s="185" t="s">
        <v>15</v>
      </c>
      <c r="H62" s="185" t="s">
        <v>15</v>
      </c>
      <c r="I62" s="185" t="s">
        <v>15</v>
      </c>
      <c r="J62" s="135" t="s">
        <v>1450</v>
      </c>
      <c r="K62" s="186">
        <v>213264</v>
      </c>
      <c r="L62" s="187" t="s">
        <v>173</v>
      </c>
      <c r="M62" s="187" t="s">
        <v>175</v>
      </c>
    </row>
    <row r="63" spans="1:13" s="188" customFormat="1">
      <c r="A63" s="185" t="s">
        <v>1447</v>
      </c>
      <c r="B63" s="133" t="s">
        <v>3092</v>
      </c>
      <c r="C63" s="185" t="s">
        <v>3023</v>
      </c>
      <c r="D63" s="133" t="s">
        <v>1901</v>
      </c>
      <c r="E63" s="134">
        <v>1</v>
      </c>
      <c r="F63" s="135" t="s">
        <v>1449</v>
      </c>
      <c r="G63" s="185" t="s">
        <v>15</v>
      </c>
      <c r="H63" s="185" t="s">
        <v>15</v>
      </c>
      <c r="I63" s="185" t="s">
        <v>15</v>
      </c>
      <c r="J63" s="135" t="s">
        <v>1450</v>
      </c>
      <c r="K63" s="186">
        <v>242844</v>
      </c>
      <c r="L63" s="187" t="s">
        <v>173</v>
      </c>
      <c r="M63" s="187" t="s">
        <v>175</v>
      </c>
    </row>
    <row r="64" spans="1:13" s="188" customFormat="1">
      <c r="A64" s="185" t="s">
        <v>1447</v>
      </c>
      <c r="B64" s="133" t="s">
        <v>3093</v>
      </c>
      <c r="C64" s="185" t="s">
        <v>3023</v>
      </c>
      <c r="D64" s="133" t="s">
        <v>1902</v>
      </c>
      <c r="E64" s="134">
        <v>1</v>
      </c>
      <c r="F64" s="135" t="s">
        <v>1449</v>
      </c>
      <c r="G64" s="185" t="s">
        <v>15</v>
      </c>
      <c r="H64" s="185" t="s">
        <v>15</v>
      </c>
      <c r="I64" s="185" t="s">
        <v>15</v>
      </c>
      <c r="J64" s="135" t="s">
        <v>1450</v>
      </c>
      <c r="K64" s="186">
        <v>315432</v>
      </c>
      <c r="L64" s="187" t="s">
        <v>173</v>
      </c>
      <c r="M64" s="187" t="s">
        <v>175</v>
      </c>
    </row>
    <row r="65" spans="1:13" s="188" customFormat="1">
      <c r="A65" s="185" t="s">
        <v>1447</v>
      </c>
      <c r="B65" s="133" t="s">
        <v>3094</v>
      </c>
      <c r="C65" s="185" t="s">
        <v>3023</v>
      </c>
      <c r="D65" s="133" t="s">
        <v>1903</v>
      </c>
      <c r="E65" s="134">
        <v>1</v>
      </c>
      <c r="F65" s="135" t="s">
        <v>1449</v>
      </c>
      <c r="G65" s="185" t="s">
        <v>15</v>
      </c>
      <c r="H65" s="185" t="s">
        <v>15</v>
      </c>
      <c r="I65" s="185" t="s">
        <v>15</v>
      </c>
      <c r="J65" s="135" t="s">
        <v>1450</v>
      </c>
      <c r="K65" s="186">
        <v>453552</v>
      </c>
      <c r="L65" s="187" t="s">
        <v>173</v>
      </c>
      <c r="M65" s="187" t="s">
        <v>175</v>
      </c>
    </row>
    <row r="66" spans="1:13" s="188" customFormat="1">
      <c r="A66" s="185" t="s">
        <v>1447</v>
      </c>
      <c r="B66" s="133" t="s">
        <v>3095</v>
      </c>
      <c r="C66" s="185" t="s">
        <v>3023</v>
      </c>
      <c r="D66" s="133" t="s">
        <v>1904</v>
      </c>
      <c r="E66" s="134">
        <v>1</v>
      </c>
      <c r="F66" s="135" t="s">
        <v>1449</v>
      </c>
      <c r="G66" s="185" t="s">
        <v>15</v>
      </c>
      <c r="H66" s="185" t="s">
        <v>15</v>
      </c>
      <c r="I66" s="185" t="s">
        <v>15</v>
      </c>
      <c r="J66" s="135" t="s">
        <v>1450</v>
      </c>
      <c r="K66" s="186">
        <v>747348</v>
      </c>
      <c r="L66" s="187" t="s">
        <v>173</v>
      </c>
      <c r="M66" s="187" t="s">
        <v>175</v>
      </c>
    </row>
    <row r="67" spans="1:13" s="188" customFormat="1">
      <c r="A67" s="185" t="s">
        <v>1447</v>
      </c>
      <c r="B67" s="133" t="s">
        <v>3096</v>
      </c>
      <c r="C67" s="185" t="s">
        <v>3023</v>
      </c>
      <c r="D67" s="133" t="s">
        <v>1905</v>
      </c>
      <c r="E67" s="134">
        <v>1</v>
      </c>
      <c r="F67" s="135" t="s">
        <v>1449</v>
      </c>
      <c r="G67" s="185" t="s">
        <v>15</v>
      </c>
      <c r="H67" s="185" t="s">
        <v>15</v>
      </c>
      <c r="I67" s="185" t="s">
        <v>15</v>
      </c>
      <c r="J67" s="135" t="s">
        <v>1450</v>
      </c>
      <c r="K67" s="186">
        <v>1011612</v>
      </c>
      <c r="L67" s="187" t="s">
        <v>173</v>
      </c>
      <c r="M67" s="187" t="s">
        <v>175</v>
      </c>
    </row>
    <row r="68" spans="1:13" s="188" customFormat="1">
      <c r="A68" s="185" t="s">
        <v>1447</v>
      </c>
      <c r="B68" s="133" t="s">
        <v>3097</v>
      </c>
      <c r="C68" s="185" t="s">
        <v>3023</v>
      </c>
      <c r="D68" s="133" t="s">
        <v>1906</v>
      </c>
      <c r="E68" s="134">
        <v>1</v>
      </c>
      <c r="F68" s="135" t="s">
        <v>1449</v>
      </c>
      <c r="G68" s="185" t="s">
        <v>15</v>
      </c>
      <c r="H68" s="185" t="s">
        <v>15</v>
      </c>
      <c r="I68" s="185" t="s">
        <v>15</v>
      </c>
      <c r="J68" s="135" t="s">
        <v>1450</v>
      </c>
      <c r="K68" s="186">
        <v>1732908</v>
      </c>
      <c r="L68" s="187" t="s">
        <v>173</v>
      </c>
      <c r="M68" s="187" t="s">
        <v>175</v>
      </c>
    </row>
    <row r="69" spans="1:13" s="188" customFormat="1">
      <c r="A69" s="185" t="s">
        <v>1447</v>
      </c>
      <c r="B69" s="133" t="s">
        <v>3098</v>
      </c>
      <c r="C69" s="185" t="s">
        <v>3023</v>
      </c>
      <c r="D69" s="133" t="s">
        <v>1907</v>
      </c>
      <c r="E69" s="134">
        <v>1</v>
      </c>
      <c r="F69" s="135" t="s">
        <v>1449</v>
      </c>
      <c r="G69" s="185" t="s">
        <v>15</v>
      </c>
      <c r="H69" s="185" t="s">
        <v>15</v>
      </c>
      <c r="I69" s="185" t="s">
        <v>15</v>
      </c>
      <c r="J69" s="135" t="s">
        <v>1450</v>
      </c>
      <c r="K69" s="186">
        <v>747348</v>
      </c>
      <c r="L69" s="187" t="s">
        <v>173</v>
      </c>
      <c r="M69" s="187" t="s">
        <v>175</v>
      </c>
    </row>
    <row r="70" spans="1:13" s="188" customFormat="1">
      <c r="A70" s="185" t="s">
        <v>1447</v>
      </c>
      <c r="B70" s="133" t="s">
        <v>3099</v>
      </c>
      <c r="C70" s="185" t="s">
        <v>3023</v>
      </c>
      <c r="D70" s="133" t="s">
        <v>3100</v>
      </c>
      <c r="E70" s="134">
        <v>1</v>
      </c>
      <c r="F70" s="135" t="s">
        <v>1449</v>
      </c>
      <c r="G70" s="185" t="s">
        <v>15</v>
      </c>
      <c r="H70" s="185" t="s">
        <v>15</v>
      </c>
      <c r="I70" s="185" t="s">
        <v>15</v>
      </c>
      <c r="J70" s="135" t="s">
        <v>1450</v>
      </c>
      <c r="K70" s="186">
        <v>5976</v>
      </c>
      <c r="L70" s="187" t="s">
        <v>173</v>
      </c>
      <c r="M70" s="187" t="s">
        <v>175</v>
      </c>
    </row>
    <row r="71" spans="1:13" s="188" customFormat="1">
      <c r="A71" s="185" t="s">
        <v>1447</v>
      </c>
      <c r="B71" s="133" t="s">
        <v>3101</v>
      </c>
      <c r="C71" s="185" t="s">
        <v>3023</v>
      </c>
      <c r="D71" s="133" t="s">
        <v>3102</v>
      </c>
      <c r="E71" s="134">
        <v>1</v>
      </c>
      <c r="F71" s="135" t="s">
        <v>1449</v>
      </c>
      <c r="G71" s="185" t="s">
        <v>15</v>
      </c>
      <c r="H71" s="185" t="s">
        <v>15</v>
      </c>
      <c r="I71" s="185" t="s">
        <v>15</v>
      </c>
      <c r="J71" s="135" t="s">
        <v>1450</v>
      </c>
      <c r="K71" s="186">
        <v>2016</v>
      </c>
      <c r="L71" s="187" t="s">
        <v>173</v>
      </c>
      <c r="M71" s="187" t="s">
        <v>175</v>
      </c>
    </row>
    <row r="72" spans="1:13" s="188" customFormat="1">
      <c r="A72" s="185" t="s">
        <v>1447</v>
      </c>
      <c r="B72" s="133" t="s">
        <v>3103</v>
      </c>
      <c r="C72" s="185" t="s">
        <v>3023</v>
      </c>
      <c r="D72" s="133" t="s">
        <v>3104</v>
      </c>
      <c r="E72" s="134">
        <v>1</v>
      </c>
      <c r="F72" s="135" t="s">
        <v>1449</v>
      </c>
      <c r="G72" s="185" t="s">
        <v>15</v>
      </c>
      <c r="H72" s="185" t="s">
        <v>15</v>
      </c>
      <c r="I72" s="185" t="s">
        <v>15</v>
      </c>
      <c r="J72" s="135" t="s">
        <v>1450</v>
      </c>
      <c r="K72" s="186">
        <v>996</v>
      </c>
      <c r="L72" s="187" t="s">
        <v>173</v>
      </c>
      <c r="M72" s="187" t="s">
        <v>175</v>
      </c>
    </row>
    <row r="73" spans="1:13" s="188" customFormat="1">
      <c r="A73" s="185" t="s">
        <v>1447</v>
      </c>
      <c r="B73" s="133" t="s">
        <v>3105</v>
      </c>
      <c r="C73" s="185" t="s">
        <v>3023</v>
      </c>
      <c r="D73" s="133" t="s">
        <v>3106</v>
      </c>
      <c r="E73" s="134">
        <v>1</v>
      </c>
      <c r="F73" s="135" t="s">
        <v>1449</v>
      </c>
      <c r="G73" s="185" t="s">
        <v>15</v>
      </c>
      <c r="H73" s="185" t="s">
        <v>15</v>
      </c>
      <c r="I73" s="185" t="s">
        <v>15</v>
      </c>
      <c r="J73" s="135" t="s">
        <v>1450</v>
      </c>
      <c r="K73" s="186">
        <v>1464</v>
      </c>
      <c r="L73" s="187" t="s">
        <v>173</v>
      </c>
      <c r="M73" s="187" t="s">
        <v>175</v>
      </c>
    </row>
    <row r="74" spans="1:13" s="188" customFormat="1">
      <c r="A74" s="185" t="s">
        <v>1447</v>
      </c>
      <c r="B74" s="133" t="s">
        <v>3107</v>
      </c>
      <c r="C74" s="185" t="s">
        <v>3023</v>
      </c>
      <c r="D74" s="133" t="s">
        <v>3108</v>
      </c>
      <c r="E74" s="134">
        <v>1</v>
      </c>
      <c r="F74" s="135" t="s">
        <v>1449</v>
      </c>
      <c r="G74" s="185" t="s">
        <v>15</v>
      </c>
      <c r="H74" s="185" t="s">
        <v>15</v>
      </c>
      <c r="I74" s="185" t="s">
        <v>15</v>
      </c>
      <c r="J74" s="135" t="s">
        <v>1450</v>
      </c>
      <c r="K74" s="186">
        <v>2016</v>
      </c>
      <c r="L74" s="187" t="s">
        <v>173</v>
      </c>
      <c r="M74" s="187" t="s">
        <v>175</v>
      </c>
    </row>
    <row r="75" spans="1:13" s="188" customFormat="1">
      <c r="A75" s="185" t="s">
        <v>1447</v>
      </c>
      <c r="B75" s="133" t="s">
        <v>3109</v>
      </c>
      <c r="C75" s="185" t="s">
        <v>3023</v>
      </c>
      <c r="D75" s="133" t="s">
        <v>3110</v>
      </c>
      <c r="E75" s="134">
        <v>1</v>
      </c>
      <c r="F75" s="135" t="s">
        <v>1449</v>
      </c>
      <c r="G75" s="185" t="s">
        <v>15</v>
      </c>
      <c r="H75" s="185" t="s">
        <v>15</v>
      </c>
      <c r="I75" s="185" t="s">
        <v>15</v>
      </c>
      <c r="J75" s="135" t="s">
        <v>1450</v>
      </c>
      <c r="K75" s="186">
        <v>50</v>
      </c>
      <c r="L75" s="187" t="s">
        <v>173</v>
      </c>
      <c r="M75" s="187" t="s">
        <v>175</v>
      </c>
    </row>
    <row r="76" spans="1:13" s="188" customFormat="1">
      <c r="A76" s="185" t="s">
        <v>1447</v>
      </c>
      <c r="B76" s="136" t="s">
        <v>3111</v>
      </c>
      <c r="C76" s="185" t="s">
        <v>3023</v>
      </c>
      <c r="D76" s="133" t="s">
        <v>1908</v>
      </c>
      <c r="E76" s="134">
        <v>1</v>
      </c>
      <c r="F76" s="135" t="s">
        <v>1449</v>
      </c>
      <c r="G76" s="185" t="s">
        <v>15</v>
      </c>
      <c r="H76" s="185" t="s">
        <v>15</v>
      </c>
      <c r="I76" s="185" t="s">
        <v>15</v>
      </c>
      <c r="J76" s="135" t="s">
        <v>1450</v>
      </c>
      <c r="K76" s="186">
        <v>0</v>
      </c>
      <c r="L76" s="187" t="s">
        <v>173</v>
      </c>
      <c r="M76" s="187" t="s">
        <v>175</v>
      </c>
    </row>
    <row r="77" spans="1:13" s="188" customFormat="1">
      <c r="A77" s="185" t="s">
        <v>1447</v>
      </c>
      <c r="B77" s="133" t="s">
        <v>3112</v>
      </c>
      <c r="C77" s="185" t="s">
        <v>3023</v>
      </c>
      <c r="D77" s="133" t="s">
        <v>3113</v>
      </c>
      <c r="E77" s="134">
        <v>1</v>
      </c>
      <c r="F77" s="135" t="s">
        <v>1449</v>
      </c>
      <c r="G77" s="185" t="s">
        <v>15</v>
      </c>
      <c r="H77" s="185" t="s">
        <v>15</v>
      </c>
      <c r="I77" s="185" t="s">
        <v>15</v>
      </c>
      <c r="J77" s="135" t="s">
        <v>1450</v>
      </c>
      <c r="K77" s="186">
        <v>46692</v>
      </c>
      <c r="L77" s="187" t="s">
        <v>173</v>
      </c>
      <c r="M77" s="187" t="s">
        <v>175</v>
      </c>
    </row>
    <row r="78" spans="1:13" s="188" customFormat="1">
      <c r="A78" s="185" t="s">
        <v>1447</v>
      </c>
      <c r="B78" s="133" t="s">
        <v>3114</v>
      </c>
      <c r="C78" s="185" t="s">
        <v>3023</v>
      </c>
      <c r="D78" s="133" t="s">
        <v>1878</v>
      </c>
      <c r="E78" s="134">
        <v>1</v>
      </c>
      <c r="F78" s="135" t="s">
        <v>1449</v>
      </c>
      <c r="G78" s="185" t="s">
        <v>15</v>
      </c>
      <c r="H78" s="185" t="s">
        <v>15</v>
      </c>
      <c r="I78" s="185" t="s">
        <v>15</v>
      </c>
      <c r="J78" s="135" t="s">
        <v>1450</v>
      </c>
      <c r="K78" s="186">
        <v>4860</v>
      </c>
      <c r="L78" s="187" t="s">
        <v>173</v>
      </c>
      <c r="M78" s="187" t="s">
        <v>175</v>
      </c>
    </row>
    <row r="79" spans="1:13" s="188" customFormat="1">
      <c r="A79" s="185" t="s">
        <v>1447</v>
      </c>
      <c r="B79" s="133" t="s">
        <v>3115</v>
      </c>
      <c r="C79" s="185" t="s">
        <v>3023</v>
      </c>
      <c r="D79" s="133" t="s">
        <v>1878</v>
      </c>
      <c r="E79" s="134">
        <v>1</v>
      </c>
      <c r="F79" s="135" t="s">
        <v>1449</v>
      </c>
      <c r="G79" s="185" t="s">
        <v>15</v>
      </c>
      <c r="H79" s="185" t="s">
        <v>15</v>
      </c>
      <c r="I79" s="185" t="s">
        <v>15</v>
      </c>
      <c r="J79" s="135" t="s">
        <v>1450</v>
      </c>
      <c r="K79" s="186">
        <v>3612</v>
      </c>
      <c r="L79" s="187" t="s">
        <v>173</v>
      </c>
      <c r="M79" s="187" t="s">
        <v>175</v>
      </c>
    </row>
    <row r="80" spans="1:13" s="188" customFormat="1">
      <c r="A80" s="185" t="s">
        <v>1447</v>
      </c>
      <c r="B80" s="133" t="s">
        <v>3116</v>
      </c>
      <c r="C80" s="185" t="s">
        <v>3023</v>
      </c>
      <c r="D80" s="133" t="s">
        <v>1878</v>
      </c>
      <c r="E80" s="134">
        <v>1</v>
      </c>
      <c r="F80" s="135" t="s">
        <v>1449</v>
      </c>
      <c r="G80" s="185" t="s">
        <v>15</v>
      </c>
      <c r="H80" s="185" t="s">
        <v>15</v>
      </c>
      <c r="I80" s="185" t="s">
        <v>15</v>
      </c>
      <c r="J80" s="135" t="s">
        <v>1450</v>
      </c>
      <c r="K80" s="186">
        <v>2748</v>
      </c>
      <c r="L80" s="187" t="s">
        <v>173</v>
      </c>
      <c r="M80" s="187" t="s">
        <v>175</v>
      </c>
    </row>
    <row r="81" spans="1:13" s="188" customFormat="1">
      <c r="A81" s="185" t="s">
        <v>1447</v>
      </c>
      <c r="B81" s="133" t="s">
        <v>3117</v>
      </c>
      <c r="C81" s="185" t="s">
        <v>3023</v>
      </c>
      <c r="D81" s="133" t="s">
        <v>1878</v>
      </c>
      <c r="E81" s="134">
        <v>1</v>
      </c>
      <c r="F81" s="135" t="s">
        <v>1449</v>
      </c>
      <c r="G81" s="185" t="s">
        <v>15</v>
      </c>
      <c r="H81" s="185" t="s">
        <v>15</v>
      </c>
      <c r="I81" s="185" t="s">
        <v>15</v>
      </c>
      <c r="J81" s="135" t="s">
        <v>1450</v>
      </c>
      <c r="K81" s="186">
        <v>1788</v>
      </c>
      <c r="L81" s="187" t="s">
        <v>173</v>
      </c>
      <c r="M81" s="187" t="s">
        <v>175</v>
      </c>
    </row>
    <row r="82" spans="1:13" s="188" customFormat="1">
      <c r="A82" s="185" t="s">
        <v>1447</v>
      </c>
      <c r="B82" s="133" t="s">
        <v>3118</v>
      </c>
      <c r="C82" s="185" t="s">
        <v>3023</v>
      </c>
      <c r="D82" s="133" t="s">
        <v>1878</v>
      </c>
      <c r="E82" s="134">
        <v>1</v>
      </c>
      <c r="F82" s="135" t="s">
        <v>1449</v>
      </c>
      <c r="G82" s="185" t="s">
        <v>15</v>
      </c>
      <c r="H82" s="185" t="s">
        <v>15</v>
      </c>
      <c r="I82" s="185" t="s">
        <v>15</v>
      </c>
      <c r="J82" s="135" t="s">
        <v>1450</v>
      </c>
      <c r="K82" s="186">
        <v>1092</v>
      </c>
      <c r="L82" s="187" t="s">
        <v>173</v>
      </c>
      <c r="M82" s="187" t="s">
        <v>175</v>
      </c>
    </row>
    <row r="83" spans="1:13" s="188" customFormat="1">
      <c r="A83" s="185" t="s">
        <v>1447</v>
      </c>
      <c r="B83" s="133" t="s">
        <v>3119</v>
      </c>
      <c r="C83" s="185" t="s">
        <v>3023</v>
      </c>
      <c r="D83" s="133" t="s">
        <v>1892</v>
      </c>
      <c r="E83" s="134">
        <v>1</v>
      </c>
      <c r="F83" s="135" t="s">
        <v>1449</v>
      </c>
      <c r="G83" s="185" t="s">
        <v>15</v>
      </c>
      <c r="H83" s="185" t="s">
        <v>15</v>
      </c>
      <c r="I83" s="185" t="s">
        <v>15</v>
      </c>
      <c r="J83" s="135" t="s">
        <v>1450</v>
      </c>
      <c r="K83" s="186">
        <v>4860</v>
      </c>
      <c r="L83" s="187" t="s">
        <v>173</v>
      </c>
      <c r="M83" s="187" t="s">
        <v>175</v>
      </c>
    </row>
    <row r="84" spans="1:13" s="188" customFormat="1">
      <c r="A84" s="185" t="s">
        <v>1447</v>
      </c>
      <c r="B84" s="133" t="s">
        <v>3120</v>
      </c>
      <c r="C84" s="185" t="s">
        <v>3023</v>
      </c>
      <c r="D84" s="133" t="s">
        <v>1892</v>
      </c>
      <c r="E84" s="134">
        <v>1</v>
      </c>
      <c r="F84" s="135" t="s">
        <v>1449</v>
      </c>
      <c r="G84" s="185" t="s">
        <v>15</v>
      </c>
      <c r="H84" s="185" t="s">
        <v>15</v>
      </c>
      <c r="I84" s="185" t="s">
        <v>15</v>
      </c>
      <c r="J84" s="135" t="s">
        <v>1450</v>
      </c>
      <c r="K84" s="186">
        <v>3612</v>
      </c>
      <c r="L84" s="187" t="s">
        <v>173</v>
      </c>
      <c r="M84" s="187" t="s">
        <v>175</v>
      </c>
    </row>
    <row r="85" spans="1:13" s="188" customFormat="1">
      <c r="A85" s="185" t="s">
        <v>1447</v>
      </c>
      <c r="B85" s="133" t="s">
        <v>3121</v>
      </c>
      <c r="C85" s="185" t="s">
        <v>3023</v>
      </c>
      <c r="D85" s="133" t="s">
        <v>1892</v>
      </c>
      <c r="E85" s="134">
        <v>1</v>
      </c>
      <c r="F85" s="135" t="s">
        <v>1449</v>
      </c>
      <c r="G85" s="185" t="s">
        <v>15</v>
      </c>
      <c r="H85" s="185" t="s">
        <v>15</v>
      </c>
      <c r="I85" s="185" t="s">
        <v>15</v>
      </c>
      <c r="J85" s="135" t="s">
        <v>1450</v>
      </c>
      <c r="K85" s="186">
        <v>2748</v>
      </c>
      <c r="L85" s="187" t="s">
        <v>173</v>
      </c>
      <c r="M85" s="187" t="s">
        <v>175</v>
      </c>
    </row>
    <row r="86" spans="1:13" s="188" customFormat="1">
      <c r="A86" s="185" t="s">
        <v>1447</v>
      </c>
      <c r="B86" s="133" t="s">
        <v>3122</v>
      </c>
      <c r="C86" s="185" t="s">
        <v>3023</v>
      </c>
      <c r="D86" s="133" t="s">
        <v>1892</v>
      </c>
      <c r="E86" s="134">
        <v>1</v>
      </c>
      <c r="F86" s="135" t="s">
        <v>1449</v>
      </c>
      <c r="G86" s="185" t="s">
        <v>15</v>
      </c>
      <c r="H86" s="185" t="s">
        <v>15</v>
      </c>
      <c r="I86" s="185" t="s">
        <v>15</v>
      </c>
      <c r="J86" s="135" t="s">
        <v>1450</v>
      </c>
      <c r="K86" s="186">
        <v>1788</v>
      </c>
      <c r="L86" s="187" t="s">
        <v>173</v>
      </c>
      <c r="M86" s="187" t="s">
        <v>175</v>
      </c>
    </row>
    <row r="87" spans="1:13" s="188" customFormat="1">
      <c r="A87" s="185" t="s">
        <v>1447</v>
      </c>
      <c r="B87" s="133" t="s">
        <v>3123</v>
      </c>
      <c r="C87" s="185" t="s">
        <v>3023</v>
      </c>
      <c r="D87" s="133" t="s">
        <v>1892</v>
      </c>
      <c r="E87" s="134">
        <v>1</v>
      </c>
      <c r="F87" s="135" t="s">
        <v>1449</v>
      </c>
      <c r="G87" s="185" t="s">
        <v>15</v>
      </c>
      <c r="H87" s="185" t="s">
        <v>15</v>
      </c>
      <c r="I87" s="185" t="s">
        <v>15</v>
      </c>
      <c r="J87" s="135" t="s">
        <v>1450</v>
      </c>
      <c r="K87" s="186">
        <v>1092</v>
      </c>
      <c r="L87" s="187" t="s">
        <v>173</v>
      </c>
      <c r="M87" s="187" t="s">
        <v>175</v>
      </c>
    </row>
    <row r="88" spans="1:13" s="188" customFormat="1">
      <c r="A88" s="185" t="s">
        <v>1447</v>
      </c>
      <c r="B88" s="133" t="s">
        <v>3124</v>
      </c>
      <c r="C88" s="185" t="s">
        <v>3023</v>
      </c>
      <c r="D88" s="133" t="s">
        <v>1890</v>
      </c>
      <c r="E88" s="134">
        <v>1</v>
      </c>
      <c r="F88" s="135" t="s">
        <v>1449</v>
      </c>
      <c r="G88" s="185" t="s">
        <v>15</v>
      </c>
      <c r="H88" s="185" t="s">
        <v>15</v>
      </c>
      <c r="I88" s="185" t="s">
        <v>15</v>
      </c>
      <c r="J88" s="135" t="s">
        <v>1450</v>
      </c>
      <c r="K88" s="186">
        <v>49800</v>
      </c>
      <c r="L88" s="187" t="s">
        <v>173</v>
      </c>
      <c r="M88" s="187" t="s">
        <v>175</v>
      </c>
    </row>
    <row r="89" spans="1:13" s="188" customFormat="1">
      <c r="A89" s="185" t="s">
        <v>1447</v>
      </c>
      <c r="B89" s="133" t="s">
        <v>3125</v>
      </c>
      <c r="C89" s="185" t="s">
        <v>3023</v>
      </c>
      <c r="D89" s="133" t="s">
        <v>1890</v>
      </c>
      <c r="E89" s="134">
        <v>1</v>
      </c>
      <c r="F89" s="135" t="s">
        <v>1449</v>
      </c>
      <c r="G89" s="185" t="s">
        <v>15</v>
      </c>
      <c r="H89" s="185" t="s">
        <v>15</v>
      </c>
      <c r="I89" s="185" t="s">
        <v>15</v>
      </c>
      <c r="J89" s="135" t="s">
        <v>1450</v>
      </c>
      <c r="K89" s="186">
        <v>33624</v>
      </c>
      <c r="L89" s="187" t="s">
        <v>173</v>
      </c>
      <c r="M89" s="187" t="s">
        <v>175</v>
      </c>
    </row>
    <row r="90" spans="1:13" s="188" customFormat="1">
      <c r="A90" s="185" t="s">
        <v>1447</v>
      </c>
      <c r="B90" s="133" t="s">
        <v>3126</v>
      </c>
      <c r="C90" s="185" t="s">
        <v>3023</v>
      </c>
      <c r="D90" s="133" t="s">
        <v>1890</v>
      </c>
      <c r="E90" s="134">
        <v>1</v>
      </c>
      <c r="F90" s="135" t="s">
        <v>1449</v>
      </c>
      <c r="G90" s="185" t="s">
        <v>15</v>
      </c>
      <c r="H90" s="185" t="s">
        <v>15</v>
      </c>
      <c r="I90" s="185" t="s">
        <v>15</v>
      </c>
      <c r="J90" s="135" t="s">
        <v>1450</v>
      </c>
      <c r="K90" s="186">
        <v>25524</v>
      </c>
      <c r="L90" s="187" t="s">
        <v>173</v>
      </c>
      <c r="M90" s="187" t="s">
        <v>175</v>
      </c>
    </row>
    <row r="91" spans="1:13" s="188" customFormat="1">
      <c r="A91" s="185" t="s">
        <v>1447</v>
      </c>
      <c r="B91" s="133" t="s">
        <v>3127</v>
      </c>
      <c r="C91" s="185" t="s">
        <v>3023</v>
      </c>
      <c r="D91" s="133" t="s">
        <v>1890</v>
      </c>
      <c r="E91" s="134">
        <v>1</v>
      </c>
      <c r="F91" s="135" t="s">
        <v>1449</v>
      </c>
      <c r="G91" s="185" t="s">
        <v>15</v>
      </c>
      <c r="H91" s="185" t="s">
        <v>15</v>
      </c>
      <c r="I91" s="185" t="s">
        <v>15</v>
      </c>
      <c r="J91" s="135" t="s">
        <v>1450</v>
      </c>
      <c r="K91" s="186">
        <v>19920</v>
      </c>
      <c r="L91" s="187" t="s">
        <v>173</v>
      </c>
      <c r="M91" s="187" t="s">
        <v>175</v>
      </c>
    </row>
    <row r="92" spans="1:13" s="188" customFormat="1">
      <c r="A92" s="185" t="s">
        <v>1447</v>
      </c>
      <c r="B92" s="133" t="s">
        <v>3128</v>
      </c>
      <c r="C92" s="185" t="s">
        <v>3023</v>
      </c>
      <c r="D92" s="133" t="s">
        <v>1890</v>
      </c>
      <c r="E92" s="134">
        <v>1</v>
      </c>
      <c r="F92" s="135" t="s">
        <v>1449</v>
      </c>
      <c r="G92" s="185" t="s">
        <v>15</v>
      </c>
      <c r="H92" s="185" t="s">
        <v>15</v>
      </c>
      <c r="I92" s="185" t="s">
        <v>15</v>
      </c>
      <c r="J92" s="135" t="s">
        <v>1450</v>
      </c>
      <c r="K92" s="186">
        <v>17304</v>
      </c>
      <c r="L92" s="187" t="s">
        <v>173</v>
      </c>
      <c r="M92" s="187" t="s">
        <v>175</v>
      </c>
    </row>
    <row r="93" spans="1:13" s="188" customFormat="1">
      <c r="A93" s="185" t="s">
        <v>1447</v>
      </c>
      <c r="B93" s="133" t="s">
        <v>3129</v>
      </c>
      <c r="C93" s="185" t="s">
        <v>3023</v>
      </c>
      <c r="D93" s="133" t="s">
        <v>1890</v>
      </c>
      <c r="E93" s="134">
        <v>1</v>
      </c>
      <c r="F93" s="135" t="s">
        <v>1449</v>
      </c>
      <c r="G93" s="185" t="s">
        <v>15</v>
      </c>
      <c r="H93" s="185" t="s">
        <v>15</v>
      </c>
      <c r="I93" s="185" t="s">
        <v>15</v>
      </c>
      <c r="J93" s="135" t="s">
        <v>1450</v>
      </c>
      <c r="K93" s="186">
        <v>14688</v>
      </c>
      <c r="L93" s="187" t="s">
        <v>173</v>
      </c>
      <c r="M93" s="187" t="s">
        <v>175</v>
      </c>
    </row>
    <row r="94" spans="1:13" s="188" customFormat="1">
      <c r="A94" s="185" t="s">
        <v>1447</v>
      </c>
      <c r="B94" s="133" t="s">
        <v>3130</v>
      </c>
      <c r="C94" s="185" t="s">
        <v>3023</v>
      </c>
      <c r="D94" s="133" t="s">
        <v>1890</v>
      </c>
      <c r="E94" s="134">
        <v>1</v>
      </c>
      <c r="F94" s="135" t="s">
        <v>1449</v>
      </c>
      <c r="G94" s="185" t="s">
        <v>15</v>
      </c>
      <c r="H94" s="185" t="s">
        <v>15</v>
      </c>
      <c r="I94" s="185" t="s">
        <v>15</v>
      </c>
      <c r="J94" s="135" t="s">
        <v>1450</v>
      </c>
      <c r="K94" s="186">
        <v>12204</v>
      </c>
      <c r="L94" s="187" t="s">
        <v>173</v>
      </c>
      <c r="M94" s="187" t="s">
        <v>175</v>
      </c>
    </row>
    <row r="95" spans="1:13" s="188" customFormat="1">
      <c r="A95" s="185" t="s">
        <v>1447</v>
      </c>
      <c r="B95" s="133" t="s">
        <v>3131</v>
      </c>
      <c r="C95" s="185" t="s">
        <v>3023</v>
      </c>
      <c r="D95" s="133" t="s">
        <v>1890</v>
      </c>
      <c r="E95" s="134">
        <v>1</v>
      </c>
      <c r="F95" s="135" t="s">
        <v>1449</v>
      </c>
      <c r="G95" s="185" t="s">
        <v>15</v>
      </c>
      <c r="H95" s="185" t="s">
        <v>15</v>
      </c>
      <c r="I95" s="185" t="s">
        <v>15</v>
      </c>
      <c r="J95" s="135" t="s">
        <v>1450</v>
      </c>
      <c r="K95" s="186">
        <v>9840</v>
      </c>
      <c r="L95" s="187" t="s">
        <v>173</v>
      </c>
      <c r="M95" s="187" t="s">
        <v>175</v>
      </c>
    </row>
    <row r="96" spans="1:13" s="188" customFormat="1">
      <c r="A96" s="185" t="s">
        <v>1447</v>
      </c>
      <c r="B96" s="133" t="s">
        <v>3132</v>
      </c>
      <c r="C96" s="185" t="s">
        <v>3023</v>
      </c>
      <c r="D96" s="133" t="s">
        <v>3133</v>
      </c>
      <c r="E96" s="134">
        <v>1</v>
      </c>
      <c r="F96" s="135" t="s">
        <v>1449</v>
      </c>
      <c r="G96" s="185" t="s">
        <v>15</v>
      </c>
      <c r="H96" s="185" t="s">
        <v>15</v>
      </c>
      <c r="I96" s="185" t="s">
        <v>15</v>
      </c>
      <c r="J96" s="135" t="s">
        <v>1450</v>
      </c>
      <c r="K96" s="186">
        <v>5076</v>
      </c>
      <c r="L96" s="187" t="s">
        <v>173</v>
      </c>
      <c r="M96" s="187" t="s">
        <v>175</v>
      </c>
    </row>
    <row r="97" spans="1:13" s="188" customFormat="1">
      <c r="A97" s="185" t="s">
        <v>1447</v>
      </c>
      <c r="B97" s="133" t="s">
        <v>3134</v>
      </c>
      <c r="C97" s="185" t="s">
        <v>3023</v>
      </c>
      <c r="D97" s="133" t="s">
        <v>3133</v>
      </c>
      <c r="E97" s="134">
        <v>1</v>
      </c>
      <c r="F97" s="135" t="s">
        <v>1449</v>
      </c>
      <c r="G97" s="185" t="s">
        <v>15</v>
      </c>
      <c r="H97" s="185" t="s">
        <v>15</v>
      </c>
      <c r="I97" s="185" t="s">
        <v>15</v>
      </c>
      <c r="J97" s="135" t="s">
        <v>1450</v>
      </c>
      <c r="K97" s="186">
        <v>4296</v>
      </c>
      <c r="L97" s="187" t="s">
        <v>173</v>
      </c>
      <c r="M97" s="187" t="s">
        <v>175</v>
      </c>
    </row>
    <row r="98" spans="1:13" s="188" customFormat="1">
      <c r="A98" s="185" t="s">
        <v>1447</v>
      </c>
      <c r="B98" s="133" t="s">
        <v>3135</v>
      </c>
      <c r="C98" s="185" t="s">
        <v>3023</v>
      </c>
      <c r="D98" s="133" t="s">
        <v>3136</v>
      </c>
      <c r="E98" s="134">
        <v>1</v>
      </c>
      <c r="F98" s="135" t="s">
        <v>1449</v>
      </c>
      <c r="G98" s="185" t="s">
        <v>15</v>
      </c>
      <c r="H98" s="185" t="s">
        <v>15</v>
      </c>
      <c r="I98" s="185" t="s">
        <v>15</v>
      </c>
      <c r="J98" s="135" t="s">
        <v>1450</v>
      </c>
      <c r="K98" s="186">
        <v>4968</v>
      </c>
      <c r="L98" s="187" t="s">
        <v>173</v>
      </c>
      <c r="M98" s="187" t="s">
        <v>175</v>
      </c>
    </row>
    <row r="99" spans="1:13" s="188" customFormat="1">
      <c r="A99" s="185" t="s">
        <v>1447</v>
      </c>
      <c r="B99" s="133" t="s">
        <v>3137</v>
      </c>
      <c r="C99" s="185" t="s">
        <v>3023</v>
      </c>
      <c r="D99" s="133" t="s">
        <v>1909</v>
      </c>
      <c r="E99" s="134">
        <v>1</v>
      </c>
      <c r="F99" s="135" t="s">
        <v>1449</v>
      </c>
      <c r="G99" s="185" t="s">
        <v>15</v>
      </c>
      <c r="H99" s="185" t="s">
        <v>15</v>
      </c>
      <c r="I99" s="185" t="s">
        <v>15</v>
      </c>
      <c r="J99" s="135" t="s">
        <v>1450</v>
      </c>
      <c r="K99" s="186">
        <v>8628</v>
      </c>
      <c r="L99" s="187" t="s">
        <v>173</v>
      </c>
      <c r="M99" s="187" t="s">
        <v>175</v>
      </c>
    </row>
    <row r="100" spans="1:13" s="188" customFormat="1">
      <c r="A100" s="185" t="s">
        <v>1447</v>
      </c>
      <c r="B100" s="133" t="s">
        <v>3138</v>
      </c>
      <c r="C100" s="185" t="s">
        <v>3023</v>
      </c>
      <c r="D100" s="133" t="s">
        <v>1909</v>
      </c>
      <c r="E100" s="134">
        <v>1</v>
      </c>
      <c r="F100" s="135" t="s">
        <v>1449</v>
      </c>
      <c r="G100" s="185" t="s">
        <v>15</v>
      </c>
      <c r="H100" s="185" t="s">
        <v>15</v>
      </c>
      <c r="I100" s="185" t="s">
        <v>15</v>
      </c>
      <c r="J100" s="135" t="s">
        <v>1450</v>
      </c>
      <c r="K100" s="186">
        <v>4788</v>
      </c>
      <c r="L100" s="187" t="s">
        <v>173</v>
      </c>
      <c r="M100" s="187" t="s">
        <v>175</v>
      </c>
    </row>
    <row r="101" spans="1:13" s="188" customFormat="1">
      <c r="A101" s="185" t="s">
        <v>1447</v>
      </c>
      <c r="B101" s="133" t="s">
        <v>3139</v>
      </c>
      <c r="C101" s="185" t="s">
        <v>3023</v>
      </c>
      <c r="D101" s="133" t="s">
        <v>1909</v>
      </c>
      <c r="E101" s="134">
        <v>1</v>
      </c>
      <c r="F101" s="135" t="s">
        <v>1449</v>
      </c>
      <c r="G101" s="185" t="s">
        <v>15</v>
      </c>
      <c r="H101" s="185" t="s">
        <v>15</v>
      </c>
      <c r="I101" s="185" t="s">
        <v>15</v>
      </c>
      <c r="J101" s="135" t="s">
        <v>1450</v>
      </c>
      <c r="K101" s="186">
        <v>2796</v>
      </c>
      <c r="L101" s="187" t="s">
        <v>173</v>
      </c>
      <c r="M101" s="187" t="s">
        <v>175</v>
      </c>
    </row>
    <row r="102" spans="1:13" s="188" customFormat="1">
      <c r="A102" s="185" t="s">
        <v>1447</v>
      </c>
      <c r="B102" s="133" t="s">
        <v>3140</v>
      </c>
      <c r="C102" s="185" t="s">
        <v>3023</v>
      </c>
      <c r="D102" s="133" t="s">
        <v>1909</v>
      </c>
      <c r="E102" s="134">
        <v>1</v>
      </c>
      <c r="F102" s="135" t="s">
        <v>1449</v>
      </c>
      <c r="G102" s="185" t="s">
        <v>15</v>
      </c>
      <c r="H102" s="185" t="s">
        <v>15</v>
      </c>
      <c r="I102" s="185" t="s">
        <v>15</v>
      </c>
      <c r="J102" s="135" t="s">
        <v>1450</v>
      </c>
      <c r="K102" s="186">
        <v>1968</v>
      </c>
      <c r="L102" s="187" t="s">
        <v>173</v>
      </c>
      <c r="M102" s="187" t="s">
        <v>175</v>
      </c>
    </row>
    <row r="103" spans="1:13" s="188" customFormat="1">
      <c r="A103" s="185" t="s">
        <v>1447</v>
      </c>
      <c r="B103" s="133" t="s">
        <v>3141</v>
      </c>
      <c r="C103" s="185" t="s">
        <v>3023</v>
      </c>
      <c r="D103" s="133" t="s">
        <v>1909</v>
      </c>
      <c r="E103" s="134">
        <v>1</v>
      </c>
      <c r="F103" s="135" t="s">
        <v>1449</v>
      </c>
      <c r="G103" s="185" t="s">
        <v>15</v>
      </c>
      <c r="H103" s="185" t="s">
        <v>15</v>
      </c>
      <c r="I103" s="185" t="s">
        <v>15</v>
      </c>
      <c r="J103" s="135" t="s">
        <v>1450</v>
      </c>
      <c r="K103" s="186">
        <v>1308</v>
      </c>
      <c r="L103" s="187" t="s">
        <v>173</v>
      </c>
      <c r="M103" s="187" t="s">
        <v>175</v>
      </c>
    </row>
    <row r="104" spans="1:13" s="188" customFormat="1">
      <c r="A104" s="185" t="s">
        <v>1447</v>
      </c>
      <c r="B104" s="133" t="s">
        <v>3142</v>
      </c>
      <c r="C104" s="185" t="s">
        <v>3023</v>
      </c>
      <c r="D104" s="133" t="s">
        <v>1909</v>
      </c>
      <c r="E104" s="134">
        <v>1</v>
      </c>
      <c r="F104" s="135" t="s">
        <v>1449</v>
      </c>
      <c r="G104" s="185" t="s">
        <v>15</v>
      </c>
      <c r="H104" s="185" t="s">
        <v>15</v>
      </c>
      <c r="I104" s="185" t="s">
        <v>15</v>
      </c>
      <c r="J104" s="135" t="s">
        <v>1450</v>
      </c>
      <c r="K104" s="186">
        <v>756</v>
      </c>
      <c r="L104" s="187" t="s">
        <v>173</v>
      </c>
      <c r="M104" s="187" t="s">
        <v>175</v>
      </c>
    </row>
    <row r="105" spans="1:13" s="188" customFormat="1">
      <c r="A105" s="185" t="s">
        <v>1447</v>
      </c>
      <c r="B105" s="133" t="s">
        <v>3143</v>
      </c>
      <c r="C105" s="185" t="s">
        <v>3023</v>
      </c>
      <c r="D105" s="133" t="s">
        <v>1909</v>
      </c>
      <c r="E105" s="134">
        <v>1</v>
      </c>
      <c r="F105" s="135" t="s">
        <v>1449</v>
      </c>
      <c r="G105" s="185" t="s">
        <v>15</v>
      </c>
      <c r="H105" s="185" t="s">
        <v>15</v>
      </c>
      <c r="I105" s="185" t="s">
        <v>15</v>
      </c>
      <c r="J105" s="135" t="s">
        <v>1450</v>
      </c>
      <c r="K105" s="186">
        <v>564</v>
      </c>
      <c r="L105" s="187" t="s">
        <v>173</v>
      </c>
      <c r="M105" s="187" t="s">
        <v>175</v>
      </c>
    </row>
    <row r="106" spans="1:13" s="188" customFormat="1">
      <c r="A106" s="185" t="s">
        <v>1447</v>
      </c>
      <c r="B106" s="133" t="s">
        <v>3144</v>
      </c>
      <c r="C106" s="185" t="s">
        <v>3023</v>
      </c>
      <c r="D106" s="133" t="s">
        <v>1909</v>
      </c>
      <c r="E106" s="134">
        <v>1</v>
      </c>
      <c r="F106" s="135" t="s">
        <v>1449</v>
      </c>
      <c r="G106" s="185" t="s">
        <v>15</v>
      </c>
      <c r="H106" s="185" t="s">
        <v>15</v>
      </c>
      <c r="I106" s="185" t="s">
        <v>15</v>
      </c>
      <c r="J106" s="135" t="s">
        <v>1450</v>
      </c>
      <c r="K106" s="186">
        <v>456</v>
      </c>
      <c r="L106" s="187" t="s">
        <v>173</v>
      </c>
      <c r="M106" s="187" t="s">
        <v>175</v>
      </c>
    </row>
    <row r="107" spans="1:13" s="188" customFormat="1">
      <c r="A107" s="185" t="s">
        <v>1447</v>
      </c>
      <c r="B107" s="133" t="s">
        <v>3145</v>
      </c>
      <c r="C107" s="185" t="s">
        <v>3023</v>
      </c>
      <c r="D107" s="133" t="s">
        <v>1909</v>
      </c>
      <c r="E107" s="134">
        <v>1</v>
      </c>
      <c r="F107" s="135" t="s">
        <v>1449</v>
      </c>
      <c r="G107" s="185" t="s">
        <v>15</v>
      </c>
      <c r="H107" s="185" t="s">
        <v>15</v>
      </c>
      <c r="I107" s="185" t="s">
        <v>15</v>
      </c>
      <c r="J107" s="135" t="s">
        <v>1450</v>
      </c>
      <c r="K107" s="186">
        <v>336</v>
      </c>
      <c r="L107" s="187" t="s">
        <v>173</v>
      </c>
      <c r="M107" s="187" t="s">
        <v>175</v>
      </c>
    </row>
    <row r="108" spans="1:13" s="188" customFormat="1">
      <c r="A108" s="185" t="s">
        <v>1447</v>
      </c>
      <c r="B108" s="133" t="s">
        <v>3146</v>
      </c>
      <c r="C108" s="185" t="s">
        <v>3023</v>
      </c>
      <c r="D108" s="133" t="s">
        <v>1897</v>
      </c>
      <c r="E108" s="134">
        <v>1</v>
      </c>
      <c r="F108" s="135" t="s">
        <v>1449</v>
      </c>
      <c r="G108" s="185" t="s">
        <v>15</v>
      </c>
      <c r="H108" s="185" t="s">
        <v>15</v>
      </c>
      <c r="I108" s="185" t="s">
        <v>15</v>
      </c>
      <c r="J108" s="135" t="s">
        <v>1450</v>
      </c>
      <c r="K108" s="186">
        <v>6636</v>
      </c>
      <c r="L108" s="187" t="s">
        <v>173</v>
      </c>
      <c r="M108" s="187" t="s">
        <v>175</v>
      </c>
    </row>
    <row r="109" spans="1:13" s="188" customFormat="1">
      <c r="A109" s="185" t="s">
        <v>1447</v>
      </c>
      <c r="B109" s="133" t="s">
        <v>3147</v>
      </c>
      <c r="C109" s="185" t="s">
        <v>3023</v>
      </c>
      <c r="D109" s="133" t="s">
        <v>1897</v>
      </c>
      <c r="E109" s="134">
        <v>1</v>
      </c>
      <c r="F109" s="135" t="s">
        <v>1449</v>
      </c>
      <c r="G109" s="185" t="s">
        <v>15</v>
      </c>
      <c r="H109" s="185" t="s">
        <v>15</v>
      </c>
      <c r="I109" s="185" t="s">
        <v>15</v>
      </c>
      <c r="J109" s="135" t="s">
        <v>1450</v>
      </c>
      <c r="K109" s="186">
        <v>3240</v>
      </c>
      <c r="L109" s="187" t="s">
        <v>173</v>
      </c>
      <c r="M109" s="187" t="s">
        <v>175</v>
      </c>
    </row>
    <row r="110" spans="1:13" s="188" customFormat="1">
      <c r="A110" s="185" t="s">
        <v>1447</v>
      </c>
      <c r="B110" s="133" t="s">
        <v>3148</v>
      </c>
      <c r="C110" s="185" t="s">
        <v>3023</v>
      </c>
      <c r="D110" s="133" t="s">
        <v>1897</v>
      </c>
      <c r="E110" s="134">
        <v>1</v>
      </c>
      <c r="F110" s="135" t="s">
        <v>1449</v>
      </c>
      <c r="G110" s="185" t="s">
        <v>15</v>
      </c>
      <c r="H110" s="185" t="s">
        <v>15</v>
      </c>
      <c r="I110" s="185" t="s">
        <v>15</v>
      </c>
      <c r="J110" s="135" t="s">
        <v>1450</v>
      </c>
      <c r="K110" s="186">
        <v>2244</v>
      </c>
      <c r="L110" s="187" t="s">
        <v>173</v>
      </c>
      <c r="M110" s="187" t="s">
        <v>175</v>
      </c>
    </row>
    <row r="111" spans="1:13" s="188" customFormat="1">
      <c r="A111" s="185" t="s">
        <v>1447</v>
      </c>
      <c r="B111" s="133" t="s">
        <v>3149</v>
      </c>
      <c r="C111" s="185" t="s">
        <v>3023</v>
      </c>
      <c r="D111" s="133" t="s">
        <v>1897</v>
      </c>
      <c r="E111" s="134">
        <v>1</v>
      </c>
      <c r="F111" s="135" t="s">
        <v>1449</v>
      </c>
      <c r="G111" s="185" t="s">
        <v>15</v>
      </c>
      <c r="H111" s="185" t="s">
        <v>15</v>
      </c>
      <c r="I111" s="185" t="s">
        <v>15</v>
      </c>
      <c r="J111" s="135" t="s">
        <v>1450</v>
      </c>
      <c r="K111" s="186">
        <v>1740</v>
      </c>
      <c r="L111" s="187" t="s">
        <v>173</v>
      </c>
      <c r="M111" s="187" t="s">
        <v>175</v>
      </c>
    </row>
    <row r="112" spans="1:13" s="188" customFormat="1">
      <c r="A112" s="185" t="s">
        <v>1447</v>
      </c>
      <c r="B112" s="133" t="s">
        <v>3150</v>
      </c>
      <c r="C112" s="185" t="s">
        <v>3023</v>
      </c>
      <c r="D112" s="133" t="s">
        <v>1897</v>
      </c>
      <c r="E112" s="134">
        <v>1</v>
      </c>
      <c r="F112" s="135" t="s">
        <v>1449</v>
      </c>
      <c r="G112" s="185" t="s">
        <v>15</v>
      </c>
      <c r="H112" s="185" t="s">
        <v>15</v>
      </c>
      <c r="I112" s="185" t="s">
        <v>15</v>
      </c>
      <c r="J112" s="135" t="s">
        <v>1450</v>
      </c>
      <c r="K112" s="186">
        <v>1092</v>
      </c>
      <c r="L112" s="187" t="s">
        <v>173</v>
      </c>
      <c r="M112" s="187" t="s">
        <v>175</v>
      </c>
    </row>
    <row r="113" spans="1:13" s="188" customFormat="1">
      <c r="A113" s="185" t="s">
        <v>1447</v>
      </c>
      <c r="B113" s="133" t="s">
        <v>3151</v>
      </c>
      <c r="C113" s="185" t="s">
        <v>3023</v>
      </c>
      <c r="D113" s="133" t="s">
        <v>1897</v>
      </c>
      <c r="E113" s="134">
        <v>1</v>
      </c>
      <c r="F113" s="135" t="s">
        <v>1449</v>
      </c>
      <c r="G113" s="185" t="s">
        <v>15</v>
      </c>
      <c r="H113" s="185" t="s">
        <v>15</v>
      </c>
      <c r="I113" s="185" t="s">
        <v>15</v>
      </c>
      <c r="J113" s="135" t="s">
        <v>1450</v>
      </c>
      <c r="K113" s="186">
        <v>912</v>
      </c>
      <c r="L113" s="187" t="s">
        <v>173</v>
      </c>
      <c r="M113" s="187" t="s">
        <v>175</v>
      </c>
    </row>
    <row r="114" spans="1:13" s="188" customFormat="1">
      <c r="A114" s="185" t="s">
        <v>1447</v>
      </c>
      <c r="B114" s="133" t="s">
        <v>3152</v>
      </c>
      <c r="C114" s="185" t="s">
        <v>3023</v>
      </c>
      <c r="D114" s="133" t="s">
        <v>1897</v>
      </c>
      <c r="E114" s="134">
        <v>1</v>
      </c>
      <c r="F114" s="135" t="s">
        <v>1449</v>
      </c>
      <c r="G114" s="185" t="s">
        <v>15</v>
      </c>
      <c r="H114" s="185" t="s">
        <v>15</v>
      </c>
      <c r="I114" s="185" t="s">
        <v>15</v>
      </c>
      <c r="J114" s="135" t="s">
        <v>1450</v>
      </c>
      <c r="K114" s="186">
        <v>744</v>
      </c>
      <c r="L114" s="187" t="s">
        <v>173</v>
      </c>
      <c r="M114" s="187" t="s">
        <v>175</v>
      </c>
    </row>
    <row r="115" spans="1:13" s="188" customFormat="1">
      <c r="A115" s="185" t="s">
        <v>1447</v>
      </c>
      <c r="B115" s="133" t="s">
        <v>3153</v>
      </c>
      <c r="C115" s="185" t="s">
        <v>3023</v>
      </c>
      <c r="D115" s="133" t="s">
        <v>1876</v>
      </c>
      <c r="E115" s="134">
        <v>1</v>
      </c>
      <c r="F115" s="135" t="s">
        <v>1449</v>
      </c>
      <c r="G115" s="185" t="s">
        <v>15</v>
      </c>
      <c r="H115" s="185" t="s">
        <v>15</v>
      </c>
      <c r="I115" s="185" t="s">
        <v>15</v>
      </c>
      <c r="J115" s="135" t="s">
        <v>1450</v>
      </c>
      <c r="K115" s="186">
        <v>67608</v>
      </c>
      <c r="L115" s="187" t="s">
        <v>173</v>
      </c>
      <c r="M115" s="187" t="s">
        <v>175</v>
      </c>
    </row>
    <row r="116" spans="1:13" s="188" customFormat="1">
      <c r="A116" s="185" t="s">
        <v>1447</v>
      </c>
      <c r="B116" s="133" t="s">
        <v>3154</v>
      </c>
      <c r="C116" s="185" t="s">
        <v>3023</v>
      </c>
      <c r="D116" s="133" t="s">
        <v>3155</v>
      </c>
      <c r="E116" s="134">
        <v>1</v>
      </c>
      <c r="F116" s="135" t="s">
        <v>1449</v>
      </c>
      <c r="G116" s="185" t="s">
        <v>15</v>
      </c>
      <c r="H116" s="185" t="s">
        <v>15</v>
      </c>
      <c r="I116" s="185" t="s">
        <v>15</v>
      </c>
      <c r="J116" s="135" t="s">
        <v>1450</v>
      </c>
      <c r="K116" s="186">
        <v>1332</v>
      </c>
      <c r="L116" s="187" t="s">
        <v>173</v>
      </c>
      <c r="M116" s="187" t="s">
        <v>175</v>
      </c>
    </row>
    <row r="117" spans="1:13" s="188" customFormat="1">
      <c r="A117" s="185" t="s">
        <v>1447</v>
      </c>
      <c r="B117" s="133" t="s">
        <v>3156</v>
      </c>
      <c r="C117" s="185" t="s">
        <v>3023</v>
      </c>
      <c r="D117" s="133" t="s">
        <v>3155</v>
      </c>
      <c r="E117" s="134">
        <v>1</v>
      </c>
      <c r="F117" s="135" t="s">
        <v>1449</v>
      </c>
      <c r="G117" s="185" t="s">
        <v>15</v>
      </c>
      <c r="H117" s="185" t="s">
        <v>15</v>
      </c>
      <c r="I117" s="185" t="s">
        <v>15</v>
      </c>
      <c r="J117" s="135" t="s">
        <v>1450</v>
      </c>
      <c r="K117" s="186">
        <v>888</v>
      </c>
      <c r="L117" s="187" t="s">
        <v>173</v>
      </c>
      <c r="M117" s="187" t="s">
        <v>175</v>
      </c>
    </row>
    <row r="118" spans="1:13" s="188" customFormat="1">
      <c r="A118" s="185" t="s">
        <v>1447</v>
      </c>
      <c r="B118" s="133" t="s">
        <v>3157</v>
      </c>
      <c r="C118" s="185" t="s">
        <v>3023</v>
      </c>
      <c r="D118" s="133" t="s">
        <v>3155</v>
      </c>
      <c r="E118" s="134">
        <v>1</v>
      </c>
      <c r="F118" s="135" t="s">
        <v>1449</v>
      </c>
      <c r="G118" s="185" t="s">
        <v>15</v>
      </c>
      <c r="H118" s="185" t="s">
        <v>15</v>
      </c>
      <c r="I118" s="185" t="s">
        <v>15</v>
      </c>
      <c r="J118" s="135" t="s">
        <v>1450</v>
      </c>
      <c r="K118" s="186">
        <v>612</v>
      </c>
      <c r="L118" s="187" t="s">
        <v>173</v>
      </c>
      <c r="M118" s="187" t="s">
        <v>175</v>
      </c>
    </row>
    <row r="119" spans="1:13" s="188" customFormat="1">
      <c r="A119" s="185" t="s">
        <v>1447</v>
      </c>
      <c r="B119" s="133" t="s">
        <v>3158</v>
      </c>
      <c r="C119" s="185" t="s">
        <v>3023</v>
      </c>
      <c r="D119" s="133" t="s">
        <v>3155</v>
      </c>
      <c r="E119" s="134">
        <v>1</v>
      </c>
      <c r="F119" s="135" t="s">
        <v>1449</v>
      </c>
      <c r="G119" s="185" t="s">
        <v>15</v>
      </c>
      <c r="H119" s="185" t="s">
        <v>15</v>
      </c>
      <c r="I119" s="185" t="s">
        <v>15</v>
      </c>
      <c r="J119" s="135" t="s">
        <v>1450</v>
      </c>
      <c r="K119" s="186">
        <v>468</v>
      </c>
      <c r="L119" s="187" t="s">
        <v>173</v>
      </c>
      <c r="M119" s="187" t="s">
        <v>175</v>
      </c>
    </row>
    <row r="120" spans="1:13" s="188" customFormat="1">
      <c r="A120" s="185" t="s">
        <v>1447</v>
      </c>
      <c r="B120" s="133" t="s">
        <v>3159</v>
      </c>
      <c r="C120" s="185" t="s">
        <v>3023</v>
      </c>
      <c r="D120" s="133" t="s">
        <v>3155</v>
      </c>
      <c r="E120" s="134">
        <v>1</v>
      </c>
      <c r="F120" s="135" t="s">
        <v>1449</v>
      </c>
      <c r="G120" s="185" t="s">
        <v>15</v>
      </c>
      <c r="H120" s="185" t="s">
        <v>15</v>
      </c>
      <c r="I120" s="185" t="s">
        <v>15</v>
      </c>
      <c r="J120" s="135" t="s">
        <v>1450</v>
      </c>
      <c r="K120" s="186">
        <v>396</v>
      </c>
      <c r="L120" s="187" t="s">
        <v>173</v>
      </c>
      <c r="M120" s="187" t="s">
        <v>175</v>
      </c>
    </row>
    <row r="121" spans="1:13" s="188" customFormat="1">
      <c r="A121" s="185" t="s">
        <v>1447</v>
      </c>
      <c r="B121" s="133" t="s">
        <v>3160</v>
      </c>
      <c r="C121" s="185" t="s">
        <v>3023</v>
      </c>
      <c r="D121" s="133" t="s">
        <v>3161</v>
      </c>
      <c r="E121" s="134">
        <v>1</v>
      </c>
      <c r="F121" s="135" t="s">
        <v>1449</v>
      </c>
      <c r="G121" s="185" t="s">
        <v>15</v>
      </c>
      <c r="H121" s="185" t="s">
        <v>15</v>
      </c>
      <c r="I121" s="185" t="s">
        <v>15</v>
      </c>
      <c r="J121" s="135" t="s">
        <v>1450</v>
      </c>
      <c r="K121" s="186">
        <v>22104</v>
      </c>
      <c r="L121" s="187" t="s">
        <v>173</v>
      </c>
      <c r="M121" s="187" t="s">
        <v>175</v>
      </c>
    </row>
    <row r="122" spans="1:13" s="188" customFormat="1">
      <c r="A122" s="185" t="s">
        <v>1447</v>
      </c>
      <c r="B122" s="133" t="s">
        <v>3162</v>
      </c>
      <c r="C122" s="185" t="s">
        <v>3023</v>
      </c>
      <c r="D122" s="133" t="s">
        <v>3161</v>
      </c>
      <c r="E122" s="134">
        <v>1</v>
      </c>
      <c r="F122" s="135" t="s">
        <v>1449</v>
      </c>
      <c r="G122" s="185" t="s">
        <v>15</v>
      </c>
      <c r="H122" s="185" t="s">
        <v>15</v>
      </c>
      <c r="I122" s="185" t="s">
        <v>15</v>
      </c>
      <c r="J122" s="135" t="s">
        <v>1450</v>
      </c>
      <c r="K122" s="186">
        <v>15252</v>
      </c>
      <c r="L122" s="187" t="s">
        <v>173</v>
      </c>
      <c r="M122" s="187" t="s">
        <v>175</v>
      </c>
    </row>
    <row r="123" spans="1:13" s="188" customFormat="1">
      <c r="A123" s="185" t="s">
        <v>1447</v>
      </c>
      <c r="B123" s="133" t="s">
        <v>3163</v>
      </c>
      <c r="C123" s="185" t="s">
        <v>3023</v>
      </c>
      <c r="D123" s="133" t="s">
        <v>3161</v>
      </c>
      <c r="E123" s="134">
        <v>1</v>
      </c>
      <c r="F123" s="135" t="s">
        <v>1449</v>
      </c>
      <c r="G123" s="185" t="s">
        <v>15</v>
      </c>
      <c r="H123" s="185" t="s">
        <v>15</v>
      </c>
      <c r="I123" s="185" t="s">
        <v>15</v>
      </c>
      <c r="J123" s="135" t="s">
        <v>1450</v>
      </c>
      <c r="K123" s="186">
        <v>12924</v>
      </c>
      <c r="L123" s="187" t="s">
        <v>173</v>
      </c>
      <c r="M123" s="187" t="s">
        <v>175</v>
      </c>
    </row>
    <row r="124" spans="1:13" s="188" customFormat="1">
      <c r="A124" s="185" t="s">
        <v>1447</v>
      </c>
      <c r="B124" s="133" t="s">
        <v>3164</v>
      </c>
      <c r="C124" s="185" t="s">
        <v>3023</v>
      </c>
      <c r="D124" s="133" t="s">
        <v>3161</v>
      </c>
      <c r="E124" s="134">
        <v>1</v>
      </c>
      <c r="F124" s="135" t="s">
        <v>1449</v>
      </c>
      <c r="G124" s="185" t="s">
        <v>15</v>
      </c>
      <c r="H124" s="185" t="s">
        <v>15</v>
      </c>
      <c r="I124" s="185" t="s">
        <v>15</v>
      </c>
      <c r="J124" s="135" t="s">
        <v>1450</v>
      </c>
      <c r="K124" s="186">
        <v>11520</v>
      </c>
      <c r="L124" s="187" t="s">
        <v>173</v>
      </c>
      <c r="M124" s="187" t="s">
        <v>175</v>
      </c>
    </row>
    <row r="125" spans="1:13" s="188" customFormat="1">
      <c r="A125" s="185" t="s">
        <v>1447</v>
      </c>
      <c r="B125" s="133" t="s">
        <v>3165</v>
      </c>
      <c r="C125" s="185" t="s">
        <v>3023</v>
      </c>
      <c r="D125" s="133" t="s">
        <v>3161</v>
      </c>
      <c r="E125" s="134">
        <v>1</v>
      </c>
      <c r="F125" s="135" t="s">
        <v>1449</v>
      </c>
      <c r="G125" s="185" t="s">
        <v>15</v>
      </c>
      <c r="H125" s="185" t="s">
        <v>15</v>
      </c>
      <c r="I125" s="185" t="s">
        <v>15</v>
      </c>
      <c r="J125" s="135" t="s">
        <v>1450</v>
      </c>
      <c r="K125" s="186">
        <v>9648</v>
      </c>
      <c r="L125" s="187" t="s">
        <v>173</v>
      </c>
      <c r="M125" s="187" t="s">
        <v>175</v>
      </c>
    </row>
    <row r="126" spans="1:13" s="188" customFormat="1">
      <c r="A126" s="185" t="s">
        <v>1447</v>
      </c>
      <c r="B126" s="133" t="s">
        <v>3166</v>
      </c>
      <c r="C126" s="185" t="s">
        <v>3023</v>
      </c>
      <c r="D126" s="133" t="s">
        <v>3161</v>
      </c>
      <c r="E126" s="134">
        <v>1</v>
      </c>
      <c r="F126" s="135" t="s">
        <v>1449</v>
      </c>
      <c r="G126" s="185" t="s">
        <v>15</v>
      </c>
      <c r="H126" s="185" t="s">
        <v>15</v>
      </c>
      <c r="I126" s="185" t="s">
        <v>15</v>
      </c>
      <c r="J126" s="135" t="s">
        <v>1450</v>
      </c>
      <c r="K126" s="186">
        <v>9072</v>
      </c>
      <c r="L126" s="187" t="s">
        <v>173</v>
      </c>
      <c r="M126" s="187" t="s">
        <v>175</v>
      </c>
    </row>
    <row r="127" spans="1:13" s="188" customFormat="1">
      <c r="A127" s="185" t="s">
        <v>1447</v>
      </c>
      <c r="B127" s="133" t="s">
        <v>3167</v>
      </c>
      <c r="C127" s="185" t="s">
        <v>3023</v>
      </c>
      <c r="D127" s="133" t="s">
        <v>3168</v>
      </c>
      <c r="E127" s="134">
        <v>1</v>
      </c>
      <c r="F127" s="135" t="s">
        <v>1449</v>
      </c>
      <c r="G127" s="185" t="s">
        <v>15</v>
      </c>
      <c r="H127" s="185" t="s">
        <v>15</v>
      </c>
      <c r="I127" s="185" t="s">
        <v>15</v>
      </c>
      <c r="J127" s="135" t="s">
        <v>1450</v>
      </c>
      <c r="K127" s="186">
        <v>22104</v>
      </c>
      <c r="L127" s="187" t="s">
        <v>173</v>
      </c>
      <c r="M127" s="187" t="s">
        <v>175</v>
      </c>
    </row>
    <row r="128" spans="1:13" s="188" customFormat="1">
      <c r="A128" s="185" t="s">
        <v>1447</v>
      </c>
      <c r="B128" s="133" t="s">
        <v>3169</v>
      </c>
      <c r="C128" s="185" t="s">
        <v>3023</v>
      </c>
      <c r="D128" s="133" t="s">
        <v>3168</v>
      </c>
      <c r="E128" s="134">
        <v>1</v>
      </c>
      <c r="F128" s="135" t="s">
        <v>1449</v>
      </c>
      <c r="G128" s="185" t="s">
        <v>15</v>
      </c>
      <c r="H128" s="185" t="s">
        <v>15</v>
      </c>
      <c r="I128" s="185" t="s">
        <v>15</v>
      </c>
      <c r="J128" s="135" t="s">
        <v>1450</v>
      </c>
      <c r="K128" s="186">
        <v>15252</v>
      </c>
      <c r="L128" s="187" t="s">
        <v>173</v>
      </c>
      <c r="M128" s="187" t="s">
        <v>175</v>
      </c>
    </row>
    <row r="129" spans="1:13" s="188" customFormat="1">
      <c r="A129" s="185" t="s">
        <v>1447</v>
      </c>
      <c r="B129" s="133" t="s">
        <v>3170</v>
      </c>
      <c r="C129" s="185" t="s">
        <v>3023</v>
      </c>
      <c r="D129" s="133" t="s">
        <v>3168</v>
      </c>
      <c r="E129" s="134">
        <v>1</v>
      </c>
      <c r="F129" s="135" t="s">
        <v>1449</v>
      </c>
      <c r="G129" s="185" t="s">
        <v>15</v>
      </c>
      <c r="H129" s="185" t="s">
        <v>15</v>
      </c>
      <c r="I129" s="185" t="s">
        <v>15</v>
      </c>
      <c r="J129" s="135" t="s">
        <v>1450</v>
      </c>
      <c r="K129" s="186">
        <v>12924</v>
      </c>
      <c r="L129" s="187" t="s">
        <v>173</v>
      </c>
      <c r="M129" s="187" t="s">
        <v>175</v>
      </c>
    </row>
    <row r="130" spans="1:13" s="188" customFormat="1">
      <c r="A130" s="185" t="s">
        <v>1447</v>
      </c>
      <c r="B130" s="133" t="s">
        <v>3171</v>
      </c>
      <c r="C130" s="185" t="s">
        <v>3023</v>
      </c>
      <c r="D130" s="133" t="s">
        <v>3168</v>
      </c>
      <c r="E130" s="134">
        <v>1</v>
      </c>
      <c r="F130" s="135" t="s">
        <v>1449</v>
      </c>
      <c r="G130" s="185" t="s">
        <v>15</v>
      </c>
      <c r="H130" s="185" t="s">
        <v>15</v>
      </c>
      <c r="I130" s="185" t="s">
        <v>15</v>
      </c>
      <c r="J130" s="135" t="s">
        <v>1450</v>
      </c>
      <c r="K130" s="186">
        <v>11520</v>
      </c>
      <c r="L130" s="187" t="s">
        <v>173</v>
      </c>
      <c r="M130" s="187" t="s">
        <v>175</v>
      </c>
    </row>
    <row r="131" spans="1:13" s="188" customFormat="1">
      <c r="A131" s="185" t="s">
        <v>1447</v>
      </c>
      <c r="B131" s="133" t="s">
        <v>3172</v>
      </c>
      <c r="C131" s="185" t="s">
        <v>3023</v>
      </c>
      <c r="D131" s="133" t="s">
        <v>3168</v>
      </c>
      <c r="E131" s="134">
        <v>1</v>
      </c>
      <c r="F131" s="135" t="s">
        <v>1449</v>
      </c>
      <c r="G131" s="185" t="s">
        <v>15</v>
      </c>
      <c r="H131" s="185" t="s">
        <v>15</v>
      </c>
      <c r="I131" s="185" t="s">
        <v>15</v>
      </c>
      <c r="J131" s="135" t="s">
        <v>1450</v>
      </c>
      <c r="K131" s="186">
        <v>9648</v>
      </c>
      <c r="L131" s="187" t="s">
        <v>173</v>
      </c>
      <c r="M131" s="187" t="s">
        <v>175</v>
      </c>
    </row>
    <row r="132" spans="1:13" s="188" customFormat="1">
      <c r="A132" s="185" t="s">
        <v>1447</v>
      </c>
      <c r="B132" s="133" t="s">
        <v>3173</v>
      </c>
      <c r="C132" s="185" t="s">
        <v>3023</v>
      </c>
      <c r="D132" s="133" t="s">
        <v>3168</v>
      </c>
      <c r="E132" s="134">
        <v>1</v>
      </c>
      <c r="F132" s="135" t="s">
        <v>1449</v>
      </c>
      <c r="G132" s="185" t="s">
        <v>15</v>
      </c>
      <c r="H132" s="185" t="s">
        <v>15</v>
      </c>
      <c r="I132" s="185" t="s">
        <v>15</v>
      </c>
      <c r="J132" s="135" t="s">
        <v>1450</v>
      </c>
      <c r="K132" s="186">
        <v>9072</v>
      </c>
      <c r="L132" s="187" t="s">
        <v>173</v>
      </c>
      <c r="M132" s="187" t="s">
        <v>175</v>
      </c>
    </row>
    <row r="133" spans="1:13" s="188" customFormat="1">
      <c r="A133" s="185" t="s">
        <v>1447</v>
      </c>
      <c r="B133" s="133" t="s">
        <v>3174</v>
      </c>
      <c r="C133" s="185" t="s">
        <v>3023</v>
      </c>
      <c r="D133" s="133" t="s">
        <v>3175</v>
      </c>
      <c r="E133" s="134">
        <v>1</v>
      </c>
      <c r="F133" s="135" t="s">
        <v>1449</v>
      </c>
      <c r="G133" s="185" t="s">
        <v>15</v>
      </c>
      <c r="H133" s="185" t="s">
        <v>15</v>
      </c>
      <c r="I133" s="185" t="s">
        <v>15</v>
      </c>
      <c r="J133" s="135" t="s">
        <v>1450</v>
      </c>
      <c r="K133" s="186">
        <v>37356</v>
      </c>
      <c r="L133" s="187" t="s">
        <v>173</v>
      </c>
      <c r="M133" s="187" t="s">
        <v>175</v>
      </c>
    </row>
    <row r="134" spans="1:13" s="188" customFormat="1">
      <c r="A134" s="185" t="s">
        <v>1447</v>
      </c>
      <c r="B134" s="133" t="s">
        <v>3176</v>
      </c>
      <c r="C134" s="185" t="s">
        <v>3023</v>
      </c>
      <c r="D134" s="133" t="s">
        <v>3175</v>
      </c>
      <c r="E134" s="134">
        <v>1</v>
      </c>
      <c r="F134" s="135" t="s">
        <v>1449</v>
      </c>
      <c r="G134" s="185" t="s">
        <v>15</v>
      </c>
      <c r="H134" s="185" t="s">
        <v>15</v>
      </c>
      <c r="I134" s="185" t="s">
        <v>15</v>
      </c>
      <c r="J134" s="135" t="s">
        <v>1450</v>
      </c>
      <c r="K134" s="186">
        <v>30816</v>
      </c>
      <c r="L134" s="187" t="s">
        <v>173</v>
      </c>
      <c r="M134" s="187" t="s">
        <v>175</v>
      </c>
    </row>
    <row r="135" spans="1:13" s="188" customFormat="1">
      <c r="A135" s="185" t="s">
        <v>1447</v>
      </c>
      <c r="B135" s="133" t="s">
        <v>3177</v>
      </c>
      <c r="C135" s="185" t="s">
        <v>3023</v>
      </c>
      <c r="D135" s="133" t="s">
        <v>3175</v>
      </c>
      <c r="E135" s="134">
        <v>1</v>
      </c>
      <c r="F135" s="135" t="s">
        <v>1449</v>
      </c>
      <c r="G135" s="185" t="s">
        <v>15</v>
      </c>
      <c r="H135" s="185" t="s">
        <v>15</v>
      </c>
      <c r="I135" s="185" t="s">
        <v>15</v>
      </c>
      <c r="J135" s="135" t="s">
        <v>1450</v>
      </c>
      <c r="K135" s="186">
        <v>24900</v>
      </c>
      <c r="L135" s="187" t="s">
        <v>173</v>
      </c>
      <c r="M135" s="187" t="s">
        <v>175</v>
      </c>
    </row>
    <row r="136" spans="1:13" s="188" customFormat="1">
      <c r="A136" s="185" t="s">
        <v>1447</v>
      </c>
      <c r="B136" s="133" t="s">
        <v>3178</v>
      </c>
      <c r="C136" s="185" t="s">
        <v>3023</v>
      </c>
      <c r="D136" s="133" t="s">
        <v>3175</v>
      </c>
      <c r="E136" s="134">
        <v>1</v>
      </c>
      <c r="F136" s="135" t="s">
        <v>1449</v>
      </c>
      <c r="G136" s="185" t="s">
        <v>15</v>
      </c>
      <c r="H136" s="185" t="s">
        <v>15</v>
      </c>
      <c r="I136" s="185" t="s">
        <v>15</v>
      </c>
      <c r="J136" s="135" t="s">
        <v>1450</v>
      </c>
      <c r="K136" s="186">
        <v>22104</v>
      </c>
      <c r="L136" s="187" t="s">
        <v>173</v>
      </c>
      <c r="M136" s="187" t="s">
        <v>175</v>
      </c>
    </row>
    <row r="137" spans="1:13" s="188" customFormat="1">
      <c r="A137" s="185" t="s">
        <v>1447</v>
      </c>
      <c r="B137" s="133" t="s">
        <v>3179</v>
      </c>
      <c r="C137" s="185" t="s">
        <v>3023</v>
      </c>
      <c r="D137" s="133" t="s">
        <v>3175</v>
      </c>
      <c r="E137" s="134">
        <v>1</v>
      </c>
      <c r="F137" s="135" t="s">
        <v>1449</v>
      </c>
      <c r="G137" s="185" t="s">
        <v>15</v>
      </c>
      <c r="H137" s="185" t="s">
        <v>15</v>
      </c>
      <c r="I137" s="185" t="s">
        <v>15</v>
      </c>
      <c r="J137" s="135" t="s">
        <v>1450</v>
      </c>
      <c r="K137" s="186">
        <v>20892</v>
      </c>
      <c r="L137" s="187" t="s">
        <v>173</v>
      </c>
      <c r="M137" s="187" t="s">
        <v>175</v>
      </c>
    </row>
    <row r="138" spans="1:13" s="188" customFormat="1">
      <c r="A138" s="185" t="s">
        <v>1447</v>
      </c>
      <c r="B138" s="133" t="s">
        <v>3180</v>
      </c>
      <c r="C138" s="185" t="s">
        <v>3023</v>
      </c>
      <c r="D138" s="133" t="s">
        <v>3175</v>
      </c>
      <c r="E138" s="134">
        <v>1</v>
      </c>
      <c r="F138" s="135" t="s">
        <v>1449</v>
      </c>
      <c r="G138" s="185" t="s">
        <v>15</v>
      </c>
      <c r="H138" s="185" t="s">
        <v>15</v>
      </c>
      <c r="I138" s="185" t="s">
        <v>15</v>
      </c>
      <c r="J138" s="135" t="s">
        <v>1450</v>
      </c>
      <c r="K138" s="186">
        <v>16188</v>
      </c>
      <c r="L138" s="187" t="s">
        <v>173</v>
      </c>
      <c r="M138" s="187" t="s">
        <v>175</v>
      </c>
    </row>
    <row r="139" spans="1:13" s="188" customFormat="1">
      <c r="A139" s="185" t="s">
        <v>1447</v>
      </c>
      <c r="B139" s="133" t="s">
        <v>3181</v>
      </c>
      <c r="C139" s="185" t="s">
        <v>3023</v>
      </c>
      <c r="D139" s="133" t="s">
        <v>3182</v>
      </c>
      <c r="E139" s="134">
        <v>1</v>
      </c>
      <c r="F139" s="135" t="s">
        <v>1449</v>
      </c>
      <c r="G139" s="185" t="s">
        <v>15</v>
      </c>
      <c r="H139" s="185" t="s">
        <v>15</v>
      </c>
      <c r="I139" s="185" t="s">
        <v>15</v>
      </c>
      <c r="J139" s="135" t="s">
        <v>1450</v>
      </c>
      <c r="K139" s="186">
        <v>15876</v>
      </c>
      <c r="L139" s="187" t="s">
        <v>173</v>
      </c>
      <c r="M139" s="187" t="s">
        <v>175</v>
      </c>
    </row>
    <row r="140" spans="1:13" s="188" customFormat="1">
      <c r="A140" s="185" t="s">
        <v>1447</v>
      </c>
      <c r="B140" s="133" t="s">
        <v>3183</v>
      </c>
      <c r="C140" s="185" t="s">
        <v>3023</v>
      </c>
      <c r="D140" s="133" t="s">
        <v>3182</v>
      </c>
      <c r="E140" s="134">
        <v>1</v>
      </c>
      <c r="F140" s="135" t="s">
        <v>1449</v>
      </c>
      <c r="G140" s="185" t="s">
        <v>15</v>
      </c>
      <c r="H140" s="185" t="s">
        <v>15</v>
      </c>
      <c r="I140" s="185" t="s">
        <v>15</v>
      </c>
      <c r="J140" s="135" t="s">
        <v>1450</v>
      </c>
      <c r="K140" s="186">
        <v>10272</v>
      </c>
      <c r="L140" s="187" t="s">
        <v>173</v>
      </c>
      <c r="M140" s="187" t="s">
        <v>175</v>
      </c>
    </row>
    <row r="141" spans="1:13" s="188" customFormat="1">
      <c r="A141" s="185" t="s">
        <v>1447</v>
      </c>
      <c r="B141" s="133" t="s">
        <v>3184</v>
      </c>
      <c r="C141" s="185" t="s">
        <v>3023</v>
      </c>
      <c r="D141" s="133" t="s">
        <v>3182</v>
      </c>
      <c r="E141" s="134">
        <v>1</v>
      </c>
      <c r="F141" s="135" t="s">
        <v>1449</v>
      </c>
      <c r="G141" s="185" t="s">
        <v>15</v>
      </c>
      <c r="H141" s="185" t="s">
        <v>15</v>
      </c>
      <c r="I141" s="185" t="s">
        <v>15</v>
      </c>
      <c r="J141" s="135" t="s">
        <v>1450</v>
      </c>
      <c r="K141" s="186">
        <v>8052</v>
      </c>
      <c r="L141" s="187" t="s">
        <v>173</v>
      </c>
      <c r="M141" s="187" t="s">
        <v>175</v>
      </c>
    </row>
    <row r="142" spans="1:13" s="188" customFormat="1">
      <c r="A142" s="185" t="s">
        <v>1447</v>
      </c>
      <c r="B142" s="133" t="s">
        <v>3185</v>
      </c>
      <c r="C142" s="185" t="s">
        <v>3023</v>
      </c>
      <c r="D142" s="133" t="s">
        <v>3182</v>
      </c>
      <c r="E142" s="134">
        <v>1</v>
      </c>
      <c r="F142" s="135" t="s">
        <v>1449</v>
      </c>
      <c r="G142" s="185" t="s">
        <v>15</v>
      </c>
      <c r="H142" s="185" t="s">
        <v>15</v>
      </c>
      <c r="I142" s="185" t="s">
        <v>15</v>
      </c>
      <c r="J142" s="135" t="s">
        <v>1450</v>
      </c>
      <c r="K142" s="186">
        <v>7020</v>
      </c>
      <c r="L142" s="187" t="s">
        <v>173</v>
      </c>
      <c r="M142" s="187" t="s">
        <v>175</v>
      </c>
    </row>
    <row r="143" spans="1:13" s="188" customFormat="1">
      <c r="A143" s="185" t="s">
        <v>1447</v>
      </c>
      <c r="B143" s="133" t="s">
        <v>3186</v>
      </c>
      <c r="C143" s="185" t="s">
        <v>3023</v>
      </c>
      <c r="D143" s="133" t="s">
        <v>3182</v>
      </c>
      <c r="E143" s="134">
        <v>1</v>
      </c>
      <c r="F143" s="135" t="s">
        <v>1449</v>
      </c>
      <c r="G143" s="185" t="s">
        <v>15</v>
      </c>
      <c r="H143" s="185" t="s">
        <v>15</v>
      </c>
      <c r="I143" s="185" t="s">
        <v>15</v>
      </c>
      <c r="J143" s="135" t="s">
        <v>1450</v>
      </c>
      <c r="K143" s="186">
        <v>5652</v>
      </c>
      <c r="L143" s="187" t="s">
        <v>173</v>
      </c>
      <c r="M143" s="187" t="s">
        <v>175</v>
      </c>
    </row>
    <row r="144" spans="1:13" s="188" customFormat="1">
      <c r="A144" s="185" t="s">
        <v>1447</v>
      </c>
      <c r="B144" s="133" t="s">
        <v>3187</v>
      </c>
      <c r="C144" s="185" t="s">
        <v>3023</v>
      </c>
      <c r="D144" s="133" t="s">
        <v>3182</v>
      </c>
      <c r="E144" s="134">
        <v>1</v>
      </c>
      <c r="F144" s="135" t="s">
        <v>1449</v>
      </c>
      <c r="G144" s="185" t="s">
        <v>15</v>
      </c>
      <c r="H144" s="185" t="s">
        <v>15</v>
      </c>
      <c r="I144" s="185" t="s">
        <v>15</v>
      </c>
      <c r="J144" s="135" t="s">
        <v>1450</v>
      </c>
      <c r="K144" s="186">
        <v>4968</v>
      </c>
      <c r="L144" s="187" t="s">
        <v>173</v>
      </c>
      <c r="M144" s="187" t="s">
        <v>175</v>
      </c>
    </row>
    <row r="145" spans="1:13" s="188" customFormat="1">
      <c r="A145" s="185" t="s">
        <v>1447</v>
      </c>
      <c r="B145" s="133" t="s">
        <v>3188</v>
      </c>
      <c r="C145" s="185" t="s">
        <v>3023</v>
      </c>
      <c r="D145" s="133" t="s">
        <v>3189</v>
      </c>
      <c r="E145" s="134">
        <v>1</v>
      </c>
      <c r="F145" s="135" t="s">
        <v>1449</v>
      </c>
      <c r="G145" s="185" t="s">
        <v>15</v>
      </c>
      <c r="H145" s="185" t="s">
        <v>15</v>
      </c>
      <c r="I145" s="185" t="s">
        <v>15</v>
      </c>
      <c r="J145" s="135" t="s">
        <v>1450</v>
      </c>
      <c r="K145" s="186">
        <v>15876</v>
      </c>
      <c r="L145" s="187" t="s">
        <v>173</v>
      </c>
      <c r="M145" s="187" t="s">
        <v>175</v>
      </c>
    </row>
    <row r="146" spans="1:13" s="188" customFormat="1">
      <c r="A146" s="185" t="s">
        <v>1447</v>
      </c>
      <c r="B146" s="133" t="s">
        <v>3190</v>
      </c>
      <c r="C146" s="185" t="s">
        <v>3023</v>
      </c>
      <c r="D146" s="133" t="s">
        <v>3189</v>
      </c>
      <c r="E146" s="134">
        <v>1</v>
      </c>
      <c r="F146" s="135" t="s">
        <v>1449</v>
      </c>
      <c r="G146" s="185" t="s">
        <v>15</v>
      </c>
      <c r="H146" s="185" t="s">
        <v>15</v>
      </c>
      <c r="I146" s="185" t="s">
        <v>15</v>
      </c>
      <c r="J146" s="135" t="s">
        <v>1450</v>
      </c>
      <c r="K146" s="186">
        <v>10272</v>
      </c>
      <c r="L146" s="187" t="s">
        <v>173</v>
      </c>
      <c r="M146" s="187" t="s">
        <v>175</v>
      </c>
    </row>
    <row r="147" spans="1:13" s="188" customFormat="1">
      <c r="A147" s="185" t="s">
        <v>1447</v>
      </c>
      <c r="B147" s="133" t="s">
        <v>3191</v>
      </c>
      <c r="C147" s="185" t="s">
        <v>3023</v>
      </c>
      <c r="D147" s="133" t="s">
        <v>3189</v>
      </c>
      <c r="E147" s="134">
        <v>1</v>
      </c>
      <c r="F147" s="135" t="s">
        <v>1449</v>
      </c>
      <c r="G147" s="185" t="s">
        <v>15</v>
      </c>
      <c r="H147" s="185" t="s">
        <v>15</v>
      </c>
      <c r="I147" s="185" t="s">
        <v>15</v>
      </c>
      <c r="J147" s="135" t="s">
        <v>1450</v>
      </c>
      <c r="K147" s="186">
        <v>8052</v>
      </c>
      <c r="L147" s="187" t="s">
        <v>173</v>
      </c>
      <c r="M147" s="187" t="s">
        <v>175</v>
      </c>
    </row>
    <row r="148" spans="1:13" s="188" customFormat="1">
      <c r="A148" s="185" t="s">
        <v>1447</v>
      </c>
      <c r="B148" s="133" t="s">
        <v>3192</v>
      </c>
      <c r="C148" s="185" t="s">
        <v>3023</v>
      </c>
      <c r="D148" s="133" t="s">
        <v>3189</v>
      </c>
      <c r="E148" s="134">
        <v>1</v>
      </c>
      <c r="F148" s="135" t="s">
        <v>1449</v>
      </c>
      <c r="G148" s="185" t="s">
        <v>15</v>
      </c>
      <c r="H148" s="185" t="s">
        <v>15</v>
      </c>
      <c r="I148" s="185" t="s">
        <v>15</v>
      </c>
      <c r="J148" s="135" t="s">
        <v>1450</v>
      </c>
      <c r="K148" s="186">
        <v>7020</v>
      </c>
      <c r="L148" s="187" t="s">
        <v>173</v>
      </c>
      <c r="M148" s="187" t="s">
        <v>175</v>
      </c>
    </row>
    <row r="149" spans="1:13" s="188" customFormat="1">
      <c r="A149" s="185" t="s">
        <v>1447</v>
      </c>
      <c r="B149" s="133" t="s">
        <v>3193</v>
      </c>
      <c r="C149" s="185" t="s">
        <v>3023</v>
      </c>
      <c r="D149" s="133" t="s">
        <v>3189</v>
      </c>
      <c r="E149" s="134">
        <v>1</v>
      </c>
      <c r="F149" s="135" t="s">
        <v>1449</v>
      </c>
      <c r="G149" s="185" t="s">
        <v>15</v>
      </c>
      <c r="H149" s="185" t="s">
        <v>15</v>
      </c>
      <c r="I149" s="185" t="s">
        <v>15</v>
      </c>
      <c r="J149" s="135" t="s">
        <v>1450</v>
      </c>
      <c r="K149" s="186">
        <v>5652</v>
      </c>
      <c r="L149" s="187" t="s">
        <v>173</v>
      </c>
      <c r="M149" s="187" t="s">
        <v>175</v>
      </c>
    </row>
    <row r="150" spans="1:13" s="188" customFormat="1">
      <c r="A150" s="185" t="s">
        <v>1447</v>
      </c>
      <c r="B150" s="133" t="s">
        <v>3194</v>
      </c>
      <c r="C150" s="185" t="s">
        <v>3023</v>
      </c>
      <c r="D150" s="133" t="s">
        <v>3189</v>
      </c>
      <c r="E150" s="134">
        <v>1</v>
      </c>
      <c r="F150" s="135" t="s">
        <v>1449</v>
      </c>
      <c r="G150" s="185" t="s">
        <v>15</v>
      </c>
      <c r="H150" s="185" t="s">
        <v>15</v>
      </c>
      <c r="I150" s="185" t="s">
        <v>15</v>
      </c>
      <c r="J150" s="135" t="s">
        <v>1450</v>
      </c>
      <c r="K150" s="186">
        <v>4968</v>
      </c>
      <c r="L150" s="187" t="s">
        <v>173</v>
      </c>
      <c r="M150" s="187" t="s">
        <v>175</v>
      </c>
    </row>
    <row r="151" spans="1:13" s="188" customFormat="1">
      <c r="A151" s="185" t="s">
        <v>1447</v>
      </c>
      <c r="B151" s="133" t="s">
        <v>3195</v>
      </c>
      <c r="C151" s="185" t="s">
        <v>3023</v>
      </c>
      <c r="D151" s="133" t="s">
        <v>3196</v>
      </c>
      <c r="E151" s="134">
        <v>1</v>
      </c>
      <c r="F151" s="135" t="s">
        <v>1449</v>
      </c>
      <c r="G151" s="185" t="s">
        <v>15</v>
      </c>
      <c r="H151" s="185" t="s">
        <v>15</v>
      </c>
      <c r="I151" s="185" t="s">
        <v>15</v>
      </c>
      <c r="J151" s="135" t="s">
        <v>1450</v>
      </c>
      <c r="K151" s="186">
        <v>286380</v>
      </c>
      <c r="L151" s="187" t="s">
        <v>173</v>
      </c>
      <c r="M151" s="187" t="s">
        <v>175</v>
      </c>
    </row>
    <row r="152" spans="1:13" s="188" customFormat="1">
      <c r="A152" s="185" t="s">
        <v>1447</v>
      </c>
      <c r="B152" s="133" t="s">
        <v>3197</v>
      </c>
      <c r="C152" s="185" t="s">
        <v>3023</v>
      </c>
      <c r="D152" s="133" t="s">
        <v>3198</v>
      </c>
      <c r="E152" s="134">
        <v>1</v>
      </c>
      <c r="F152" s="135" t="s">
        <v>1449</v>
      </c>
      <c r="G152" s="185" t="s">
        <v>15</v>
      </c>
      <c r="H152" s="185" t="s">
        <v>15</v>
      </c>
      <c r="I152" s="185" t="s">
        <v>15</v>
      </c>
      <c r="J152" s="135" t="s">
        <v>1450</v>
      </c>
      <c r="K152" s="186">
        <v>398436</v>
      </c>
      <c r="L152" s="187" t="s">
        <v>173</v>
      </c>
      <c r="M152" s="187" t="s">
        <v>175</v>
      </c>
    </row>
    <row r="153" spans="1:13" s="188" customFormat="1">
      <c r="A153" s="185" t="s">
        <v>1447</v>
      </c>
      <c r="B153" s="133" t="s">
        <v>3199</v>
      </c>
      <c r="C153" s="185" t="s">
        <v>3023</v>
      </c>
      <c r="D153" s="133" t="s">
        <v>3200</v>
      </c>
      <c r="E153" s="134">
        <v>1</v>
      </c>
      <c r="F153" s="135" t="s">
        <v>1449</v>
      </c>
      <c r="G153" s="185" t="s">
        <v>15</v>
      </c>
      <c r="H153" s="185" t="s">
        <v>15</v>
      </c>
      <c r="I153" s="185" t="s">
        <v>15</v>
      </c>
      <c r="J153" s="135" t="s">
        <v>1450</v>
      </c>
      <c r="K153" s="186">
        <v>647460</v>
      </c>
      <c r="L153" s="187" t="s">
        <v>173</v>
      </c>
      <c r="M153" s="187" t="s">
        <v>175</v>
      </c>
    </row>
    <row r="154" spans="1:13" s="188" customFormat="1">
      <c r="A154" s="185" t="s">
        <v>1447</v>
      </c>
      <c r="B154" s="133" t="s">
        <v>3201</v>
      </c>
      <c r="C154" s="185" t="s">
        <v>3023</v>
      </c>
      <c r="D154" s="133" t="s">
        <v>3202</v>
      </c>
      <c r="E154" s="134">
        <v>1</v>
      </c>
      <c r="F154" s="135" t="s">
        <v>1449</v>
      </c>
      <c r="G154" s="185" t="s">
        <v>15</v>
      </c>
      <c r="H154" s="185" t="s">
        <v>15</v>
      </c>
      <c r="I154" s="185" t="s">
        <v>15</v>
      </c>
      <c r="J154" s="135" t="s">
        <v>1450</v>
      </c>
      <c r="K154" s="186">
        <v>809328</v>
      </c>
      <c r="L154" s="187" t="s">
        <v>173</v>
      </c>
      <c r="M154" s="187" t="s">
        <v>175</v>
      </c>
    </row>
    <row r="155" spans="1:13" s="188" customFormat="1">
      <c r="A155" s="185" t="s">
        <v>1447</v>
      </c>
      <c r="B155" s="133" t="s">
        <v>3203</v>
      </c>
      <c r="C155" s="185" t="s">
        <v>3023</v>
      </c>
      <c r="D155" s="133" t="s">
        <v>3204</v>
      </c>
      <c r="E155" s="134">
        <v>1</v>
      </c>
      <c r="F155" s="135" t="s">
        <v>1449</v>
      </c>
      <c r="G155" s="185" t="s">
        <v>15</v>
      </c>
      <c r="H155" s="185" t="s">
        <v>15</v>
      </c>
      <c r="I155" s="185" t="s">
        <v>15</v>
      </c>
      <c r="J155" s="135" t="s">
        <v>1450</v>
      </c>
      <c r="K155" s="186">
        <v>448248</v>
      </c>
      <c r="L155" s="187" t="s">
        <v>173</v>
      </c>
      <c r="M155" s="187" t="s">
        <v>175</v>
      </c>
    </row>
    <row r="156" spans="1:13" s="188" customFormat="1">
      <c r="A156" s="185" t="s">
        <v>1447</v>
      </c>
      <c r="B156" s="133" t="s">
        <v>3205</v>
      </c>
      <c r="C156" s="185" t="s">
        <v>3023</v>
      </c>
      <c r="D156" s="133" t="s">
        <v>3206</v>
      </c>
      <c r="E156" s="134">
        <v>1</v>
      </c>
      <c r="F156" s="135" t="s">
        <v>1449</v>
      </c>
      <c r="G156" s="185" t="s">
        <v>15</v>
      </c>
      <c r="H156" s="185" t="s">
        <v>15</v>
      </c>
      <c r="I156" s="185" t="s">
        <v>15</v>
      </c>
      <c r="J156" s="135" t="s">
        <v>1450</v>
      </c>
      <c r="K156" s="186">
        <v>672</v>
      </c>
      <c r="L156" s="187" t="s">
        <v>173</v>
      </c>
      <c r="M156" s="187" t="s">
        <v>175</v>
      </c>
    </row>
    <row r="157" spans="1:13" s="188" customFormat="1">
      <c r="A157" s="185" t="s">
        <v>1447</v>
      </c>
      <c r="B157" s="133" t="s">
        <v>3207</v>
      </c>
      <c r="C157" s="185" t="s">
        <v>3023</v>
      </c>
      <c r="D157" s="133" t="s">
        <v>3206</v>
      </c>
      <c r="E157" s="134">
        <v>1</v>
      </c>
      <c r="F157" s="135" t="s">
        <v>1449</v>
      </c>
      <c r="G157" s="185" t="s">
        <v>15</v>
      </c>
      <c r="H157" s="185" t="s">
        <v>15</v>
      </c>
      <c r="I157" s="185" t="s">
        <v>15</v>
      </c>
      <c r="J157" s="135" t="s">
        <v>1450</v>
      </c>
      <c r="K157" s="186">
        <v>444</v>
      </c>
      <c r="L157" s="187" t="s">
        <v>173</v>
      </c>
      <c r="M157" s="187" t="s">
        <v>175</v>
      </c>
    </row>
    <row r="158" spans="1:13" s="188" customFormat="1">
      <c r="A158" s="185" t="s">
        <v>1447</v>
      </c>
      <c r="B158" s="133" t="s">
        <v>3208</v>
      </c>
      <c r="C158" s="185" t="s">
        <v>3023</v>
      </c>
      <c r="D158" s="133" t="s">
        <v>3206</v>
      </c>
      <c r="E158" s="134">
        <v>1</v>
      </c>
      <c r="F158" s="135" t="s">
        <v>1449</v>
      </c>
      <c r="G158" s="185" t="s">
        <v>15</v>
      </c>
      <c r="H158" s="185" t="s">
        <v>15</v>
      </c>
      <c r="I158" s="185" t="s">
        <v>15</v>
      </c>
      <c r="J158" s="135" t="s">
        <v>1450</v>
      </c>
      <c r="K158" s="186">
        <v>396</v>
      </c>
      <c r="L158" s="187" t="s">
        <v>173</v>
      </c>
      <c r="M158" s="187" t="s">
        <v>175</v>
      </c>
    </row>
    <row r="159" spans="1:13" s="188" customFormat="1">
      <c r="A159" s="185" t="s">
        <v>1447</v>
      </c>
      <c r="B159" s="133" t="s">
        <v>3209</v>
      </c>
      <c r="C159" s="185" t="s">
        <v>3023</v>
      </c>
      <c r="D159" s="133" t="s">
        <v>3206</v>
      </c>
      <c r="E159" s="134">
        <v>1</v>
      </c>
      <c r="F159" s="135" t="s">
        <v>1449</v>
      </c>
      <c r="G159" s="185" t="s">
        <v>15</v>
      </c>
      <c r="H159" s="185" t="s">
        <v>15</v>
      </c>
      <c r="I159" s="185" t="s">
        <v>15</v>
      </c>
      <c r="J159" s="135" t="s">
        <v>1450</v>
      </c>
      <c r="K159" s="186">
        <v>372</v>
      </c>
      <c r="L159" s="187" t="s">
        <v>173</v>
      </c>
      <c r="M159" s="187" t="s">
        <v>175</v>
      </c>
    </row>
    <row r="160" spans="1:13" s="188" customFormat="1">
      <c r="A160" s="185" t="s">
        <v>1447</v>
      </c>
      <c r="B160" s="133" t="s">
        <v>3210</v>
      </c>
      <c r="C160" s="185" t="s">
        <v>3023</v>
      </c>
      <c r="D160" s="133" t="s">
        <v>3206</v>
      </c>
      <c r="E160" s="134">
        <v>1</v>
      </c>
      <c r="F160" s="135" t="s">
        <v>1449</v>
      </c>
      <c r="G160" s="185" t="s">
        <v>15</v>
      </c>
      <c r="H160" s="185" t="s">
        <v>15</v>
      </c>
      <c r="I160" s="185" t="s">
        <v>15</v>
      </c>
      <c r="J160" s="135" t="s">
        <v>1450</v>
      </c>
      <c r="K160" s="186">
        <v>348</v>
      </c>
      <c r="L160" s="187" t="s">
        <v>173</v>
      </c>
      <c r="M160" s="187" t="s">
        <v>175</v>
      </c>
    </row>
    <row r="161" spans="1:13" s="188" customFormat="1">
      <c r="A161" s="185" t="s">
        <v>1447</v>
      </c>
      <c r="B161" s="133" t="s">
        <v>3211</v>
      </c>
      <c r="C161" s="185" t="s">
        <v>3023</v>
      </c>
      <c r="D161" s="133" t="s">
        <v>1910</v>
      </c>
      <c r="E161" s="134">
        <v>1</v>
      </c>
      <c r="F161" s="135" t="s">
        <v>1449</v>
      </c>
      <c r="G161" s="185" t="s">
        <v>15</v>
      </c>
      <c r="H161" s="185" t="s">
        <v>15</v>
      </c>
      <c r="I161" s="185" t="s">
        <v>15</v>
      </c>
      <c r="J161" s="135" t="s">
        <v>1450</v>
      </c>
      <c r="K161" s="186">
        <v>9288</v>
      </c>
      <c r="L161" s="187" t="s">
        <v>173</v>
      </c>
      <c r="M161" s="187" t="s">
        <v>175</v>
      </c>
    </row>
    <row r="162" spans="1:13" s="188" customFormat="1">
      <c r="A162" s="185" t="s">
        <v>1447</v>
      </c>
      <c r="B162" s="133" t="s">
        <v>3212</v>
      </c>
      <c r="C162" s="185" t="s">
        <v>3023</v>
      </c>
      <c r="D162" s="133" t="s">
        <v>1910</v>
      </c>
      <c r="E162" s="134">
        <v>1</v>
      </c>
      <c r="F162" s="135" t="s">
        <v>1449</v>
      </c>
      <c r="G162" s="185" t="s">
        <v>15</v>
      </c>
      <c r="H162" s="185" t="s">
        <v>15</v>
      </c>
      <c r="I162" s="185" t="s">
        <v>15</v>
      </c>
      <c r="J162" s="135" t="s">
        <v>1450</v>
      </c>
      <c r="K162" s="186">
        <v>5916</v>
      </c>
      <c r="L162" s="187" t="s">
        <v>173</v>
      </c>
      <c r="M162" s="187" t="s">
        <v>175</v>
      </c>
    </row>
    <row r="163" spans="1:13" s="188" customFormat="1">
      <c r="A163" s="185" t="s">
        <v>1447</v>
      </c>
      <c r="B163" s="133" t="s">
        <v>3213</v>
      </c>
      <c r="C163" s="185" t="s">
        <v>3023</v>
      </c>
      <c r="D163" s="133" t="s">
        <v>1910</v>
      </c>
      <c r="E163" s="134">
        <v>1</v>
      </c>
      <c r="F163" s="135" t="s">
        <v>1449</v>
      </c>
      <c r="G163" s="185" t="s">
        <v>15</v>
      </c>
      <c r="H163" s="185" t="s">
        <v>15</v>
      </c>
      <c r="I163" s="185" t="s">
        <v>15</v>
      </c>
      <c r="J163" s="135" t="s">
        <v>1450</v>
      </c>
      <c r="K163" s="186">
        <v>4056</v>
      </c>
      <c r="L163" s="187" t="s">
        <v>173</v>
      </c>
      <c r="M163" s="187" t="s">
        <v>175</v>
      </c>
    </row>
    <row r="164" spans="1:13" s="188" customFormat="1">
      <c r="A164" s="185" t="s">
        <v>1447</v>
      </c>
      <c r="B164" s="133" t="s">
        <v>3214</v>
      </c>
      <c r="C164" s="185" t="s">
        <v>3023</v>
      </c>
      <c r="D164" s="133" t="s">
        <v>1910</v>
      </c>
      <c r="E164" s="134">
        <v>1</v>
      </c>
      <c r="F164" s="135" t="s">
        <v>1449</v>
      </c>
      <c r="G164" s="185" t="s">
        <v>15</v>
      </c>
      <c r="H164" s="185" t="s">
        <v>15</v>
      </c>
      <c r="I164" s="185" t="s">
        <v>15</v>
      </c>
      <c r="J164" s="135" t="s">
        <v>1450</v>
      </c>
      <c r="K164" s="186">
        <v>2880</v>
      </c>
      <c r="L164" s="187" t="s">
        <v>173</v>
      </c>
      <c r="M164" s="187" t="s">
        <v>175</v>
      </c>
    </row>
    <row r="165" spans="1:13" s="188" customFormat="1">
      <c r="A165" s="185" t="s">
        <v>1447</v>
      </c>
      <c r="B165" s="133" t="s">
        <v>3215</v>
      </c>
      <c r="C165" s="185" t="s">
        <v>3023</v>
      </c>
      <c r="D165" s="133" t="s">
        <v>1910</v>
      </c>
      <c r="E165" s="134">
        <v>1</v>
      </c>
      <c r="F165" s="135" t="s">
        <v>1449</v>
      </c>
      <c r="G165" s="185" t="s">
        <v>15</v>
      </c>
      <c r="H165" s="185" t="s">
        <v>15</v>
      </c>
      <c r="I165" s="185" t="s">
        <v>15</v>
      </c>
      <c r="J165" s="135" t="s">
        <v>1450</v>
      </c>
      <c r="K165" s="186">
        <v>1368</v>
      </c>
      <c r="L165" s="187" t="s">
        <v>173</v>
      </c>
      <c r="M165" s="187" t="s">
        <v>175</v>
      </c>
    </row>
    <row r="166" spans="1:13" s="188" customFormat="1">
      <c r="A166" s="185" t="s">
        <v>1447</v>
      </c>
      <c r="B166" s="133" t="s">
        <v>3216</v>
      </c>
      <c r="C166" s="185" t="s">
        <v>3023</v>
      </c>
      <c r="D166" s="133" t="s">
        <v>3217</v>
      </c>
      <c r="E166" s="134">
        <v>1</v>
      </c>
      <c r="F166" s="135" t="s">
        <v>1449</v>
      </c>
      <c r="G166" s="185" t="s">
        <v>15</v>
      </c>
      <c r="H166" s="185" t="s">
        <v>15</v>
      </c>
      <c r="I166" s="185" t="s">
        <v>15</v>
      </c>
      <c r="J166" s="135" t="s">
        <v>1450</v>
      </c>
      <c r="K166" s="186">
        <v>1056</v>
      </c>
      <c r="L166" s="187" t="s">
        <v>173</v>
      </c>
      <c r="M166" s="187" t="s">
        <v>175</v>
      </c>
    </row>
    <row r="167" spans="1:13" s="188" customFormat="1">
      <c r="A167" s="185" t="s">
        <v>1447</v>
      </c>
      <c r="B167" s="133" t="s">
        <v>3218</v>
      </c>
      <c r="C167" s="185" t="s">
        <v>3023</v>
      </c>
      <c r="D167" s="133" t="s">
        <v>3217</v>
      </c>
      <c r="E167" s="134">
        <v>1</v>
      </c>
      <c r="F167" s="135" t="s">
        <v>1449</v>
      </c>
      <c r="G167" s="185" t="s">
        <v>15</v>
      </c>
      <c r="H167" s="185" t="s">
        <v>15</v>
      </c>
      <c r="I167" s="185" t="s">
        <v>15</v>
      </c>
      <c r="J167" s="135" t="s">
        <v>1450</v>
      </c>
      <c r="K167" s="186">
        <v>408</v>
      </c>
      <c r="L167" s="187" t="s">
        <v>173</v>
      </c>
      <c r="M167" s="187" t="s">
        <v>175</v>
      </c>
    </row>
    <row r="168" spans="1:13" s="188" customFormat="1">
      <c r="A168" s="185" t="s">
        <v>1447</v>
      </c>
      <c r="B168" s="133" t="s">
        <v>3219</v>
      </c>
      <c r="C168" s="185" t="s">
        <v>3023</v>
      </c>
      <c r="D168" s="133" t="s">
        <v>3217</v>
      </c>
      <c r="E168" s="134">
        <v>1</v>
      </c>
      <c r="F168" s="135" t="s">
        <v>1449</v>
      </c>
      <c r="G168" s="185" t="s">
        <v>15</v>
      </c>
      <c r="H168" s="185" t="s">
        <v>15</v>
      </c>
      <c r="I168" s="185" t="s">
        <v>15</v>
      </c>
      <c r="J168" s="135" t="s">
        <v>1450</v>
      </c>
      <c r="K168" s="186">
        <v>312</v>
      </c>
      <c r="L168" s="187" t="s">
        <v>173</v>
      </c>
      <c r="M168" s="187" t="s">
        <v>175</v>
      </c>
    </row>
    <row r="169" spans="1:13" s="188" customFormat="1">
      <c r="A169" s="185" t="s">
        <v>1447</v>
      </c>
      <c r="B169" s="133" t="s">
        <v>3220</v>
      </c>
      <c r="C169" s="185" t="s">
        <v>3023</v>
      </c>
      <c r="D169" s="133" t="s">
        <v>3217</v>
      </c>
      <c r="E169" s="134">
        <v>1</v>
      </c>
      <c r="F169" s="135" t="s">
        <v>1449</v>
      </c>
      <c r="G169" s="185" t="s">
        <v>15</v>
      </c>
      <c r="H169" s="185" t="s">
        <v>15</v>
      </c>
      <c r="I169" s="185" t="s">
        <v>15</v>
      </c>
      <c r="J169" s="135" t="s">
        <v>1450</v>
      </c>
      <c r="K169" s="186">
        <v>240</v>
      </c>
      <c r="L169" s="187" t="s">
        <v>173</v>
      </c>
      <c r="M169" s="187" t="s">
        <v>175</v>
      </c>
    </row>
    <row r="170" spans="1:13" s="188" customFormat="1">
      <c r="A170" s="185" t="s">
        <v>1447</v>
      </c>
      <c r="B170" s="133" t="s">
        <v>3221</v>
      </c>
      <c r="C170" s="185" t="s">
        <v>3023</v>
      </c>
      <c r="D170" s="133" t="s">
        <v>3217</v>
      </c>
      <c r="E170" s="134">
        <v>1</v>
      </c>
      <c r="F170" s="135" t="s">
        <v>1449</v>
      </c>
      <c r="G170" s="185" t="s">
        <v>15</v>
      </c>
      <c r="H170" s="185" t="s">
        <v>15</v>
      </c>
      <c r="I170" s="185" t="s">
        <v>15</v>
      </c>
      <c r="J170" s="135" t="s">
        <v>1450</v>
      </c>
      <c r="K170" s="186">
        <v>120</v>
      </c>
      <c r="L170" s="187" t="s">
        <v>173</v>
      </c>
      <c r="M170" s="187" t="s">
        <v>175</v>
      </c>
    </row>
    <row r="171" spans="1:13" s="188" customFormat="1">
      <c r="A171" s="185" t="s">
        <v>1447</v>
      </c>
      <c r="B171" s="133" t="s">
        <v>3222</v>
      </c>
      <c r="C171" s="185" t="s">
        <v>3023</v>
      </c>
      <c r="D171" s="133" t="s">
        <v>1914</v>
      </c>
      <c r="E171" s="134">
        <v>1</v>
      </c>
      <c r="F171" s="135" t="s">
        <v>1449</v>
      </c>
      <c r="G171" s="185" t="s">
        <v>15</v>
      </c>
      <c r="H171" s="185" t="s">
        <v>15</v>
      </c>
      <c r="I171" s="185" t="s">
        <v>15</v>
      </c>
      <c r="J171" s="135" t="s">
        <v>1450</v>
      </c>
      <c r="K171" s="186">
        <v>1632</v>
      </c>
      <c r="L171" s="187" t="s">
        <v>173</v>
      </c>
      <c r="M171" s="187" t="s">
        <v>175</v>
      </c>
    </row>
    <row r="172" spans="1:13" s="188" customFormat="1">
      <c r="A172" s="185" t="s">
        <v>1447</v>
      </c>
      <c r="B172" s="133" t="s">
        <v>3223</v>
      </c>
      <c r="C172" s="185" t="s">
        <v>3023</v>
      </c>
      <c r="D172" s="133" t="s">
        <v>1914</v>
      </c>
      <c r="E172" s="134">
        <v>1</v>
      </c>
      <c r="F172" s="135" t="s">
        <v>1449</v>
      </c>
      <c r="G172" s="185" t="s">
        <v>15</v>
      </c>
      <c r="H172" s="185" t="s">
        <v>15</v>
      </c>
      <c r="I172" s="185" t="s">
        <v>15</v>
      </c>
      <c r="J172" s="135" t="s">
        <v>1450</v>
      </c>
      <c r="K172" s="186">
        <v>924</v>
      </c>
      <c r="L172" s="187" t="s">
        <v>173</v>
      </c>
      <c r="M172" s="187" t="s">
        <v>175</v>
      </c>
    </row>
    <row r="173" spans="1:13" s="188" customFormat="1">
      <c r="A173" s="185" t="s">
        <v>1447</v>
      </c>
      <c r="B173" s="133" t="s">
        <v>3224</v>
      </c>
      <c r="C173" s="185" t="s">
        <v>3023</v>
      </c>
      <c r="D173" s="133" t="s">
        <v>1914</v>
      </c>
      <c r="E173" s="134">
        <v>1</v>
      </c>
      <c r="F173" s="135" t="s">
        <v>1449</v>
      </c>
      <c r="G173" s="185" t="s">
        <v>15</v>
      </c>
      <c r="H173" s="185" t="s">
        <v>15</v>
      </c>
      <c r="I173" s="185" t="s">
        <v>15</v>
      </c>
      <c r="J173" s="135" t="s">
        <v>1450</v>
      </c>
      <c r="K173" s="186">
        <v>744</v>
      </c>
      <c r="L173" s="187" t="s">
        <v>173</v>
      </c>
      <c r="M173" s="187" t="s">
        <v>175</v>
      </c>
    </row>
    <row r="174" spans="1:13" s="188" customFormat="1">
      <c r="A174" s="185" t="s">
        <v>1447</v>
      </c>
      <c r="B174" s="133" t="s">
        <v>3225</v>
      </c>
      <c r="C174" s="185" t="s">
        <v>3023</v>
      </c>
      <c r="D174" s="133" t="s">
        <v>1915</v>
      </c>
      <c r="E174" s="134">
        <v>1</v>
      </c>
      <c r="F174" s="135" t="s">
        <v>1449</v>
      </c>
      <c r="G174" s="185" t="s">
        <v>15</v>
      </c>
      <c r="H174" s="185" t="s">
        <v>15</v>
      </c>
      <c r="I174" s="185" t="s">
        <v>15</v>
      </c>
      <c r="J174" s="135" t="s">
        <v>1450</v>
      </c>
      <c r="K174" s="186">
        <v>3504</v>
      </c>
      <c r="L174" s="187" t="s">
        <v>173</v>
      </c>
      <c r="M174" s="187" t="s">
        <v>175</v>
      </c>
    </row>
    <row r="175" spans="1:13" s="188" customFormat="1">
      <c r="A175" s="185" t="s">
        <v>1447</v>
      </c>
      <c r="B175" s="133" t="s">
        <v>3226</v>
      </c>
      <c r="C175" s="185" t="s">
        <v>3023</v>
      </c>
      <c r="D175" s="133" t="s">
        <v>1915</v>
      </c>
      <c r="E175" s="134">
        <v>1</v>
      </c>
      <c r="F175" s="135" t="s">
        <v>1449</v>
      </c>
      <c r="G175" s="185" t="s">
        <v>15</v>
      </c>
      <c r="H175" s="185" t="s">
        <v>15</v>
      </c>
      <c r="I175" s="185" t="s">
        <v>15</v>
      </c>
      <c r="J175" s="135" t="s">
        <v>1450</v>
      </c>
      <c r="K175" s="186">
        <v>1668</v>
      </c>
      <c r="L175" s="187" t="s">
        <v>173</v>
      </c>
      <c r="M175" s="187" t="s">
        <v>175</v>
      </c>
    </row>
    <row r="176" spans="1:13" s="188" customFormat="1">
      <c r="A176" s="185" t="s">
        <v>1447</v>
      </c>
      <c r="B176" s="133" t="s">
        <v>3227</v>
      </c>
      <c r="C176" s="185" t="s">
        <v>3023</v>
      </c>
      <c r="D176" s="133" t="s">
        <v>1915</v>
      </c>
      <c r="E176" s="134">
        <v>1</v>
      </c>
      <c r="F176" s="135" t="s">
        <v>1449</v>
      </c>
      <c r="G176" s="185" t="s">
        <v>15</v>
      </c>
      <c r="H176" s="185" t="s">
        <v>15</v>
      </c>
      <c r="I176" s="185" t="s">
        <v>15</v>
      </c>
      <c r="J176" s="135" t="s">
        <v>1450</v>
      </c>
      <c r="K176" s="186">
        <v>732</v>
      </c>
      <c r="L176" s="187" t="s">
        <v>173</v>
      </c>
      <c r="M176" s="187" t="s">
        <v>175</v>
      </c>
    </row>
    <row r="177" spans="1:13" s="188" customFormat="1">
      <c r="A177" s="185" t="s">
        <v>1447</v>
      </c>
      <c r="B177" s="133" t="s">
        <v>3228</v>
      </c>
      <c r="C177" s="185" t="s">
        <v>3023</v>
      </c>
      <c r="D177" s="133" t="s">
        <v>1916</v>
      </c>
      <c r="E177" s="134">
        <v>1</v>
      </c>
      <c r="F177" s="135" t="s">
        <v>1449</v>
      </c>
      <c r="G177" s="185" t="s">
        <v>15</v>
      </c>
      <c r="H177" s="185" t="s">
        <v>15</v>
      </c>
      <c r="I177" s="185" t="s">
        <v>15</v>
      </c>
      <c r="J177" s="135" t="s">
        <v>1450</v>
      </c>
      <c r="K177" s="186">
        <v>40092</v>
      </c>
      <c r="L177" s="187" t="s">
        <v>173</v>
      </c>
      <c r="M177" s="187" t="s">
        <v>175</v>
      </c>
    </row>
    <row r="178" spans="1:13" s="188" customFormat="1">
      <c r="A178" s="185" t="s">
        <v>1447</v>
      </c>
      <c r="B178" s="133" t="s">
        <v>3229</v>
      </c>
      <c r="C178" s="185" t="s">
        <v>3023</v>
      </c>
      <c r="D178" s="133" t="s">
        <v>1916</v>
      </c>
      <c r="E178" s="134">
        <v>1</v>
      </c>
      <c r="F178" s="135" t="s">
        <v>1449</v>
      </c>
      <c r="G178" s="185" t="s">
        <v>15</v>
      </c>
      <c r="H178" s="185" t="s">
        <v>15</v>
      </c>
      <c r="I178" s="185" t="s">
        <v>15</v>
      </c>
      <c r="J178" s="135" t="s">
        <v>1450</v>
      </c>
      <c r="K178" s="186">
        <v>19296</v>
      </c>
      <c r="L178" s="187" t="s">
        <v>173</v>
      </c>
      <c r="M178" s="187" t="s">
        <v>175</v>
      </c>
    </row>
    <row r="179" spans="1:13" s="188" customFormat="1">
      <c r="A179" s="185" t="s">
        <v>1447</v>
      </c>
      <c r="B179" s="133" t="s">
        <v>3230</v>
      </c>
      <c r="C179" s="185" t="s">
        <v>3023</v>
      </c>
      <c r="D179" s="133" t="s">
        <v>1916</v>
      </c>
      <c r="E179" s="134">
        <v>1</v>
      </c>
      <c r="F179" s="135" t="s">
        <v>1449</v>
      </c>
      <c r="G179" s="185" t="s">
        <v>15</v>
      </c>
      <c r="H179" s="185" t="s">
        <v>15</v>
      </c>
      <c r="I179" s="185" t="s">
        <v>15</v>
      </c>
      <c r="J179" s="135" t="s">
        <v>1450</v>
      </c>
      <c r="K179" s="186">
        <v>9312</v>
      </c>
      <c r="L179" s="187" t="s">
        <v>173</v>
      </c>
      <c r="M179" s="187" t="s">
        <v>175</v>
      </c>
    </row>
    <row r="180" spans="1:13" s="188" customFormat="1">
      <c r="A180" s="185" t="s">
        <v>1447</v>
      </c>
      <c r="B180" s="133" t="s">
        <v>3231</v>
      </c>
      <c r="C180" s="185" t="s">
        <v>3023</v>
      </c>
      <c r="D180" s="133" t="s">
        <v>1916</v>
      </c>
      <c r="E180" s="134">
        <v>1</v>
      </c>
      <c r="F180" s="135" t="s">
        <v>1449</v>
      </c>
      <c r="G180" s="185" t="s">
        <v>15</v>
      </c>
      <c r="H180" s="185" t="s">
        <v>15</v>
      </c>
      <c r="I180" s="185" t="s">
        <v>15</v>
      </c>
      <c r="J180" s="135" t="s">
        <v>1450</v>
      </c>
      <c r="K180" s="186">
        <v>8400</v>
      </c>
      <c r="L180" s="187" t="s">
        <v>173</v>
      </c>
      <c r="M180" s="187" t="s">
        <v>175</v>
      </c>
    </row>
    <row r="181" spans="1:13" s="188" customFormat="1">
      <c r="A181" s="185" t="s">
        <v>1447</v>
      </c>
      <c r="B181" s="133" t="s">
        <v>3232</v>
      </c>
      <c r="C181" s="185" t="s">
        <v>3023</v>
      </c>
      <c r="D181" s="133" t="s">
        <v>1916</v>
      </c>
      <c r="E181" s="134">
        <v>1</v>
      </c>
      <c r="F181" s="135" t="s">
        <v>1449</v>
      </c>
      <c r="G181" s="185" t="s">
        <v>15</v>
      </c>
      <c r="H181" s="185" t="s">
        <v>15</v>
      </c>
      <c r="I181" s="185" t="s">
        <v>15</v>
      </c>
      <c r="J181" s="135" t="s">
        <v>1450</v>
      </c>
      <c r="K181" s="186">
        <v>7272</v>
      </c>
      <c r="L181" s="187" t="s">
        <v>173</v>
      </c>
      <c r="M181" s="187" t="s">
        <v>175</v>
      </c>
    </row>
    <row r="182" spans="1:13" s="188" customFormat="1">
      <c r="A182" s="185" t="s">
        <v>1447</v>
      </c>
      <c r="B182" s="133" t="s">
        <v>3233</v>
      </c>
      <c r="C182" s="185" t="s">
        <v>3023</v>
      </c>
      <c r="D182" s="133" t="s">
        <v>1917</v>
      </c>
      <c r="E182" s="134">
        <v>1</v>
      </c>
      <c r="F182" s="135" t="s">
        <v>1449</v>
      </c>
      <c r="G182" s="185" t="s">
        <v>15</v>
      </c>
      <c r="H182" s="185" t="s">
        <v>15</v>
      </c>
      <c r="I182" s="185" t="s">
        <v>15</v>
      </c>
      <c r="J182" s="135" t="s">
        <v>1450</v>
      </c>
      <c r="K182" s="186">
        <v>26448</v>
      </c>
      <c r="L182" s="187" t="s">
        <v>173</v>
      </c>
      <c r="M182" s="187" t="s">
        <v>175</v>
      </c>
    </row>
    <row r="183" spans="1:13" s="188" customFormat="1">
      <c r="A183" s="185" t="s">
        <v>1447</v>
      </c>
      <c r="B183" s="133" t="s">
        <v>3234</v>
      </c>
      <c r="C183" s="185" t="s">
        <v>3023</v>
      </c>
      <c r="D183" s="133" t="s">
        <v>1917</v>
      </c>
      <c r="E183" s="134">
        <v>1</v>
      </c>
      <c r="F183" s="135" t="s">
        <v>1449</v>
      </c>
      <c r="G183" s="185" t="s">
        <v>15</v>
      </c>
      <c r="H183" s="185" t="s">
        <v>15</v>
      </c>
      <c r="I183" s="185" t="s">
        <v>15</v>
      </c>
      <c r="J183" s="135" t="s">
        <v>1450</v>
      </c>
      <c r="K183" s="186">
        <v>11508</v>
      </c>
      <c r="L183" s="187" t="s">
        <v>173</v>
      </c>
      <c r="M183" s="187" t="s">
        <v>175</v>
      </c>
    </row>
    <row r="184" spans="1:13" s="188" customFormat="1">
      <c r="A184" s="185" t="s">
        <v>1447</v>
      </c>
      <c r="B184" s="133" t="s">
        <v>3235</v>
      </c>
      <c r="C184" s="185" t="s">
        <v>3023</v>
      </c>
      <c r="D184" s="133" t="s">
        <v>1917</v>
      </c>
      <c r="E184" s="134">
        <v>1</v>
      </c>
      <c r="F184" s="135" t="s">
        <v>1449</v>
      </c>
      <c r="G184" s="185" t="s">
        <v>15</v>
      </c>
      <c r="H184" s="185" t="s">
        <v>15</v>
      </c>
      <c r="I184" s="185" t="s">
        <v>15</v>
      </c>
      <c r="J184" s="135" t="s">
        <v>1450</v>
      </c>
      <c r="K184" s="186">
        <v>9036</v>
      </c>
      <c r="L184" s="187" t="s">
        <v>173</v>
      </c>
      <c r="M184" s="187" t="s">
        <v>175</v>
      </c>
    </row>
    <row r="185" spans="1:13" s="188" customFormat="1">
      <c r="A185" s="185" t="s">
        <v>1447</v>
      </c>
      <c r="B185" s="133" t="s">
        <v>3236</v>
      </c>
      <c r="C185" s="185" t="s">
        <v>3023</v>
      </c>
      <c r="D185" s="133" t="s">
        <v>3237</v>
      </c>
      <c r="E185" s="134">
        <v>1</v>
      </c>
      <c r="F185" s="135" t="s">
        <v>1449</v>
      </c>
      <c r="G185" s="185" t="s">
        <v>15</v>
      </c>
      <c r="H185" s="185" t="s">
        <v>15</v>
      </c>
      <c r="I185" s="185" t="s">
        <v>15</v>
      </c>
      <c r="J185" s="135" t="s">
        <v>1450</v>
      </c>
      <c r="K185" s="186">
        <v>19452</v>
      </c>
      <c r="L185" s="187" t="s">
        <v>173</v>
      </c>
      <c r="M185" s="187" t="s">
        <v>175</v>
      </c>
    </row>
    <row r="186" spans="1:13" s="188" customFormat="1">
      <c r="A186" s="185" t="s">
        <v>1447</v>
      </c>
      <c r="B186" s="133" t="s">
        <v>3238</v>
      </c>
      <c r="C186" s="185" t="s">
        <v>3023</v>
      </c>
      <c r="D186" s="133" t="s">
        <v>3237</v>
      </c>
      <c r="E186" s="134">
        <v>1</v>
      </c>
      <c r="F186" s="135" t="s">
        <v>1449</v>
      </c>
      <c r="G186" s="185" t="s">
        <v>15</v>
      </c>
      <c r="H186" s="185" t="s">
        <v>15</v>
      </c>
      <c r="I186" s="185" t="s">
        <v>15</v>
      </c>
      <c r="J186" s="135" t="s">
        <v>1450</v>
      </c>
      <c r="K186" s="186">
        <v>11712</v>
      </c>
      <c r="L186" s="187" t="s">
        <v>173</v>
      </c>
      <c r="M186" s="187" t="s">
        <v>175</v>
      </c>
    </row>
    <row r="187" spans="1:13" s="188" customFormat="1">
      <c r="A187" s="185" t="s">
        <v>1447</v>
      </c>
      <c r="B187" s="133" t="s">
        <v>3239</v>
      </c>
      <c r="C187" s="185" t="s">
        <v>3023</v>
      </c>
      <c r="D187" s="133" t="s">
        <v>3237</v>
      </c>
      <c r="E187" s="134">
        <v>1</v>
      </c>
      <c r="F187" s="135" t="s">
        <v>1449</v>
      </c>
      <c r="G187" s="185" t="s">
        <v>15</v>
      </c>
      <c r="H187" s="185" t="s">
        <v>15</v>
      </c>
      <c r="I187" s="185" t="s">
        <v>15</v>
      </c>
      <c r="J187" s="135" t="s">
        <v>1450</v>
      </c>
      <c r="K187" s="186">
        <v>6144</v>
      </c>
      <c r="L187" s="187" t="s">
        <v>173</v>
      </c>
      <c r="M187" s="187" t="s">
        <v>175</v>
      </c>
    </row>
    <row r="188" spans="1:13" s="188" customFormat="1">
      <c r="A188" s="185" t="s">
        <v>1447</v>
      </c>
      <c r="B188" s="133" t="s">
        <v>3240</v>
      </c>
      <c r="C188" s="185" t="s">
        <v>3023</v>
      </c>
      <c r="D188" s="133" t="s">
        <v>1919</v>
      </c>
      <c r="E188" s="134">
        <v>1</v>
      </c>
      <c r="F188" s="135" t="s">
        <v>1449</v>
      </c>
      <c r="G188" s="185" t="s">
        <v>15</v>
      </c>
      <c r="H188" s="185" t="s">
        <v>15</v>
      </c>
      <c r="I188" s="185" t="s">
        <v>15</v>
      </c>
      <c r="J188" s="135" t="s">
        <v>1450</v>
      </c>
      <c r="K188" s="186">
        <v>2592</v>
      </c>
      <c r="L188" s="187" t="s">
        <v>173</v>
      </c>
      <c r="M188" s="187" t="s">
        <v>175</v>
      </c>
    </row>
    <row r="189" spans="1:13" s="188" customFormat="1">
      <c r="A189" s="185" t="s">
        <v>1447</v>
      </c>
      <c r="B189" s="133" t="s">
        <v>3241</v>
      </c>
      <c r="C189" s="185" t="s">
        <v>3023</v>
      </c>
      <c r="D189" s="133" t="s">
        <v>1919</v>
      </c>
      <c r="E189" s="134">
        <v>1</v>
      </c>
      <c r="F189" s="135" t="s">
        <v>1449</v>
      </c>
      <c r="G189" s="185" t="s">
        <v>15</v>
      </c>
      <c r="H189" s="185" t="s">
        <v>15</v>
      </c>
      <c r="I189" s="185" t="s">
        <v>15</v>
      </c>
      <c r="J189" s="135" t="s">
        <v>1450</v>
      </c>
      <c r="K189" s="186">
        <v>1728</v>
      </c>
      <c r="L189" s="187" t="s">
        <v>173</v>
      </c>
      <c r="M189" s="187" t="s">
        <v>175</v>
      </c>
    </row>
    <row r="190" spans="1:13" s="188" customFormat="1">
      <c r="A190" s="185" t="s">
        <v>1447</v>
      </c>
      <c r="B190" s="133" t="s">
        <v>3242</v>
      </c>
      <c r="C190" s="185" t="s">
        <v>3023</v>
      </c>
      <c r="D190" s="133" t="s">
        <v>1919</v>
      </c>
      <c r="E190" s="134">
        <v>1</v>
      </c>
      <c r="F190" s="135" t="s">
        <v>1449</v>
      </c>
      <c r="G190" s="185" t="s">
        <v>15</v>
      </c>
      <c r="H190" s="185" t="s">
        <v>15</v>
      </c>
      <c r="I190" s="185" t="s">
        <v>15</v>
      </c>
      <c r="J190" s="135" t="s">
        <v>1450</v>
      </c>
      <c r="K190" s="186">
        <v>1068</v>
      </c>
      <c r="L190" s="187" t="s">
        <v>173</v>
      </c>
      <c r="M190" s="187" t="s">
        <v>175</v>
      </c>
    </row>
    <row r="191" spans="1:13" s="188" customFormat="1">
      <c r="A191" s="185" t="s">
        <v>1447</v>
      </c>
      <c r="B191" s="133" t="s">
        <v>3243</v>
      </c>
      <c r="C191" s="185" t="s">
        <v>3023</v>
      </c>
      <c r="D191" s="133" t="s">
        <v>1920</v>
      </c>
      <c r="E191" s="134">
        <v>1</v>
      </c>
      <c r="F191" s="135" t="s">
        <v>1449</v>
      </c>
      <c r="G191" s="185" t="s">
        <v>15</v>
      </c>
      <c r="H191" s="185" t="s">
        <v>15</v>
      </c>
      <c r="I191" s="185" t="s">
        <v>15</v>
      </c>
      <c r="J191" s="135" t="s">
        <v>1450</v>
      </c>
      <c r="K191" s="186">
        <v>4248</v>
      </c>
      <c r="L191" s="187" t="s">
        <v>173</v>
      </c>
      <c r="M191" s="187" t="s">
        <v>175</v>
      </c>
    </row>
    <row r="192" spans="1:13" s="188" customFormat="1">
      <c r="A192" s="185" t="s">
        <v>1447</v>
      </c>
      <c r="B192" s="133" t="s">
        <v>3244</v>
      </c>
      <c r="C192" s="185" t="s">
        <v>3023</v>
      </c>
      <c r="D192" s="133" t="s">
        <v>1920</v>
      </c>
      <c r="E192" s="134">
        <v>1</v>
      </c>
      <c r="F192" s="135" t="s">
        <v>1449</v>
      </c>
      <c r="G192" s="185" t="s">
        <v>15</v>
      </c>
      <c r="H192" s="185" t="s">
        <v>15</v>
      </c>
      <c r="I192" s="185" t="s">
        <v>15</v>
      </c>
      <c r="J192" s="135" t="s">
        <v>1450</v>
      </c>
      <c r="K192" s="186">
        <v>2052</v>
      </c>
      <c r="L192" s="187" t="s">
        <v>173</v>
      </c>
      <c r="M192" s="187" t="s">
        <v>175</v>
      </c>
    </row>
    <row r="193" spans="1:13" s="188" customFormat="1">
      <c r="A193" s="185" t="s">
        <v>1447</v>
      </c>
      <c r="B193" s="133" t="s">
        <v>3245</v>
      </c>
      <c r="C193" s="185" t="s">
        <v>3023</v>
      </c>
      <c r="D193" s="133" t="s">
        <v>1920</v>
      </c>
      <c r="E193" s="134">
        <v>1</v>
      </c>
      <c r="F193" s="135" t="s">
        <v>1449</v>
      </c>
      <c r="G193" s="185" t="s">
        <v>15</v>
      </c>
      <c r="H193" s="185" t="s">
        <v>15</v>
      </c>
      <c r="I193" s="185" t="s">
        <v>15</v>
      </c>
      <c r="J193" s="135" t="s">
        <v>1450</v>
      </c>
      <c r="K193" s="186">
        <v>912</v>
      </c>
      <c r="L193" s="187" t="s">
        <v>173</v>
      </c>
      <c r="M193" s="187" t="s">
        <v>175</v>
      </c>
    </row>
    <row r="194" spans="1:13" s="188" customFormat="1">
      <c r="A194" s="185" t="s">
        <v>1447</v>
      </c>
      <c r="B194" s="133" t="s">
        <v>3246</v>
      </c>
      <c r="C194" s="185" t="s">
        <v>3023</v>
      </c>
      <c r="D194" s="133" t="s">
        <v>1921</v>
      </c>
      <c r="E194" s="134">
        <v>1</v>
      </c>
      <c r="F194" s="135" t="s">
        <v>1449</v>
      </c>
      <c r="G194" s="185" t="s">
        <v>15</v>
      </c>
      <c r="H194" s="185" t="s">
        <v>15</v>
      </c>
      <c r="I194" s="185" t="s">
        <v>15</v>
      </c>
      <c r="J194" s="135" t="s">
        <v>1450</v>
      </c>
      <c r="K194" s="186">
        <v>468</v>
      </c>
      <c r="L194" s="187" t="s">
        <v>173</v>
      </c>
      <c r="M194" s="187" t="s">
        <v>175</v>
      </c>
    </row>
    <row r="195" spans="1:13" s="188" customFormat="1">
      <c r="A195" s="185" t="s">
        <v>1447</v>
      </c>
      <c r="B195" s="133" t="s">
        <v>3247</v>
      </c>
      <c r="C195" s="185" t="s">
        <v>3023</v>
      </c>
      <c r="D195" s="133" t="s">
        <v>1921</v>
      </c>
      <c r="E195" s="134">
        <v>1</v>
      </c>
      <c r="F195" s="135" t="s">
        <v>1449</v>
      </c>
      <c r="G195" s="185" t="s">
        <v>15</v>
      </c>
      <c r="H195" s="185" t="s">
        <v>15</v>
      </c>
      <c r="I195" s="185" t="s">
        <v>15</v>
      </c>
      <c r="J195" s="135" t="s">
        <v>1450</v>
      </c>
      <c r="K195" s="186">
        <v>300</v>
      </c>
      <c r="L195" s="187" t="s">
        <v>173</v>
      </c>
      <c r="M195" s="187" t="s">
        <v>175</v>
      </c>
    </row>
    <row r="196" spans="1:13" s="188" customFormat="1">
      <c r="A196" s="185" t="s">
        <v>1447</v>
      </c>
      <c r="B196" s="133" t="s">
        <v>3248</v>
      </c>
      <c r="C196" s="185" t="s">
        <v>3023</v>
      </c>
      <c r="D196" s="133" t="s">
        <v>1921</v>
      </c>
      <c r="E196" s="134">
        <v>1</v>
      </c>
      <c r="F196" s="135" t="s">
        <v>1449</v>
      </c>
      <c r="G196" s="185" t="s">
        <v>15</v>
      </c>
      <c r="H196" s="185" t="s">
        <v>15</v>
      </c>
      <c r="I196" s="185" t="s">
        <v>15</v>
      </c>
      <c r="J196" s="135" t="s">
        <v>1450</v>
      </c>
      <c r="K196" s="186">
        <v>264</v>
      </c>
      <c r="L196" s="187" t="s">
        <v>173</v>
      </c>
      <c r="M196" s="187" t="s">
        <v>175</v>
      </c>
    </row>
    <row r="197" spans="1:13" s="188" customFormat="1">
      <c r="A197" s="185" t="s">
        <v>1447</v>
      </c>
      <c r="B197" s="133" t="s">
        <v>3249</v>
      </c>
      <c r="C197" s="185" t="s">
        <v>3023</v>
      </c>
      <c r="D197" s="133" t="s">
        <v>1922</v>
      </c>
      <c r="E197" s="134">
        <v>1</v>
      </c>
      <c r="F197" s="135" t="s">
        <v>1449</v>
      </c>
      <c r="G197" s="185" t="s">
        <v>15</v>
      </c>
      <c r="H197" s="185" t="s">
        <v>15</v>
      </c>
      <c r="I197" s="185" t="s">
        <v>15</v>
      </c>
      <c r="J197" s="135" t="s">
        <v>1450</v>
      </c>
      <c r="K197" s="186">
        <v>18576</v>
      </c>
      <c r="L197" s="187" t="s">
        <v>173</v>
      </c>
      <c r="M197" s="187" t="s">
        <v>175</v>
      </c>
    </row>
    <row r="198" spans="1:13" s="188" customFormat="1">
      <c r="A198" s="185" t="s">
        <v>1447</v>
      </c>
      <c r="B198" s="133" t="s">
        <v>3250</v>
      </c>
      <c r="C198" s="185" t="s">
        <v>3023</v>
      </c>
      <c r="D198" s="133" t="s">
        <v>1922</v>
      </c>
      <c r="E198" s="134">
        <v>1</v>
      </c>
      <c r="F198" s="135" t="s">
        <v>1449</v>
      </c>
      <c r="G198" s="185" t="s">
        <v>15</v>
      </c>
      <c r="H198" s="185" t="s">
        <v>15</v>
      </c>
      <c r="I198" s="185" t="s">
        <v>15</v>
      </c>
      <c r="J198" s="135" t="s">
        <v>1450</v>
      </c>
      <c r="K198" s="186">
        <v>8436</v>
      </c>
      <c r="L198" s="187" t="s">
        <v>173</v>
      </c>
      <c r="M198" s="187" t="s">
        <v>175</v>
      </c>
    </row>
    <row r="199" spans="1:13" s="188" customFormat="1">
      <c r="A199" s="185" t="s">
        <v>1447</v>
      </c>
      <c r="B199" s="133" t="s">
        <v>3251</v>
      </c>
      <c r="C199" s="185" t="s">
        <v>3023</v>
      </c>
      <c r="D199" s="133" t="s">
        <v>1922</v>
      </c>
      <c r="E199" s="134">
        <v>1</v>
      </c>
      <c r="F199" s="135" t="s">
        <v>1449</v>
      </c>
      <c r="G199" s="185" t="s">
        <v>15</v>
      </c>
      <c r="H199" s="185" t="s">
        <v>15</v>
      </c>
      <c r="I199" s="185" t="s">
        <v>15</v>
      </c>
      <c r="J199" s="135" t="s">
        <v>1450</v>
      </c>
      <c r="K199" s="186">
        <v>4224</v>
      </c>
      <c r="L199" s="187" t="s">
        <v>173</v>
      </c>
      <c r="M199" s="187" t="s">
        <v>175</v>
      </c>
    </row>
    <row r="200" spans="1:13" s="188" customFormat="1">
      <c r="A200" s="185" t="s">
        <v>1447</v>
      </c>
      <c r="B200" s="133" t="s">
        <v>3252</v>
      </c>
      <c r="C200" s="185" t="s">
        <v>3023</v>
      </c>
      <c r="D200" s="133" t="s">
        <v>1923</v>
      </c>
      <c r="E200" s="134">
        <v>1</v>
      </c>
      <c r="F200" s="135" t="s">
        <v>1449</v>
      </c>
      <c r="G200" s="185" t="s">
        <v>15</v>
      </c>
      <c r="H200" s="185" t="s">
        <v>15</v>
      </c>
      <c r="I200" s="185" t="s">
        <v>15</v>
      </c>
      <c r="J200" s="135" t="s">
        <v>1450</v>
      </c>
      <c r="K200" s="186">
        <v>2280</v>
      </c>
      <c r="L200" s="187" t="s">
        <v>173</v>
      </c>
      <c r="M200" s="187" t="s">
        <v>175</v>
      </c>
    </row>
    <row r="201" spans="1:13" s="188" customFormat="1">
      <c r="A201" s="185" t="s">
        <v>1447</v>
      </c>
      <c r="B201" s="133" t="s">
        <v>3253</v>
      </c>
      <c r="C201" s="185" t="s">
        <v>3023</v>
      </c>
      <c r="D201" s="133" t="s">
        <v>1923</v>
      </c>
      <c r="E201" s="134">
        <v>1</v>
      </c>
      <c r="F201" s="135" t="s">
        <v>1449</v>
      </c>
      <c r="G201" s="185" t="s">
        <v>15</v>
      </c>
      <c r="H201" s="185" t="s">
        <v>15</v>
      </c>
      <c r="I201" s="185" t="s">
        <v>15</v>
      </c>
      <c r="J201" s="135" t="s">
        <v>1450</v>
      </c>
      <c r="K201" s="186">
        <v>960</v>
      </c>
      <c r="L201" s="187" t="s">
        <v>173</v>
      </c>
      <c r="M201" s="187" t="s">
        <v>175</v>
      </c>
    </row>
    <row r="202" spans="1:13" s="188" customFormat="1">
      <c r="A202" s="185" t="s">
        <v>1447</v>
      </c>
      <c r="B202" s="133" t="s">
        <v>3254</v>
      </c>
      <c r="C202" s="185" t="s">
        <v>3023</v>
      </c>
      <c r="D202" s="133" t="s">
        <v>1923</v>
      </c>
      <c r="E202" s="134">
        <v>1</v>
      </c>
      <c r="F202" s="135" t="s">
        <v>1449</v>
      </c>
      <c r="G202" s="185" t="s">
        <v>15</v>
      </c>
      <c r="H202" s="185" t="s">
        <v>15</v>
      </c>
      <c r="I202" s="185" t="s">
        <v>15</v>
      </c>
      <c r="J202" s="135" t="s">
        <v>1450</v>
      </c>
      <c r="K202" s="186">
        <v>576</v>
      </c>
      <c r="L202" s="187" t="s">
        <v>173</v>
      </c>
      <c r="M202" s="187" t="s">
        <v>175</v>
      </c>
    </row>
    <row r="203" spans="1:13" s="188" customFormat="1">
      <c r="A203" s="185" t="s">
        <v>1447</v>
      </c>
      <c r="B203" s="133" t="s">
        <v>3255</v>
      </c>
      <c r="C203" s="185" t="s">
        <v>3023</v>
      </c>
      <c r="D203" s="133" t="s">
        <v>3256</v>
      </c>
      <c r="E203" s="134">
        <v>1</v>
      </c>
      <c r="F203" s="135" t="s">
        <v>1449</v>
      </c>
      <c r="G203" s="185" t="s">
        <v>15</v>
      </c>
      <c r="H203" s="185" t="s">
        <v>15</v>
      </c>
      <c r="I203" s="185" t="s">
        <v>15</v>
      </c>
      <c r="J203" s="135" t="s">
        <v>1450</v>
      </c>
      <c r="K203" s="186">
        <v>1524</v>
      </c>
      <c r="L203" s="187" t="s">
        <v>173</v>
      </c>
      <c r="M203" s="187" t="s">
        <v>175</v>
      </c>
    </row>
    <row r="204" spans="1:13" s="188" customFormat="1">
      <c r="A204" s="185" t="s">
        <v>1447</v>
      </c>
      <c r="B204" s="133" t="s">
        <v>3257</v>
      </c>
      <c r="C204" s="185" t="s">
        <v>3023</v>
      </c>
      <c r="D204" s="133" t="s">
        <v>3256</v>
      </c>
      <c r="E204" s="134">
        <v>1</v>
      </c>
      <c r="F204" s="135" t="s">
        <v>1449</v>
      </c>
      <c r="G204" s="185" t="s">
        <v>15</v>
      </c>
      <c r="H204" s="185" t="s">
        <v>15</v>
      </c>
      <c r="I204" s="185" t="s">
        <v>15</v>
      </c>
      <c r="J204" s="135" t="s">
        <v>1450</v>
      </c>
      <c r="K204" s="186">
        <v>696</v>
      </c>
      <c r="L204" s="187" t="s">
        <v>173</v>
      </c>
      <c r="M204" s="187" t="s">
        <v>175</v>
      </c>
    </row>
    <row r="205" spans="1:13" s="188" customFormat="1">
      <c r="A205" s="185" t="s">
        <v>1447</v>
      </c>
      <c r="B205" s="133" t="s">
        <v>3258</v>
      </c>
      <c r="C205" s="185" t="s">
        <v>3023</v>
      </c>
      <c r="D205" s="133" t="s">
        <v>3256</v>
      </c>
      <c r="E205" s="134">
        <v>1</v>
      </c>
      <c r="F205" s="135" t="s">
        <v>1449</v>
      </c>
      <c r="G205" s="185" t="s">
        <v>15</v>
      </c>
      <c r="H205" s="185" t="s">
        <v>15</v>
      </c>
      <c r="I205" s="185" t="s">
        <v>15</v>
      </c>
      <c r="J205" s="135" t="s">
        <v>1450</v>
      </c>
      <c r="K205" s="186">
        <v>528</v>
      </c>
      <c r="L205" s="187" t="s">
        <v>173</v>
      </c>
      <c r="M205" s="187" t="s">
        <v>175</v>
      </c>
    </row>
    <row r="206" spans="1:13" s="188" customFormat="1">
      <c r="A206" s="185" t="s">
        <v>1447</v>
      </c>
      <c r="B206" s="133" t="s">
        <v>3259</v>
      </c>
      <c r="C206" s="185" t="s">
        <v>3023</v>
      </c>
      <c r="D206" s="133" t="s">
        <v>1927</v>
      </c>
      <c r="E206" s="134">
        <v>1</v>
      </c>
      <c r="F206" s="135" t="s">
        <v>1449</v>
      </c>
      <c r="G206" s="185" t="s">
        <v>15</v>
      </c>
      <c r="H206" s="185" t="s">
        <v>15</v>
      </c>
      <c r="I206" s="185" t="s">
        <v>15</v>
      </c>
      <c r="J206" s="135" t="s">
        <v>1450</v>
      </c>
      <c r="K206" s="186">
        <v>3276</v>
      </c>
      <c r="L206" s="187" t="s">
        <v>173</v>
      </c>
      <c r="M206" s="187" t="s">
        <v>175</v>
      </c>
    </row>
    <row r="207" spans="1:13" s="188" customFormat="1">
      <c r="A207" s="185" t="s">
        <v>1447</v>
      </c>
      <c r="B207" s="133" t="s">
        <v>3260</v>
      </c>
      <c r="C207" s="185" t="s">
        <v>3023</v>
      </c>
      <c r="D207" s="133" t="s">
        <v>1927</v>
      </c>
      <c r="E207" s="134">
        <v>1</v>
      </c>
      <c r="F207" s="135" t="s">
        <v>1449</v>
      </c>
      <c r="G207" s="185" t="s">
        <v>15</v>
      </c>
      <c r="H207" s="185" t="s">
        <v>15</v>
      </c>
      <c r="I207" s="185" t="s">
        <v>15</v>
      </c>
      <c r="J207" s="135" t="s">
        <v>1450</v>
      </c>
      <c r="K207" s="186">
        <v>2304</v>
      </c>
      <c r="L207" s="187" t="s">
        <v>173</v>
      </c>
      <c r="M207" s="187" t="s">
        <v>175</v>
      </c>
    </row>
    <row r="208" spans="1:13" s="188" customFormat="1">
      <c r="A208" s="185" t="s">
        <v>1447</v>
      </c>
      <c r="B208" s="133" t="s">
        <v>3261</v>
      </c>
      <c r="C208" s="185" t="s">
        <v>3023</v>
      </c>
      <c r="D208" s="133" t="s">
        <v>1927</v>
      </c>
      <c r="E208" s="134">
        <v>1</v>
      </c>
      <c r="F208" s="135" t="s">
        <v>1449</v>
      </c>
      <c r="G208" s="185" t="s">
        <v>15</v>
      </c>
      <c r="H208" s="185" t="s">
        <v>15</v>
      </c>
      <c r="I208" s="185" t="s">
        <v>15</v>
      </c>
      <c r="J208" s="135" t="s">
        <v>1450</v>
      </c>
      <c r="K208" s="186">
        <v>1992</v>
      </c>
      <c r="L208" s="187" t="s">
        <v>173</v>
      </c>
      <c r="M208" s="187" t="s">
        <v>175</v>
      </c>
    </row>
    <row r="209" spans="1:13" s="188" customFormat="1">
      <c r="A209" s="185" t="s">
        <v>1447</v>
      </c>
      <c r="B209" s="133" t="s">
        <v>3262</v>
      </c>
      <c r="C209" s="185" t="s">
        <v>3023</v>
      </c>
      <c r="D209" s="133" t="s">
        <v>1927</v>
      </c>
      <c r="E209" s="134">
        <v>1</v>
      </c>
      <c r="F209" s="135" t="s">
        <v>1449</v>
      </c>
      <c r="G209" s="185" t="s">
        <v>15</v>
      </c>
      <c r="H209" s="185" t="s">
        <v>15</v>
      </c>
      <c r="I209" s="185" t="s">
        <v>15</v>
      </c>
      <c r="J209" s="135" t="s">
        <v>1450</v>
      </c>
      <c r="K209" s="186">
        <v>1860</v>
      </c>
      <c r="L209" s="187" t="s">
        <v>173</v>
      </c>
      <c r="M209" s="187" t="s">
        <v>175</v>
      </c>
    </row>
    <row r="210" spans="1:13" s="188" customFormat="1">
      <c r="A210" s="185" t="s">
        <v>1447</v>
      </c>
      <c r="B210" s="133" t="s">
        <v>3263</v>
      </c>
      <c r="C210" s="185" t="s">
        <v>3023</v>
      </c>
      <c r="D210" s="133" t="s">
        <v>1930</v>
      </c>
      <c r="E210" s="134">
        <v>1</v>
      </c>
      <c r="F210" s="135" t="s">
        <v>1449</v>
      </c>
      <c r="G210" s="185" t="s">
        <v>15</v>
      </c>
      <c r="H210" s="185" t="s">
        <v>15</v>
      </c>
      <c r="I210" s="185" t="s">
        <v>15</v>
      </c>
      <c r="J210" s="135" t="s">
        <v>1450</v>
      </c>
      <c r="K210" s="186">
        <v>3420</v>
      </c>
      <c r="L210" s="187" t="s">
        <v>173</v>
      </c>
      <c r="M210" s="187" t="s">
        <v>175</v>
      </c>
    </row>
    <row r="211" spans="1:13" s="188" customFormat="1">
      <c r="A211" s="185" t="s">
        <v>1447</v>
      </c>
      <c r="B211" s="133" t="s">
        <v>3264</v>
      </c>
      <c r="C211" s="185" t="s">
        <v>3023</v>
      </c>
      <c r="D211" s="133" t="s">
        <v>1930</v>
      </c>
      <c r="E211" s="134">
        <v>1</v>
      </c>
      <c r="F211" s="135" t="s">
        <v>1449</v>
      </c>
      <c r="G211" s="185" t="s">
        <v>15</v>
      </c>
      <c r="H211" s="185" t="s">
        <v>15</v>
      </c>
      <c r="I211" s="185" t="s">
        <v>15</v>
      </c>
      <c r="J211" s="135" t="s">
        <v>1450</v>
      </c>
      <c r="K211" s="186">
        <v>2196</v>
      </c>
      <c r="L211" s="187" t="s">
        <v>173</v>
      </c>
      <c r="M211" s="187" t="s">
        <v>175</v>
      </c>
    </row>
    <row r="212" spans="1:13" s="188" customFormat="1">
      <c r="A212" s="185" t="s">
        <v>1447</v>
      </c>
      <c r="B212" s="133" t="s">
        <v>3265</v>
      </c>
      <c r="C212" s="185" t="s">
        <v>3023</v>
      </c>
      <c r="D212" s="133" t="s">
        <v>1930</v>
      </c>
      <c r="E212" s="134">
        <v>1</v>
      </c>
      <c r="F212" s="135" t="s">
        <v>1449</v>
      </c>
      <c r="G212" s="185" t="s">
        <v>15</v>
      </c>
      <c r="H212" s="185" t="s">
        <v>15</v>
      </c>
      <c r="I212" s="185" t="s">
        <v>15</v>
      </c>
      <c r="J212" s="135" t="s">
        <v>1450</v>
      </c>
      <c r="K212" s="186">
        <v>1812</v>
      </c>
      <c r="L212" s="187" t="s">
        <v>173</v>
      </c>
      <c r="M212" s="187" t="s">
        <v>175</v>
      </c>
    </row>
    <row r="213" spans="1:13" s="188" customFormat="1">
      <c r="A213" s="185" t="s">
        <v>1447</v>
      </c>
      <c r="B213" s="133" t="s">
        <v>3266</v>
      </c>
      <c r="C213" s="185" t="s">
        <v>3023</v>
      </c>
      <c r="D213" s="133" t="s">
        <v>1931</v>
      </c>
      <c r="E213" s="134">
        <v>1</v>
      </c>
      <c r="F213" s="135" t="s">
        <v>1449</v>
      </c>
      <c r="G213" s="185" t="s">
        <v>15</v>
      </c>
      <c r="H213" s="185" t="s">
        <v>15</v>
      </c>
      <c r="I213" s="185" t="s">
        <v>15</v>
      </c>
      <c r="J213" s="135" t="s">
        <v>1450</v>
      </c>
      <c r="K213" s="186">
        <v>1692</v>
      </c>
      <c r="L213" s="187" t="s">
        <v>173</v>
      </c>
      <c r="M213" s="187" t="s">
        <v>175</v>
      </c>
    </row>
    <row r="214" spans="1:13" s="188" customFormat="1">
      <c r="A214" s="185" t="s">
        <v>1447</v>
      </c>
      <c r="B214" s="133" t="s">
        <v>3267</v>
      </c>
      <c r="C214" s="185" t="s">
        <v>3023</v>
      </c>
      <c r="D214" s="133" t="s">
        <v>1931</v>
      </c>
      <c r="E214" s="134">
        <v>1</v>
      </c>
      <c r="F214" s="135" t="s">
        <v>1449</v>
      </c>
      <c r="G214" s="185" t="s">
        <v>15</v>
      </c>
      <c r="H214" s="185" t="s">
        <v>15</v>
      </c>
      <c r="I214" s="185" t="s">
        <v>15</v>
      </c>
      <c r="J214" s="135" t="s">
        <v>1450</v>
      </c>
      <c r="K214" s="186">
        <v>1356</v>
      </c>
      <c r="L214" s="187" t="s">
        <v>173</v>
      </c>
      <c r="M214" s="187" t="s">
        <v>175</v>
      </c>
    </row>
    <row r="215" spans="1:13" s="188" customFormat="1">
      <c r="A215" s="185" t="s">
        <v>1447</v>
      </c>
      <c r="B215" s="133" t="s">
        <v>3268</v>
      </c>
      <c r="C215" s="185" t="s">
        <v>3023</v>
      </c>
      <c r="D215" s="133" t="s">
        <v>1931</v>
      </c>
      <c r="E215" s="134">
        <v>1</v>
      </c>
      <c r="F215" s="135" t="s">
        <v>1449</v>
      </c>
      <c r="G215" s="185" t="s">
        <v>15</v>
      </c>
      <c r="H215" s="185" t="s">
        <v>15</v>
      </c>
      <c r="I215" s="185" t="s">
        <v>15</v>
      </c>
      <c r="J215" s="135" t="s">
        <v>1450</v>
      </c>
      <c r="K215" s="186">
        <v>1188</v>
      </c>
      <c r="L215" s="187" t="s">
        <v>173</v>
      </c>
      <c r="M215" s="187" t="s">
        <v>175</v>
      </c>
    </row>
    <row r="216" spans="1:13" s="188" customFormat="1">
      <c r="A216" s="185" t="s">
        <v>1447</v>
      </c>
      <c r="B216" s="133" t="s">
        <v>3269</v>
      </c>
      <c r="C216" s="185" t="s">
        <v>3023</v>
      </c>
      <c r="D216" s="133" t="s">
        <v>1932</v>
      </c>
      <c r="E216" s="134">
        <v>1</v>
      </c>
      <c r="F216" s="135" t="s">
        <v>1449</v>
      </c>
      <c r="G216" s="185" t="s">
        <v>15</v>
      </c>
      <c r="H216" s="185" t="s">
        <v>15</v>
      </c>
      <c r="I216" s="185" t="s">
        <v>15</v>
      </c>
      <c r="J216" s="135" t="s">
        <v>1450</v>
      </c>
      <c r="K216" s="186">
        <v>456</v>
      </c>
      <c r="L216" s="187" t="s">
        <v>173</v>
      </c>
      <c r="M216" s="187" t="s">
        <v>175</v>
      </c>
    </row>
    <row r="217" spans="1:13" s="188" customFormat="1">
      <c r="A217" s="185" t="s">
        <v>1447</v>
      </c>
      <c r="B217" s="133" t="s">
        <v>3270</v>
      </c>
      <c r="C217" s="185" t="s">
        <v>3023</v>
      </c>
      <c r="D217" s="133" t="s">
        <v>1932</v>
      </c>
      <c r="E217" s="134">
        <v>1</v>
      </c>
      <c r="F217" s="135" t="s">
        <v>1449</v>
      </c>
      <c r="G217" s="185" t="s">
        <v>15</v>
      </c>
      <c r="H217" s="185" t="s">
        <v>15</v>
      </c>
      <c r="I217" s="185" t="s">
        <v>15</v>
      </c>
      <c r="J217" s="135" t="s">
        <v>1450</v>
      </c>
      <c r="K217" s="186">
        <v>444</v>
      </c>
      <c r="L217" s="187" t="s">
        <v>173</v>
      </c>
      <c r="M217" s="187" t="s">
        <v>175</v>
      </c>
    </row>
    <row r="218" spans="1:13" s="188" customFormat="1">
      <c r="A218" s="185" t="s">
        <v>1447</v>
      </c>
      <c r="B218" s="133" t="s">
        <v>3271</v>
      </c>
      <c r="C218" s="185" t="s">
        <v>3023</v>
      </c>
      <c r="D218" s="133" t="s">
        <v>1932</v>
      </c>
      <c r="E218" s="134">
        <v>1</v>
      </c>
      <c r="F218" s="135" t="s">
        <v>1449</v>
      </c>
      <c r="G218" s="185" t="s">
        <v>15</v>
      </c>
      <c r="H218" s="185" t="s">
        <v>15</v>
      </c>
      <c r="I218" s="185" t="s">
        <v>15</v>
      </c>
      <c r="J218" s="135" t="s">
        <v>1450</v>
      </c>
      <c r="K218" s="186">
        <v>420</v>
      </c>
      <c r="L218" s="187" t="s">
        <v>173</v>
      </c>
      <c r="M218" s="187" t="s">
        <v>175</v>
      </c>
    </row>
    <row r="219" spans="1:13" s="188" customFormat="1">
      <c r="A219" s="185" t="s">
        <v>1447</v>
      </c>
      <c r="B219" s="133" t="s">
        <v>3272</v>
      </c>
      <c r="C219" s="185" t="s">
        <v>3023</v>
      </c>
      <c r="D219" s="133" t="s">
        <v>1932</v>
      </c>
      <c r="E219" s="134">
        <v>1</v>
      </c>
      <c r="F219" s="135" t="s">
        <v>1449</v>
      </c>
      <c r="G219" s="185" t="s">
        <v>15</v>
      </c>
      <c r="H219" s="185" t="s">
        <v>15</v>
      </c>
      <c r="I219" s="185" t="s">
        <v>15</v>
      </c>
      <c r="J219" s="135" t="s">
        <v>1450</v>
      </c>
      <c r="K219" s="186">
        <v>408</v>
      </c>
      <c r="L219" s="187" t="s">
        <v>173</v>
      </c>
      <c r="M219" s="187" t="s">
        <v>175</v>
      </c>
    </row>
    <row r="220" spans="1:13" s="188" customFormat="1">
      <c r="A220" s="185" t="s">
        <v>1447</v>
      </c>
      <c r="B220" s="133" t="s">
        <v>3273</v>
      </c>
      <c r="C220" s="185" t="s">
        <v>3023</v>
      </c>
      <c r="D220" s="133" t="s">
        <v>1932</v>
      </c>
      <c r="E220" s="134">
        <v>1</v>
      </c>
      <c r="F220" s="135" t="s">
        <v>1449</v>
      </c>
      <c r="G220" s="185" t="s">
        <v>15</v>
      </c>
      <c r="H220" s="185" t="s">
        <v>15</v>
      </c>
      <c r="I220" s="185" t="s">
        <v>15</v>
      </c>
      <c r="J220" s="135" t="s">
        <v>1450</v>
      </c>
      <c r="K220" s="186">
        <v>372</v>
      </c>
      <c r="L220" s="187" t="s">
        <v>173</v>
      </c>
      <c r="M220" s="187" t="s">
        <v>175</v>
      </c>
    </row>
    <row r="221" spans="1:13" s="188" customFormat="1">
      <c r="A221" s="185" t="s">
        <v>1447</v>
      </c>
      <c r="B221" s="133" t="s">
        <v>3274</v>
      </c>
      <c r="C221" s="185" t="s">
        <v>3023</v>
      </c>
      <c r="D221" s="133" t="s">
        <v>1933</v>
      </c>
      <c r="E221" s="134">
        <v>1</v>
      </c>
      <c r="F221" s="135" t="s">
        <v>1449</v>
      </c>
      <c r="G221" s="185" t="s">
        <v>15</v>
      </c>
      <c r="H221" s="185" t="s">
        <v>15</v>
      </c>
      <c r="I221" s="185" t="s">
        <v>15</v>
      </c>
      <c r="J221" s="135" t="s">
        <v>1450</v>
      </c>
      <c r="K221" s="186">
        <v>2844</v>
      </c>
      <c r="L221" s="187" t="s">
        <v>173</v>
      </c>
      <c r="M221" s="187" t="s">
        <v>175</v>
      </c>
    </row>
    <row r="222" spans="1:13" s="188" customFormat="1">
      <c r="A222" s="185" t="s">
        <v>1447</v>
      </c>
      <c r="B222" s="133" t="s">
        <v>3275</v>
      </c>
      <c r="C222" s="185" t="s">
        <v>3023</v>
      </c>
      <c r="D222" s="133" t="s">
        <v>1933</v>
      </c>
      <c r="E222" s="134">
        <v>1</v>
      </c>
      <c r="F222" s="135" t="s">
        <v>1449</v>
      </c>
      <c r="G222" s="185" t="s">
        <v>15</v>
      </c>
      <c r="H222" s="185" t="s">
        <v>15</v>
      </c>
      <c r="I222" s="185" t="s">
        <v>15</v>
      </c>
      <c r="J222" s="135" t="s">
        <v>1450</v>
      </c>
      <c r="K222" s="186">
        <v>1896</v>
      </c>
      <c r="L222" s="187" t="s">
        <v>173</v>
      </c>
      <c r="M222" s="187" t="s">
        <v>175</v>
      </c>
    </row>
    <row r="223" spans="1:13" s="188" customFormat="1">
      <c r="A223" s="185" t="s">
        <v>1447</v>
      </c>
      <c r="B223" s="133" t="s">
        <v>3276</v>
      </c>
      <c r="C223" s="185" t="s">
        <v>3023</v>
      </c>
      <c r="D223" s="133" t="s">
        <v>1933</v>
      </c>
      <c r="E223" s="134">
        <v>1</v>
      </c>
      <c r="F223" s="135" t="s">
        <v>1449</v>
      </c>
      <c r="G223" s="185" t="s">
        <v>15</v>
      </c>
      <c r="H223" s="185" t="s">
        <v>15</v>
      </c>
      <c r="I223" s="185" t="s">
        <v>15</v>
      </c>
      <c r="J223" s="135" t="s">
        <v>1450</v>
      </c>
      <c r="K223" s="186">
        <v>1440</v>
      </c>
      <c r="L223" s="187" t="s">
        <v>173</v>
      </c>
      <c r="M223" s="187" t="s">
        <v>175</v>
      </c>
    </row>
    <row r="224" spans="1:13" s="188" customFormat="1">
      <c r="A224" s="185" t="s">
        <v>1447</v>
      </c>
      <c r="B224" s="133" t="s">
        <v>3277</v>
      </c>
      <c r="C224" s="185" t="s">
        <v>3023</v>
      </c>
      <c r="D224" s="133" t="s">
        <v>1935</v>
      </c>
      <c r="E224" s="134">
        <v>1</v>
      </c>
      <c r="F224" s="135" t="s">
        <v>1449</v>
      </c>
      <c r="G224" s="185" t="s">
        <v>15</v>
      </c>
      <c r="H224" s="185" t="s">
        <v>15</v>
      </c>
      <c r="I224" s="185" t="s">
        <v>15</v>
      </c>
      <c r="J224" s="135" t="s">
        <v>1450</v>
      </c>
      <c r="K224" s="186">
        <v>1632</v>
      </c>
      <c r="L224" s="187" t="s">
        <v>173</v>
      </c>
      <c r="M224" s="187" t="s">
        <v>175</v>
      </c>
    </row>
    <row r="225" spans="1:13" s="188" customFormat="1">
      <c r="A225" s="185" t="s">
        <v>1447</v>
      </c>
      <c r="B225" s="133" t="s">
        <v>3278</v>
      </c>
      <c r="C225" s="185" t="s">
        <v>3023</v>
      </c>
      <c r="D225" s="133" t="s">
        <v>1935</v>
      </c>
      <c r="E225" s="134">
        <v>1</v>
      </c>
      <c r="F225" s="135" t="s">
        <v>1449</v>
      </c>
      <c r="G225" s="185" t="s">
        <v>15</v>
      </c>
      <c r="H225" s="185" t="s">
        <v>15</v>
      </c>
      <c r="I225" s="185" t="s">
        <v>15</v>
      </c>
      <c r="J225" s="135" t="s">
        <v>1450</v>
      </c>
      <c r="K225" s="186">
        <v>924</v>
      </c>
      <c r="L225" s="187" t="s">
        <v>173</v>
      </c>
      <c r="M225" s="187" t="s">
        <v>175</v>
      </c>
    </row>
    <row r="226" spans="1:13" s="188" customFormat="1">
      <c r="A226" s="185" t="s">
        <v>1447</v>
      </c>
      <c r="B226" s="133" t="s">
        <v>3279</v>
      </c>
      <c r="C226" s="185" t="s">
        <v>3023</v>
      </c>
      <c r="D226" s="133" t="s">
        <v>1935</v>
      </c>
      <c r="E226" s="134">
        <v>1</v>
      </c>
      <c r="F226" s="135" t="s">
        <v>1449</v>
      </c>
      <c r="G226" s="185" t="s">
        <v>15</v>
      </c>
      <c r="H226" s="185" t="s">
        <v>15</v>
      </c>
      <c r="I226" s="185" t="s">
        <v>15</v>
      </c>
      <c r="J226" s="135" t="s">
        <v>1450</v>
      </c>
      <c r="K226" s="186">
        <v>744</v>
      </c>
      <c r="L226" s="187" t="s">
        <v>173</v>
      </c>
      <c r="M226" s="187" t="s">
        <v>175</v>
      </c>
    </row>
    <row r="227" spans="1:13" s="188" customFormat="1">
      <c r="A227" s="185" t="s">
        <v>1447</v>
      </c>
      <c r="B227" s="133" t="s">
        <v>3280</v>
      </c>
      <c r="C227" s="185" t="s">
        <v>3023</v>
      </c>
      <c r="D227" s="133" t="s">
        <v>1936</v>
      </c>
      <c r="E227" s="134">
        <v>1</v>
      </c>
      <c r="F227" s="135" t="s">
        <v>1449</v>
      </c>
      <c r="G227" s="185" t="s">
        <v>15</v>
      </c>
      <c r="H227" s="185" t="s">
        <v>15</v>
      </c>
      <c r="I227" s="185" t="s">
        <v>15</v>
      </c>
      <c r="J227" s="135" t="s">
        <v>1450</v>
      </c>
      <c r="K227" s="186">
        <v>1308</v>
      </c>
      <c r="L227" s="187" t="s">
        <v>173</v>
      </c>
      <c r="M227" s="187" t="s">
        <v>175</v>
      </c>
    </row>
    <row r="228" spans="1:13" s="188" customFormat="1">
      <c r="A228" s="185" t="s">
        <v>1447</v>
      </c>
      <c r="B228" s="133" t="s">
        <v>3281</v>
      </c>
      <c r="C228" s="185" t="s">
        <v>3023</v>
      </c>
      <c r="D228" s="133" t="s">
        <v>1936</v>
      </c>
      <c r="E228" s="134">
        <v>1</v>
      </c>
      <c r="F228" s="135" t="s">
        <v>1449</v>
      </c>
      <c r="G228" s="185" t="s">
        <v>15</v>
      </c>
      <c r="H228" s="185" t="s">
        <v>15</v>
      </c>
      <c r="I228" s="185" t="s">
        <v>15</v>
      </c>
      <c r="J228" s="135" t="s">
        <v>1450</v>
      </c>
      <c r="K228" s="186">
        <v>324</v>
      </c>
      <c r="L228" s="187" t="s">
        <v>173</v>
      </c>
      <c r="M228" s="187" t="s">
        <v>175</v>
      </c>
    </row>
    <row r="229" spans="1:13" s="188" customFormat="1">
      <c r="A229" s="185" t="s">
        <v>1447</v>
      </c>
      <c r="B229" s="133" t="s">
        <v>3282</v>
      </c>
      <c r="C229" s="185" t="s">
        <v>3023</v>
      </c>
      <c r="D229" s="133" t="s">
        <v>1936</v>
      </c>
      <c r="E229" s="134">
        <v>1</v>
      </c>
      <c r="F229" s="135" t="s">
        <v>1449</v>
      </c>
      <c r="G229" s="185" t="s">
        <v>15</v>
      </c>
      <c r="H229" s="185" t="s">
        <v>15</v>
      </c>
      <c r="I229" s="185" t="s">
        <v>15</v>
      </c>
      <c r="J229" s="135" t="s">
        <v>1450</v>
      </c>
      <c r="K229" s="186">
        <v>192</v>
      </c>
      <c r="L229" s="187" t="s">
        <v>173</v>
      </c>
      <c r="M229" s="187" t="s">
        <v>175</v>
      </c>
    </row>
    <row r="230" spans="1:13" s="188" customFormat="1">
      <c r="A230" s="185" t="s">
        <v>1447</v>
      </c>
      <c r="B230" s="133" t="s">
        <v>3283</v>
      </c>
      <c r="C230" s="185" t="s">
        <v>3023</v>
      </c>
      <c r="D230" s="133" t="s">
        <v>1940</v>
      </c>
      <c r="E230" s="134">
        <v>1</v>
      </c>
      <c r="F230" s="135" t="s">
        <v>1449</v>
      </c>
      <c r="G230" s="185" t="s">
        <v>15</v>
      </c>
      <c r="H230" s="185" t="s">
        <v>15</v>
      </c>
      <c r="I230" s="185" t="s">
        <v>15</v>
      </c>
      <c r="J230" s="135" t="s">
        <v>1450</v>
      </c>
      <c r="K230" s="186">
        <v>27312</v>
      </c>
      <c r="L230" s="187" t="s">
        <v>173</v>
      </c>
      <c r="M230" s="187" t="s">
        <v>175</v>
      </c>
    </row>
    <row r="231" spans="1:13" s="188" customFormat="1">
      <c r="A231" s="185" t="s">
        <v>1447</v>
      </c>
      <c r="B231" s="133" t="s">
        <v>3284</v>
      </c>
      <c r="C231" s="185" t="s">
        <v>3023</v>
      </c>
      <c r="D231" s="133" t="s">
        <v>1940</v>
      </c>
      <c r="E231" s="134">
        <v>1</v>
      </c>
      <c r="F231" s="135" t="s">
        <v>1449</v>
      </c>
      <c r="G231" s="185" t="s">
        <v>15</v>
      </c>
      <c r="H231" s="185" t="s">
        <v>15</v>
      </c>
      <c r="I231" s="185" t="s">
        <v>15</v>
      </c>
      <c r="J231" s="135" t="s">
        <v>1450</v>
      </c>
      <c r="K231" s="186">
        <v>11508</v>
      </c>
      <c r="L231" s="187" t="s">
        <v>173</v>
      </c>
      <c r="M231" s="187" t="s">
        <v>175</v>
      </c>
    </row>
    <row r="232" spans="1:13" s="188" customFormat="1">
      <c r="A232" s="185" t="s">
        <v>1447</v>
      </c>
      <c r="B232" s="133" t="s">
        <v>3285</v>
      </c>
      <c r="C232" s="185" t="s">
        <v>3023</v>
      </c>
      <c r="D232" s="133" t="s">
        <v>1940</v>
      </c>
      <c r="E232" s="134">
        <v>1</v>
      </c>
      <c r="F232" s="135" t="s">
        <v>1449</v>
      </c>
      <c r="G232" s="185" t="s">
        <v>15</v>
      </c>
      <c r="H232" s="185" t="s">
        <v>15</v>
      </c>
      <c r="I232" s="185" t="s">
        <v>15</v>
      </c>
      <c r="J232" s="135" t="s">
        <v>1450</v>
      </c>
      <c r="K232" s="186">
        <v>9336</v>
      </c>
      <c r="L232" s="187" t="s">
        <v>173</v>
      </c>
      <c r="M232" s="187" t="s">
        <v>175</v>
      </c>
    </row>
    <row r="233" spans="1:13" s="188" customFormat="1">
      <c r="A233" s="185" t="s">
        <v>1447</v>
      </c>
      <c r="B233" s="133" t="s">
        <v>3286</v>
      </c>
      <c r="C233" s="185" t="s">
        <v>3023</v>
      </c>
      <c r="D233" s="133" t="s">
        <v>1942</v>
      </c>
      <c r="E233" s="134">
        <v>1</v>
      </c>
      <c r="F233" s="135" t="s">
        <v>1449</v>
      </c>
      <c r="G233" s="185" t="s">
        <v>15</v>
      </c>
      <c r="H233" s="185" t="s">
        <v>15</v>
      </c>
      <c r="I233" s="185" t="s">
        <v>15</v>
      </c>
      <c r="J233" s="135" t="s">
        <v>1450</v>
      </c>
      <c r="K233" s="186">
        <v>2448</v>
      </c>
      <c r="L233" s="187" t="s">
        <v>173</v>
      </c>
      <c r="M233" s="187" t="s">
        <v>175</v>
      </c>
    </row>
    <row r="234" spans="1:13" s="188" customFormat="1">
      <c r="A234" s="185" t="s">
        <v>1447</v>
      </c>
      <c r="B234" s="133" t="s">
        <v>3287</v>
      </c>
      <c r="C234" s="185" t="s">
        <v>3023</v>
      </c>
      <c r="D234" s="133" t="s">
        <v>1942</v>
      </c>
      <c r="E234" s="134">
        <v>1</v>
      </c>
      <c r="F234" s="135" t="s">
        <v>1449</v>
      </c>
      <c r="G234" s="185" t="s">
        <v>15</v>
      </c>
      <c r="H234" s="185" t="s">
        <v>15</v>
      </c>
      <c r="I234" s="185" t="s">
        <v>15</v>
      </c>
      <c r="J234" s="135" t="s">
        <v>1450</v>
      </c>
      <c r="K234" s="186">
        <v>1872</v>
      </c>
      <c r="L234" s="187" t="s">
        <v>173</v>
      </c>
      <c r="M234" s="187" t="s">
        <v>175</v>
      </c>
    </row>
    <row r="235" spans="1:13" s="188" customFormat="1">
      <c r="A235" s="185" t="s">
        <v>1447</v>
      </c>
      <c r="B235" s="133" t="s">
        <v>3288</v>
      </c>
      <c r="C235" s="185" t="s">
        <v>3023</v>
      </c>
      <c r="D235" s="133" t="s">
        <v>1942</v>
      </c>
      <c r="E235" s="134">
        <v>1</v>
      </c>
      <c r="F235" s="135" t="s">
        <v>1449</v>
      </c>
      <c r="G235" s="185" t="s">
        <v>15</v>
      </c>
      <c r="H235" s="185" t="s">
        <v>15</v>
      </c>
      <c r="I235" s="185" t="s">
        <v>15</v>
      </c>
      <c r="J235" s="135" t="s">
        <v>1450</v>
      </c>
      <c r="K235" s="186">
        <v>1584</v>
      </c>
      <c r="L235" s="187" t="s">
        <v>173</v>
      </c>
      <c r="M235" s="187" t="s">
        <v>175</v>
      </c>
    </row>
    <row r="236" spans="1:13" s="188" customFormat="1">
      <c r="A236" s="185" t="s">
        <v>1447</v>
      </c>
      <c r="B236" s="133" t="s">
        <v>3289</v>
      </c>
      <c r="C236" s="185" t="s">
        <v>3023</v>
      </c>
      <c r="D236" s="133" t="s">
        <v>1944</v>
      </c>
      <c r="E236" s="134">
        <v>1</v>
      </c>
      <c r="F236" s="135" t="s">
        <v>1449</v>
      </c>
      <c r="G236" s="185" t="s">
        <v>15</v>
      </c>
      <c r="H236" s="185" t="s">
        <v>15</v>
      </c>
      <c r="I236" s="185" t="s">
        <v>15</v>
      </c>
      <c r="J236" s="135" t="s">
        <v>1450</v>
      </c>
      <c r="K236" s="186">
        <v>2844</v>
      </c>
      <c r="L236" s="187" t="s">
        <v>173</v>
      </c>
      <c r="M236" s="187" t="s">
        <v>175</v>
      </c>
    </row>
    <row r="237" spans="1:13" s="188" customFormat="1">
      <c r="A237" s="185" t="s">
        <v>1447</v>
      </c>
      <c r="B237" s="133" t="s">
        <v>3290</v>
      </c>
      <c r="C237" s="185" t="s">
        <v>3023</v>
      </c>
      <c r="D237" s="133" t="s">
        <v>1944</v>
      </c>
      <c r="E237" s="134">
        <v>1</v>
      </c>
      <c r="F237" s="135" t="s">
        <v>1449</v>
      </c>
      <c r="G237" s="185" t="s">
        <v>15</v>
      </c>
      <c r="H237" s="185" t="s">
        <v>15</v>
      </c>
      <c r="I237" s="185" t="s">
        <v>15</v>
      </c>
      <c r="J237" s="135" t="s">
        <v>1450</v>
      </c>
      <c r="K237" s="186">
        <v>1896</v>
      </c>
      <c r="L237" s="187" t="s">
        <v>173</v>
      </c>
      <c r="M237" s="187" t="s">
        <v>175</v>
      </c>
    </row>
    <row r="238" spans="1:13" s="188" customFormat="1">
      <c r="A238" s="185" t="s">
        <v>1447</v>
      </c>
      <c r="B238" s="133" t="s">
        <v>3291</v>
      </c>
      <c r="C238" s="185" t="s">
        <v>3023</v>
      </c>
      <c r="D238" s="133" t="s">
        <v>1944</v>
      </c>
      <c r="E238" s="134">
        <v>1</v>
      </c>
      <c r="F238" s="135" t="s">
        <v>1449</v>
      </c>
      <c r="G238" s="185" t="s">
        <v>15</v>
      </c>
      <c r="H238" s="185" t="s">
        <v>15</v>
      </c>
      <c r="I238" s="185" t="s">
        <v>15</v>
      </c>
      <c r="J238" s="135" t="s">
        <v>1450</v>
      </c>
      <c r="K238" s="186">
        <v>1440</v>
      </c>
      <c r="L238" s="187" t="s">
        <v>173</v>
      </c>
      <c r="M238" s="187" t="s">
        <v>175</v>
      </c>
    </row>
    <row r="239" spans="1:13" s="188" customFormat="1">
      <c r="A239" s="185" t="s">
        <v>1447</v>
      </c>
      <c r="B239" s="133" t="s">
        <v>3292</v>
      </c>
      <c r="C239" s="185" t="s">
        <v>3023</v>
      </c>
      <c r="D239" s="133" t="s">
        <v>1948</v>
      </c>
      <c r="E239" s="134">
        <v>1</v>
      </c>
      <c r="F239" s="135" t="s">
        <v>1449</v>
      </c>
      <c r="G239" s="185" t="s">
        <v>15</v>
      </c>
      <c r="H239" s="185" t="s">
        <v>15</v>
      </c>
      <c r="I239" s="185" t="s">
        <v>15</v>
      </c>
      <c r="J239" s="135" t="s">
        <v>1450</v>
      </c>
      <c r="K239" s="186">
        <v>26520</v>
      </c>
      <c r="L239" s="187" t="s">
        <v>173</v>
      </c>
      <c r="M239" s="187" t="s">
        <v>175</v>
      </c>
    </row>
    <row r="240" spans="1:13" s="188" customFormat="1">
      <c r="A240" s="185" t="s">
        <v>1447</v>
      </c>
      <c r="B240" s="133" t="s">
        <v>3293</v>
      </c>
      <c r="C240" s="185" t="s">
        <v>3023</v>
      </c>
      <c r="D240" s="133" t="s">
        <v>1948</v>
      </c>
      <c r="E240" s="134">
        <v>1</v>
      </c>
      <c r="F240" s="135" t="s">
        <v>1449</v>
      </c>
      <c r="G240" s="185" t="s">
        <v>15</v>
      </c>
      <c r="H240" s="185" t="s">
        <v>15</v>
      </c>
      <c r="I240" s="185" t="s">
        <v>15</v>
      </c>
      <c r="J240" s="135" t="s">
        <v>1450</v>
      </c>
      <c r="K240" s="186">
        <v>13476</v>
      </c>
      <c r="L240" s="187" t="s">
        <v>173</v>
      </c>
      <c r="M240" s="187" t="s">
        <v>175</v>
      </c>
    </row>
    <row r="241" spans="1:13" s="188" customFormat="1">
      <c r="A241" s="185" t="s">
        <v>1447</v>
      </c>
      <c r="B241" s="133" t="s">
        <v>3294</v>
      </c>
      <c r="C241" s="185" t="s">
        <v>3023</v>
      </c>
      <c r="D241" s="133" t="s">
        <v>1948</v>
      </c>
      <c r="E241" s="134">
        <v>1</v>
      </c>
      <c r="F241" s="135" t="s">
        <v>1449</v>
      </c>
      <c r="G241" s="185" t="s">
        <v>15</v>
      </c>
      <c r="H241" s="185" t="s">
        <v>15</v>
      </c>
      <c r="I241" s="185" t="s">
        <v>15</v>
      </c>
      <c r="J241" s="135" t="s">
        <v>1450</v>
      </c>
      <c r="K241" s="186">
        <v>8940</v>
      </c>
      <c r="L241" s="187" t="s">
        <v>173</v>
      </c>
      <c r="M241" s="187" t="s">
        <v>175</v>
      </c>
    </row>
    <row r="242" spans="1:13" s="188" customFormat="1">
      <c r="A242" s="185" t="s">
        <v>1447</v>
      </c>
      <c r="B242" s="133" t="s">
        <v>3295</v>
      </c>
      <c r="C242" s="185" t="s">
        <v>3023</v>
      </c>
      <c r="D242" s="133" t="s">
        <v>1948</v>
      </c>
      <c r="E242" s="134">
        <v>1</v>
      </c>
      <c r="F242" s="135" t="s">
        <v>1449</v>
      </c>
      <c r="G242" s="185" t="s">
        <v>15</v>
      </c>
      <c r="H242" s="185" t="s">
        <v>15</v>
      </c>
      <c r="I242" s="185" t="s">
        <v>15</v>
      </c>
      <c r="J242" s="135" t="s">
        <v>1450</v>
      </c>
      <c r="K242" s="186">
        <v>6192</v>
      </c>
      <c r="L242" s="187" t="s">
        <v>173</v>
      </c>
      <c r="M242" s="187" t="s">
        <v>175</v>
      </c>
    </row>
    <row r="243" spans="1:13" s="188" customFormat="1">
      <c r="A243" s="185" t="s">
        <v>1447</v>
      </c>
      <c r="B243" s="133" t="s">
        <v>3296</v>
      </c>
      <c r="C243" s="185" t="s">
        <v>3023</v>
      </c>
      <c r="D243" s="133" t="s">
        <v>1948</v>
      </c>
      <c r="E243" s="134">
        <v>1</v>
      </c>
      <c r="F243" s="135" t="s">
        <v>1449</v>
      </c>
      <c r="G243" s="185" t="s">
        <v>15</v>
      </c>
      <c r="H243" s="185" t="s">
        <v>15</v>
      </c>
      <c r="I243" s="185" t="s">
        <v>15</v>
      </c>
      <c r="J243" s="135" t="s">
        <v>1450</v>
      </c>
      <c r="K243" s="186">
        <v>5196</v>
      </c>
      <c r="L243" s="187" t="s">
        <v>173</v>
      </c>
      <c r="M243" s="187" t="s">
        <v>175</v>
      </c>
    </row>
    <row r="244" spans="1:13" s="188" customFormat="1">
      <c r="A244" s="185" t="s">
        <v>1447</v>
      </c>
      <c r="B244" s="133" t="s">
        <v>3297</v>
      </c>
      <c r="C244" s="185" t="s">
        <v>3023</v>
      </c>
      <c r="D244" s="133" t="s">
        <v>1948</v>
      </c>
      <c r="E244" s="134">
        <v>1</v>
      </c>
      <c r="F244" s="135" t="s">
        <v>1449</v>
      </c>
      <c r="G244" s="185" t="s">
        <v>15</v>
      </c>
      <c r="H244" s="185" t="s">
        <v>15</v>
      </c>
      <c r="I244" s="185" t="s">
        <v>15</v>
      </c>
      <c r="J244" s="135" t="s">
        <v>1450</v>
      </c>
      <c r="K244" s="186">
        <v>4020</v>
      </c>
      <c r="L244" s="187" t="s">
        <v>173</v>
      </c>
      <c r="M244" s="187" t="s">
        <v>175</v>
      </c>
    </row>
    <row r="245" spans="1:13" s="188" customFormat="1">
      <c r="A245" s="185" t="s">
        <v>1447</v>
      </c>
      <c r="B245" s="133" t="s">
        <v>3298</v>
      </c>
      <c r="C245" s="185" t="s">
        <v>3023</v>
      </c>
      <c r="D245" s="133" t="s">
        <v>1949</v>
      </c>
      <c r="E245" s="134">
        <v>1</v>
      </c>
      <c r="F245" s="135" t="s">
        <v>1449</v>
      </c>
      <c r="G245" s="185" t="s">
        <v>15</v>
      </c>
      <c r="H245" s="185" t="s">
        <v>15</v>
      </c>
      <c r="I245" s="185" t="s">
        <v>15</v>
      </c>
      <c r="J245" s="135" t="s">
        <v>1450</v>
      </c>
      <c r="K245" s="186">
        <v>660</v>
      </c>
      <c r="L245" s="187" t="s">
        <v>173</v>
      </c>
      <c r="M245" s="187" t="s">
        <v>175</v>
      </c>
    </row>
    <row r="246" spans="1:13" s="188" customFormat="1">
      <c r="A246" s="185" t="s">
        <v>1447</v>
      </c>
      <c r="B246" s="133" t="s">
        <v>3299</v>
      </c>
      <c r="C246" s="185" t="s">
        <v>3023</v>
      </c>
      <c r="D246" s="133" t="s">
        <v>1949</v>
      </c>
      <c r="E246" s="134">
        <v>1</v>
      </c>
      <c r="F246" s="135" t="s">
        <v>1449</v>
      </c>
      <c r="G246" s="185" t="s">
        <v>15</v>
      </c>
      <c r="H246" s="185" t="s">
        <v>15</v>
      </c>
      <c r="I246" s="185" t="s">
        <v>15</v>
      </c>
      <c r="J246" s="135" t="s">
        <v>1450</v>
      </c>
      <c r="K246" s="186">
        <v>264</v>
      </c>
      <c r="L246" s="187" t="s">
        <v>173</v>
      </c>
      <c r="M246" s="187" t="s">
        <v>175</v>
      </c>
    </row>
    <row r="247" spans="1:13" s="188" customFormat="1">
      <c r="A247" s="185" t="s">
        <v>1447</v>
      </c>
      <c r="B247" s="133" t="s">
        <v>3300</v>
      </c>
      <c r="C247" s="185" t="s">
        <v>3023</v>
      </c>
      <c r="D247" s="133" t="s">
        <v>1949</v>
      </c>
      <c r="E247" s="134">
        <v>1</v>
      </c>
      <c r="F247" s="135" t="s">
        <v>1449</v>
      </c>
      <c r="G247" s="185" t="s">
        <v>15</v>
      </c>
      <c r="H247" s="185" t="s">
        <v>15</v>
      </c>
      <c r="I247" s="185" t="s">
        <v>15</v>
      </c>
      <c r="J247" s="135" t="s">
        <v>1450</v>
      </c>
      <c r="K247" s="186">
        <v>112.08</v>
      </c>
      <c r="L247" s="187" t="s">
        <v>173</v>
      </c>
      <c r="M247" s="187" t="s">
        <v>175</v>
      </c>
    </row>
    <row r="248" spans="1:13" s="188" customFormat="1">
      <c r="A248" s="185" t="s">
        <v>1447</v>
      </c>
      <c r="B248" s="133" t="s">
        <v>3301</v>
      </c>
      <c r="C248" s="185" t="s">
        <v>3023</v>
      </c>
      <c r="D248" s="133" t="s">
        <v>1949</v>
      </c>
      <c r="E248" s="134">
        <v>1</v>
      </c>
      <c r="F248" s="135" t="s">
        <v>1449</v>
      </c>
      <c r="G248" s="185" t="s">
        <v>15</v>
      </c>
      <c r="H248" s="185" t="s">
        <v>15</v>
      </c>
      <c r="I248" s="185" t="s">
        <v>15</v>
      </c>
      <c r="J248" s="135" t="s">
        <v>1450</v>
      </c>
      <c r="K248" s="186">
        <v>72.72</v>
      </c>
      <c r="L248" s="187" t="s">
        <v>173</v>
      </c>
      <c r="M248" s="187" t="s">
        <v>175</v>
      </c>
    </row>
    <row r="249" spans="1:13" s="188" customFormat="1">
      <c r="A249" s="185" t="s">
        <v>1447</v>
      </c>
      <c r="B249" s="133" t="s">
        <v>3302</v>
      </c>
      <c r="C249" s="185" t="s">
        <v>3023</v>
      </c>
      <c r="D249" s="133" t="s">
        <v>1949</v>
      </c>
      <c r="E249" s="134">
        <v>1</v>
      </c>
      <c r="F249" s="135" t="s">
        <v>1449</v>
      </c>
      <c r="G249" s="185" t="s">
        <v>15</v>
      </c>
      <c r="H249" s="185" t="s">
        <v>15</v>
      </c>
      <c r="I249" s="185" t="s">
        <v>15</v>
      </c>
      <c r="J249" s="135" t="s">
        <v>1450</v>
      </c>
      <c r="K249" s="186">
        <v>62.28</v>
      </c>
      <c r="L249" s="187" t="s">
        <v>173</v>
      </c>
      <c r="M249" s="187" t="s">
        <v>175</v>
      </c>
    </row>
    <row r="250" spans="1:13" s="188" customFormat="1">
      <c r="A250" s="185" t="s">
        <v>1447</v>
      </c>
      <c r="B250" s="133" t="s">
        <v>3303</v>
      </c>
      <c r="C250" s="185" t="s">
        <v>3023</v>
      </c>
      <c r="D250" s="133" t="s">
        <v>1950</v>
      </c>
      <c r="E250" s="134">
        <v>1</v>
      </c>
      <c r="F250" s="135" t="s">
        <v>1449</v>
      </c>
      <c r="G250" s="185" t="s">
        <v>15</v>
      </c>
      <c r="H250" s="185" t="s">
        <v>15</v>
      </c>
      <c r="I250" s="185" t="s">
        <v>15</v>
      </c>
      <c r="J250" s="135" t="s">
        <v>1450</v>
      </c>
      <c r="K250" s="186">
        <v>540</v>
      </c>
      <c r="L250" s="187" t="s">
        <v>173</v>
      </c>
      <c r="M250" s="187" t="s">
        <v>175</v>
      </c>
    </row>
    <row r="251" spans="1:13" s="188" customFormat="1">
      <c r="A251" s="185" t="s">
        <v>1447</v>
      </c>
      <c r="B251" s="133" t="s">
        <v>3304</v>
      </c>
      <c r="C251" s="185" t="s">
        <v>3023</v>
      </c>
      <c r="D251" s="133" t="s">
        <v>1950</v>
      </c>
      <c r="E251" s="134">
        <v>1</v>
      </c>
      <c r="F251" s="135" t="s">
        <v>1449</v>
      </c>
      <c r="G251" s="185" t="s">
        <v>15</v>
      </c>
      <c r="H251" s="185" t="s">
        <v>15</v>
      </c>
      <c r="I251" s="185" t="s">
        <v>15</v>
      </c>
      <c r="J251" s="135" t="s">
        <v>1450</v>
      </c>
      <c r="K251" s="186">
        <v>99.600000000000009</v>
      </c>
      <c r="L251" s="187" t="s">
        <v>173</v>
      </c>
      <c r="M251" s="187" t="s">
        <v>175</v>
      </c>
    </row>
    <row r="252" spans="1:13" s="188" customFormat="1">
      <c r="A252" s="185" t="s">
        <v>1447</v>
      </c>
      <c r="B252" s="133" t="s">
        <v>3305</v>
      </c>
      <c r="C252" s="185" t="s">
        <v>3023</v>
      </c>
      <c r="D252" s="133" t="s">
        <v>1950</v>
      </c>
      <c r="E252" s="134">
        <v>1</v>
      </c>
      <c r="F252" s="135" t="s">
        <v>1449</v>
      </c>
      <c r="G252" s="185" t="s">
        <v>15</v>
      </c>
      <c r="H252" s="185" t="s">
        <v>15</v>
      </c>
      <c r="I252" s="185" t="s">
        <v>15</v>
      </c>
      <c r="J252" s="135" t="s">
        <v>1450</v>
      </c>
      <c r="K252" s="186">
        <v>37.32</v>
      </c>
      <c r="L252" s="187" t="s">
        <v>173</v>
      </c>
      <c r="M252" s="187" t="s">
        <v>175</v>
      </c>
    </row>
    <row r="253" spans="1:13" s="188" customFormat="1">
      <c r="A253" s="185" t="s">
        <v>1447</v>
      </c>
      <c r="B253" s="133" t="s">
        <v>3306</v>
      </c>
      <c r="C253" s="185" t="s">
        <v>3023</v>
      </c>
      <c r="D253" s="133" t="s">
        <v>1953</v>
      </c>
      <c r="E253" s="134">
        <v>1</v>
      </c>
      <c r="F253" s="135" t="s">
        <v>1449</v>
      </c>
      <c r="G253" s="185" t="s">
        <v>15</v>
      </c>
      <c r="H253" s="185" t="s">
        <v>15</v>
      </c>
      <c r="I253" s="185" t="s">
        <v>15</v>
      </c>
      <c r="J253" s="135" t="s">
        <v>1450</v>
      </c>
      <c r="K253" s="186">
        <v>7764</v>
      </c>
      <c r="L253" s="187" t="s">
        <v>173</v>
      </c>
      <c r="M253" s="187" t="s">
        <v>175</v>
      </c>
    </row>
    <row r="254" spans="1:13" s="188" customFormat="1">
      <c r="A254" s="185" t="s">
        <v>1447</v>
      </c>
      <c r="B254" s="133" t="s">
        <v>3307</v>
      </c>
      <c r="C254" s="185" t="s">
        <v>3023</v>
      </c>
      <c r="D254" s="133" t="s">
        <v>1953</v>
      </c>
      <c r="E254" s="134">
        <v>1</v>
      </c>
      <c r="F254" s="135" t="s">
        <v>1449</v>
      </c>
      <c r="G254" s="185" t="s">
        <v>15</v>
      </c>
      <c r="H254" s="185" t="s">
        <v>15</v>
      </c>
      <c r="I254" s="185" t="s">
        <v>15</v>
      </c>
      <c r="J254" s="135" t="s">
        <v>1450</v>
      </c>
      <c r="K254" s="186">
        <v>5976</v>
      </c>
      <c r="L254" s="187" t="s">
        <v>173</v>
      </c>
      <c r="M254" s="187" t="s">
        <v>175</v>
      </c>
    </row>
    <row r="255" spans="1:13" s="188" customFormat="1">
      <c r="A255" s="185" t="s">
        <v>1447</v>
      </c>
      <c r="B255" s="133" t="s">
        <v>3308</v>
      </c>
      <c r="C255" s="185" t="s">
        <v>3023</v>
      </c>
      <c r="D255" s="133" t="s">
        <v>1953</v>
      </c>
      <c r="E255" s="134">
        <v>1</v>
      </c>
      <c r="F255" s="135" t="s">
        <v>1449</v>
      </c>
      <c r="G255" s="185" t="s">
        <v>15</v>
      </c>
      <c r="H255" s="185" t="s">
        <v>15</v>
      </c>
      <c r="I255" s="185" t="s">
        <v>15</v>
      </c>
      <c r="J255" s="135" t="s">
        <v>1450</v>
      </c>
      <c r="K255" s="186">
        <v>4848</v>
      </c>
      <c r="L255" s="187" t="s">
        <v>173</v>
      </c>
      <c r="M255" s="187" t="s">
        <v>175</v>
      </c>
    </row>
    <row r="256" spans="1:13" s="188" customFormat="1">
      <c r="A256" s="185" t="s">
        <v>1447</v>
      </c>
      <c r="B256" s="133" t="s">
        <v>3309</v>
      </c>
      <c r="C256" s="185" t="s">
        <v>3023</v>
      </c>
      <c r="D256" s="133" t="s">
        <v>1953</v>
      </c>
      <c r="E256" s="134">
        <v>1</v>
      </c>
      <c r="F256" s="135" t="s">
        <v>1449</v>
      </c>
      <c r="G256" s="185" t="s">
        <v>15</v>
      </c>
      <c r="H256" s="185" t="s">
        <v>15</v>
      </c>
      <c r="I256" s="185" t="s">
        <v>15</v>
      </c>
      <c r="J256" s="135" t="s">
        <v>1450</v>
      </c>
      <c r="K256" s="186">
        <v>3384</v>
      </c>
      <c r="L256" s="187" t="s">
        <v>173</v>
      </c>
      <c r="M256" s="187" t="s">
        <v>175</v>
      </c>
    </row>
    <row r="257" spans="1:13" s="188" customFormat="1">
      <c r="A257" s="185" t="s">
        <v>1447</v>
      </c>
      <c r="B257" s="133" t="s">
        <v>3310</v>
      </c>
      <c r="C257" s="185" t="s">
        <v>3023</v>
      </c>
      <c r="D257" s="133" t="s">
        <v>1953</v>
      </c>
      <c r="E257" s="134">
        <v>1</v>
      </c>
      <c r="F257" s="135" t="s">
        <v>1449</v>
      </c>
      <c r="G257" s="185" t="s">
        <v>15</v>
      </c>
      <c r="H257" s="185" t="s">
        <v>15</v>
      </c>
      <c r="I257" s="185" t="s">
        <v>15</v>
      </c>
      <c r="J257" s="135" t="s">
        <v>1450</v>
      </c>
      <c r="K257" s="186">
        <v>2400</v>
      </c>
      <c r="L257" s="187" t="s">
        <v>173</v>
      </c>
      <c r="M257" s="187" t="s">
        <v>175</v>
      </c>
    </row>
    <row r="258" spans="1:13" s="188" customFormat="1">
      <c r="A258" s="185" t="s">
        <v>1447</v>
      </c>
      <c r="B258" s="133" t="s">
        <v>3311</v>
      </c>
      <c r="C258" s="185" t="s">
        <v>3023</v>
      </c>
      <c r="D258" s="133" t="s">
        <v>1954</v>
      </c>
      <c r="E258" s="134">
        <v>1</v>
      </c>
      <c r="F258" s="135" t="s">
        <v>1449</v>
      </c>
      <c r="G258" s="185" t="s">
        <v>15</v>
      </c>
      <c r="H258" s="185" t="s">
        <v>15</v>
      </c>
      <c r="I258" s="185" t="s">
        <v>15</v>
      </c>
      <c r="J258" s="135" t="s">
        <v>1450</v>
      </c>
      <c r="K258" s="186">
        <v>1356</v>
      </c>
      <c r="L258" s="187" t="s">
        <v>173</v>
      </c>
      <c r="M258" s="187" t="s">
        <v>175</v>
      </c>
    </row>
    <row r="259" spans="1:13" s="188" customFormat="1">
      <c r="A259" s="185" t="s">
        <v>1447</v>
      </c>
      <c r="B259" s="133" t="s">
        <v>3312</v>
      </c>
      <c r="C259" s="185" t="s">
        <v>3023</v>
      </c>
      <c r="D259" s="133" t="s">
        <v>1954</v>
      </c>
      <c r="E259" s="134">
        <v>1</v>
      </c>
      <c r="F259" s="135" t="s">
        <v>1449</v>
      </c>
      <c r="G259" s="185" t="s">
        <v>15</v>
      </c>
      <c r="H259" s="185" t="s">
        <v>15</v>
      </c>
      <c r="I259" s="185" t="s">
        <v>15</v>
      </c>
      <c r="J259" s="135" t="s">
        <v>1450</v>
      </c>
      <c r="K259" s="186">
        <v>1020</v>
      </c>
      <c r="L259" s="187" t="s">
        <v>173</v>
      </c>
      <c r="M259" s="187" t="s">
        <v>175</v>
      </c>
    </row>
    <row r="260" spans="1:13" s="188" customFormat="1">
      <c r="A260" s="185" t="s">
        <v>1447</v>
      </c>
      <c r="B260" s="133" t="s">
        <v>3313</v>
      </c>
      <c r="C260" s="185" t="s">
        <v>3023</v>
      </c>
      <c r="D260" s="133" t="s">
        <v>1954</v>
      </c>
      <c r="E260" s="134">
        <v>1</v>
      </c>
      <c r="F260" s="135" t="s">
        <v>1449</v>
      </c>
      <c r="G260" s="185" t="s">
        <v>15</v>
      </c>
      <c r="H260" s="185" t="s">
        <v>15</v>
      </c>
      <c r="I260" s="185" t="s">
        <v>15</v>
      </c>
      <c r="J260" s="135" t="s">
        <v>1450</v>
      </c>
      <c r="K260" s="186">
        <v>684</v>
      </c>
      <c r="L260" s="187" t="s">
        <v>173</v>
      </c>
      <c r="M260" s="187" t="s">
        <v>175</v>
      </c>
    </row>
    <row r="261" spans="1:13" s="188" customFormat="1">
      <c r="A261" s="185" t="s">
        <v>1447</v>
      </c>
      <c r="B261" s="133" t="s">
        <v>3314</v>
      </c>
      <c r="C261" s="185" t="s">
        <v>3023</v>
      </c>
      <c r="D261" s="133" t="s">
        <v>1955</v>
      </c>
      <c r="E261" s="134">
        <v>1</v>
      </c>
      <c r="F261" s="135" t="s">
        <v>1449</v>
      </c>
      <c r="G261" s="185" t="s">
        <v>15</v>
      </c>
      <c r="H261" s="185" t="s">
        <v>15</v>
      </c>
      <c r="I261" s="185" t="s">
        <v>15</v>
      </c>
      <c r="J261" s="135" t="s">
        <v>1450</v>
      </c>
      <c r="K261" s="186">
        <v>29976</v>
      </c>
      <c r="L261" s="187" t="s">
        <v>173</v>
      </c>
      <c r="M261" s="187" t="s">
        <v>175</v>
      </c>
    </row>
    <row r="262" spans="1:13" s="188" customFormat="1">
      <c r="A262" s="185" t="s">
        <v>1447</v>
      </c>
      <c r="B262" s="133" t="s">
        <v>3315</v>
      </c>
      <c r="C262" s="185" t="s">
        <v>3023</v>
      </c>
      <c r="D262" s="133" t="s">
        <v>1955</v>
      </c>
      <c r="E262" s="134">
        <v>1</v>
      </c>
      <c r="F262" s="135" t="s">
        <v>1449</v>
      </c>
      <c r="G262" s="185" t="s">
        <v>15</v>
      </c>
      <c r="H262" s="185" t="s">
        <v>15</v>
      </c>
      <c r="I262" s="185" t="s">
        <v>15</v>
      </c>
      <c r="J262" s="135" t="s">
        <v>1450</v>
      </c>
      <c r="K262" s="186">
        <v>17700</v>
      </c>
      <c r="L262" s="187" t="s">
        <v>173</v>
      </c>
      <c r="M262" s="187" t="s">
        <v>175</v>
      </c>
    </row>
    <row r="263" spans="1:13" s="188" customFormat="1">
      <c r="A263" s="185" t="s">
        <v>1447</v>
      </c>
      <c r="B263" s="133" t="s">
        <v>3316</v>
      </c>
      <c r="C263" s="185" t="s">
        <v>3023</v>
      </c>
      <c r="D263" s="133" t="s">
        <v>1955</v>
      </c>
      <c r="E263" s="134">
        <v>1</v>
      </c>
      <c r="F263" s="135" t="s">
        <v>1449</v>
      </c>
      <c r="G263" s="185" t="s">
        <v>15</v>
      </c>
      <c r="H263" s="185" t="s">
        <v>15</v>
      </c>
      <c r="I263" s="185" t="s">
        <v>15</v>
      </c>
      <c r="J263" s="135" t="s">
        <v>1450</v>
      </c>
      <c r="K263" s="186">
        <v>11412</v>
      </c>
      <c r="L263" s="187" t="s">
        <v>173</v>
      </c>
      <c r="M263" s="187" t="s">
        <v>175</v>
      </c>
    </row>
    <row r="264" spans="1:13" s="188" customFormat="1">
      <c r="A264" s="185" t="s">
        <v>1447</v>
      </c>
      <c r="B264" s="133" t="s">
        <v>3317</v>
      </c>
      <c r="C264" s="185" t="s">
        <v>3023</v>
      </c>
      <c r="D264" s="133" t="s">
        <v>1955</v>
      </c>
      <c r="E264" s="134">
        <v>1</v>
      </c>
      <c r="F264" s="135" t="s">
        <v>1449</v>
      </c>
      <c r="G264" s="185" t="s">
        <v>15</v>
      </c>
      <c r="H264" s="185" t="s">
        <v>15</v>
      </c>
      <c r="I264" s="185" t="s">
        <v>15</v>
      </c>
      <c r="J264" s="135" t="s">
        <v>1450</v>
      </c>
      <c r="K264" s="186">
        <v>4668</v>
      </c>
      <c r="L264" s="187" t="s">
        <v>173</v>
      </c>
      <c r="M264" s="187" t="s">
        <v>175</v>
      </c>
    </row>
    <row r="265" spans="1:13" s="188" customFormat="1">
      <c r="A265" s="185" t="s">
        <v>1447</v>
      </c>
      <c r="B265" s="133" t="s">
        <v>3318</v>
      </c>
      <c r="C265" s="185" t="s">
        <v>3023</v>
      </c>
      <c r="D265" s="133" t="s">
        <v>1955</v>
      </c>
      <c r="E265" s="134">
        <v>1</v>
      </c>
      <c r="F265" s="135" t="s">
        <v>1449</v>
      </c>
      <c r="G265" s="185" t="s">
        <v>15</v>
      </c>
      <c r="H265" s="185" t="s">
        <v>15</v>
      </c>
      <c r="I265" s="185" t="s">
        <v>15</v>
      </c>
      <c r="J265" s="135" t="s">
        <v>1450</v>
      </c>
      <c r="K265" s="186">
        <v>3324</v>
      </c>
      <c r="L265" s="187" t="s">
        <v>173</v>
      </c>
      <c r="M265" s="187" t="s">
        <v>175</v>
      </c>
    </row>
    <row r="266" spans="1:13" s="188" customFormat="1">
      <c r="A266" s="185" t="s">
        <v>1447</v>
      </c>
      <c r="B266" s="133" t="s">
        <v>3319</v>
      </c>
      <c r="C266" s="185" t="s">
        <v>3023</v>
      </c>
      <c r="D266" s="133" t="s">
        <v>1955</v>
      </c>
      <c r="E266" s="134">
        <v>1</v>
      </c>
      <c r="F266" s="135" t="s">
        <v>1449</v>
      </c>
      <c r="G266" s="185" t="s">
        <v>15</v>
      </c>
      <c r="H266" s="185" t="s">
        <v>15</v>
      </c>
      <c r="I266" s="185" t="s">
        <v>15</v>
      </c>
      <c r="J266" s="135" t="s">
        <v>1450</v>
      </c>
      <c r="K266" s="186">
        <v>2748</v>
      </c>
      <c r="L266" s="187" t="s">
        <v>173</v>
      </c>
      <c r="M266" s="187" t="s">
        <v>175</v>
      </c>
    </row>
    <row r="267" spans="1:13" s="188" customFormat="1">
      <c r="A267" s="185" t="s">
        <v>1447</v>
      </c>
      <c r="B267" s="133" t="s">
        <v>3320</v>
      </c>
      <c r="C267" s="185" t="s">
        <v>3023</v>
      </c>
      <c r="D267" s="133" t="s">
        <v>3321</v>
      </c>
      <c r="E267" s="134">
        <v>1</v>
      </c>
      <c r="F267" s="135" t="s">
        <v>1449</v>
      </c>
      <c r="G267" s="185" t="s">
        <v>15</v>
      </c>
      <c r="H267" s="185" t="s">
        <v>15</v>
      </c>
      <c r="I267" s="185" t="s">
        <v>15</v>
      </c>
      <c r="J267" s="135" t="s">
        <v>1450</v>
      </c>
      <c r="K267" s="186">
        <v>288</v>
      </c>
      <c r="L267" s="187" t="s">
        <v>173</v>
      </c>
      <c r="M267" s="187" t="s">
        <v>175</v>
      </c>
    </row>
    <row r="268" spans="1:13" s="188" customFormat="1">
      <c r="A268" s="185" t="s">
        <v>1447</v>
      </c>
      <c r="B268" s="133" t="s">
        <v>3322</v>
      </c>
      <c r="C268" s="185" t="s">
        <v>3023</v>
      </c>
      <c r="D268" s="133" t="s">
        <v>3321</v>
      </c>
      <c r="E268" s="134">
        <v>1</v>
      </c>
      <c r="F268" s="135" t="s">
        <v>1449</v>
      </c>
      <c r="G268" s="185" t="s">
        <v>15</v>
      </c>
      <c r="H268" s="185" t="s">
        <v>15</v>
      </c>
      <c r="I268" s="185" t="s">
        <v>15</v>
      </c>
      <c r="J268" s="135" t="s">
        <v>1450</v>
      </c>
      <c r="K268" s="186">
        <v>240</v>
      </c>
      <c r="L268" s="187" t="s">
        <v>173</v>
      </c>
      <c r="M268" s="187" t="s">
        <v>175</v>
      </c>
    </row>
    <row r="269" spans="1:13" s="188" customFormat="1">
      <c r="A269" s="185" t="s">
        <v>1447</v>
      </c>
      <c r="B269" s="133" t="s">
        <v>3323</v>
      </c>
      <c r="C269" s="185" t="s">
        <v>3023</v>
      </c>
      <c r="D269" s="133" t="s">
        <v>3321</v>
      </c>
      <c r="E269" s="134">
        <v>1</v>
      </c>
      <c r="F269" s="135" t="s">
        <v>1449</v>
      </c>
      <c r="G269" s="185" t="s">
        <v>15</v>
      </c>
      <c r="H269" s="185" t="s">
        <v>15</v>
      </c>
      <c r="I269" s="185" t="s">
        <v>15</v>
      </c>
      <c r="J269" s="135" t="s">
        <v>1450</v>
      </c>
      <c r="K269" s="186">
        <v>180</v>
      </c>
      <c r="L269" s="187" t="s">
        <v>173</v>
      </c>
      <c r="M269" s="187" t="s">
        <v>175</v>
      </c>
    </row>
    <row r="270" spans="1:13" s="188" customFormat="1">
      <c r="A270" s="185" t="s">
        <v>1447</v>
      </c>
      <c r="B270" s="133" t="s">
        <v>3324</v>
      </c>
      <c r="C270" s="185" t="s">
        <v>3023</v>
      </c>
      <c r="D270" s="133" t="s">
        <v>3321</v>
      </c>
      <c r="E270" s="134">
        <v>1</v>
      </c>
      <c r="F270" s="135" t="s">
        <v>1449</v>
      </c>
      <c r="G270" s="185" t="s">
        <v>15</v>
      </c>
      <c r="H270" s="185" t="s">
        <v>15</v>
      </c>
      <c r="I270" s="185" t="s">
        <v>15</v>
      </c>
      <c r="J270" s="135" t="s">
        <v>1450</v>
      </c>
      <c r="K270" s="186">
        <v>132</v>
      </c>
      <c r="L270" s="187" t="s">
        <v>173</v>
      </c>
      <c r="M270" s="187" t="s">
        <v>175</v>
      </c>
    </row>
    <row r="271" spans="1:13" s="188" customFormat="1">
      <c r="A271" s="185" t="s">
        <v>1447</v>
      </c>
      <c r="B271" s="133" t="s">
        <v>3325</v>
      </c>
      <c r="C271" s="185" t="s">
        <v>3023</v>
      </c>
      <c r="D271" s="133" t="s">
        <v>3321</v>
      </c>
      <c r="E271" s="134">
        <v>1</v>
      </c>
      <c r="F271" s="135" t="s">
        <v>1449</v>
      </c>
      <c r="G271" s="185" t="s">
        <v>15</v>
      </c>
      <c r="H271" s="185" t="s">
        <v>15</v>
      </c>
      <c r="I271" s="185" t="s">
        <v>15</v>
      </c>
      <c r="J271" s="135" t="s">
        <v>1450</v>
      </c>
      <c r="K271" s="186">
        <v>87.12</v>
      </c>
      <c r="L271" s="187" t="s">
        <v>173</v>
      </c>
      <c r="M271" s="187" t="s">
        <v>175</v>
      </c>
    </row>
    <row r="272" spans="1:13" s="188" customFormat="1">
      <c r="A272" s="185" t="s">
        <v>1447</v>
      </c>
      <c r="B272" s="133" t="s">
        <v>3326</v>
      </c>
      <c r="C272" s="185" t="s">
        <v>3023</v>
      </c>
      <c r="D272" s="133" t="s">
        <v>1956</v>
      </c>
      <c r="E272" s="134">
        <v>1</v>
      </c>
      <c r="F272" s="135" t="s">
        <v>1449</v>
      </c>
      <c r="G272" s="185" t="s">
        <v>15</v>
      </c>
      <c r="H272" s="185" t="s">
        <v>15</v>
      </c>
      <c r="I272" s="185" t="s">
        <v>15</v>
      </c>
      <c r="J272" s="135" t="s">
        <v>1450</v>
      </c>
      <c r="K272" s="186">
        <v>29052</v>
      </c>
      <c r="L272" s="187" t="s">
        <v>173</v>
      </c>
      <c r="M272" s="187" t="s">
        <v>175</v>
      </c>
    </row>
    <row r="273" spans="1:13" s="188" customFormat="1">
      <c r="A273" s="185" t="s">
        <v>1447</v>
      </c>
      <c r="B273" s="133" t="s">
        <v>3327</v>
      </c>
      <c r="C273" s="185" t="s">
        <v>3023</v>
      </c>
      <c r="D273" s="133" t="s">
        <v>1956</v>
      </c>
      <c r="E273" s="134">
        <v>1</v>
      </c>
      <c r="F273" s="135" t="s">
        <v>1449</v>
      </c>
      <c r="G273" s="185" t="s">
        <v>15</v>
      </c>
      <c r="H273" s="185" t="s">
        <v>15</v>
      </c>
      <c r="I273" s="185" t="s">
        <v>15</v>
      </c>
      <c r="J273" s="135" t="s">
        <v>1450</v>
      </c>
      <c r="K273" s="186">
        <v>20748</v>
      </c>
      <c r="L273" s="187" t="s">
        <v>173</v>
      </c>
      <c r="M273" s="187" t="s">
        <v>175</v>
      </c>
    </row>
    <row r="274" spans="1:13" s="188" customFormat="1">
      <c r="A274" s="185" t="s">
        <v>1447</v>
      </c>
      <c r="B274" s="133" t="s">
        <v>3328</v>
      </c>
      <c r="C274" s="185" t="s">
        <v>3023</v>
      </c>
      <c r="D274" s="133" t="s">
        <v>1956</v>
      </c>
      <c r="E274" s="134">
        <v>1</v>
      </c>
      <c r="F274" s="135" t="s">
        <v>1449</v>
      </c>
      <c r="G274" s="185" t="s">
        <v>15</v>
      </c>
      <c r="H274" s="185" t="s">
        <v>15</v>
      </c>
      <c r="I274" s="185" t="s">
        <v>15</v>
      </c>
      <c r="J274" s="135" t="s">
        <v>1450</v>
      </c>
      <c r="K274" s="186">
        <v>14520</v>
      </c>
      <c r="L274" s="187" t="s">
        <v>173</v>
      </c>
      <c r="M274" s="187" t="s">
        <v>175</v>
      </c>
    </row>
    <row r="275" spans="1:13" s="188" customFormat="1">
      <c r="A275" s="185" t="s">
        <v>1447</v>
      </c>
      <c r="B275" s="133" t="s">
        <v>3329</v>
      </c>
      <c r="C275" s="185" t="s">
        <v>3023</v>
      </c>
      <c r="D275" s="133" t="s">
        <v>1956</v>
      </c>
      <c r="E275" s="134">
        <v>1</v>
      </c>
      <c r="F275" s="135" t="s">
        <v>1449</v>
      </c>
      <c r="G275" s="185" t="s">
        <v>15</v>
      </c>
      <c r="H275" s="185" t="s">
        <v>15</v>
      </c>
      <c r="I275" s="185" t="s">
        <v>15</v>
      </c>
      <c r="J275" s="135" t="s">
        <v>1450</v>
      </c>
      <c r="K275" s="186">
        <v>10368</v>
      </c>
      <c r="L275" s="187" t="s">
        <v>173</v>
      </c>
      <c r="M275" s="187" t="s">
        <v>175</v>
      </c>
    </row>
    <row r="276" spans="1:13" s="188" customFormat="1">
      <c r="A276" s="185" t="s">
        <v>1447</v>
      </c>
      <c r="B276" s="133" t="s">
        <v>3330</v>
      </c>
      <c r="C276" s="185" t="s">
        <v>3023</v>
      </c>
      <c r="D276" s="133" t="s">
        <v>1956</v>
      </c>
      <c r="E276" s="134">
        <v>1</v>
      </c>
      <c r="F276" s="135" t="s">
        <v>1449</v>
      </c>
      <c r="G276" s="185" t="s">
        <v>15</v>
      </c>
      <c r="H276" s="185" t="s">
        <v>15</v>
      </c>
      <c r="I276" s="185" t="s">
        <v>15</v>
      </c>
      <c r="J276" s="135" t="s">
        <v>1450</v>
      </c>
      <c r="K276" s="186">
        <v>7788</v>
      </c>
      <c r="L276" s="187" t="s">
        <v>173</v>
      </c>
      <c r="M276" s="187" t="s">
        <v>175</v>
      </c>
    </row>
    <row r="277" spans="1:13" s="188" customFormat="1">
      <c r="A277" s="185" t="s">
        <v>1447</v>
      </c>
      <c r="B277" s="133" t="s">
        <v>3331</v>
      </c>
      <c r="C277" s="185" t="s">
        <v>3023</v>
      </c>
      <c r="D277" s="133" t="s">
        <v>1928</v>
      </c>
      <c r="E277" s="134">
        <v>1</v>
      </c>
      <c r="F277" s="135" t="s">
        <v>1449</v>
      </c>
      <c r="G277" s="185" t="s">
        <v>15</v>
      </c>
      <c r="H277" s="185" t="s">
        <v>15</v>
      </c>
      <c r="I277" s="185" t="s">
        <v>15</v>
      </c>
      <c r="J277" s="135" t="s">
        <v>1450</v>
      </c>
      <c r="K277" s="186">
        <v>936</v>
      </c>
      <c r="L277" s="187" t="s">
        <v>173</v>
      </c>
      <c r="M277" s="187" t="s">
        <v>175</v>
      </c>
    </row>
    <row r="278" spans="1:13" s="188" customFormat="1">
      <c r="A278" s="185" t="s">
        <v>1447</v>
      </c>
      <c r="B278" s="133" t="s">
        <v>3332</v>
      </c>
      <c r="C278" s="185" t="s">
        <v>3023</v>
      </c>
      <c r="D278" s="133" t="s">
        <v>1928</v>
      </c>
      <c r="E278" s="134">
        <v>1</v>
      </c>
      <c r="F278" s="135" t="s">
        <v>1449</v>
      </c>
      <c r="G278" s="185" t="s">
        <v>15</v>
      </c>
      <c r="H278" s="185" t="s">
        <v>15</v>
      </c>
      <c r="I278" s="185" t="s">
        <v>15</v>
      </c>
      <c r="J278" s="135" t="s">
        <v>1450</v>
      </c>
      <c r="K278" s="186">
        <v>804</v>
      </c>
      <c r="L278" s="187" t="s">
        <v>173</v>
      </c>
      <c r="M278" s="187" t="s">
        <v>175</v>
      </c>
    </row>
    <row r="279" spans="1:13" s="188" customFormat="1">
      <c r="A279" s="185" t="s">
        <v>1447</v>
      </c>
      <c r="B279" s="133" t="s">
        <v>3333</v>
      </c>
      <c r="C279" s="185" t="s">
        <v>3023</v>
      </c>
      <c r="D279" s="133" t="s">
        <v>1928</v>
      </c>
      <c r="E279" s="134">
        <v>1</v>
      </c>
      <c r="F279" s="135" t="s">
        <v>1449</v>
      </c>
      <c r="G279" s="185" t="s">
        <v>15</v>
      </c>
      <c r="H279" s="185" t="s">
        <v>15</v>
      </c>
      <c r="I279" s="185" t="s">
        <v>15</v>
      </c>
      <c r="J279" s="135" t="s">
        <v>1450</v>
      </c>
      <c r="K279" s="186">
        <v>720</v>
      </c>
      <c r="L279" s="187" t="s">
        <v>173</v>
      </c>
      <c r="M279" s="187" t="s">
        <v>175</v>
      </c>
    </row>
    <row r="280" spans="1:13" s="188" customFormat="1">
      <c r="A280" s="185" t="s">
        <v>1447</v>
      </c>
      <c r="B280" s="133" t="s">
        <v>3334</v>
      </c>
      <c r="C280" s="185" t="s">
        <v>3023</v>
      </c>
      <c r="D280" s="133" t="s">
        <v>1928</v>
      </c>
      <c r="E280" s="134">
        <v>1</v>
      </c>
      <c r="F280" s="135" t="s">
        <v>1449</v>
      </c>
      <c r="G280" s="185" t="s">
        <v>15</v>
      </c>
      <c r="H280" s="185" t="s">
        <v>15</v>
      </c>
      <c r="I280" s="185" t="s">
        <v>15</v>
      </c>
      <c r="J280" s="135" t="s">
        <v>1450</v>
      </c>
      <c r="K280" s="186">
        <v>624</v>
      </c>
      <c r="L280" s="187" t="s">
        <v>173</v>
      </c>
      <c r="M280" s="187" t="s">
        <v>175</v>
      </c>
    </row>
    <row r="281" spans="1:13" s="188" customFormat="1">
      <c r="A281" s="185" t="s">
        <v>1447</v>
      </c>
      <c r="B281" s="133" t="s">
        <v>3335</v>
      </c>
      <c r="C281" s="185" t="s">
        <v>3023</v>
      </c>
      <c r="D281" s="133" t="s">
        <v>1928</v>
      </c>
      <c r="E281" s="134">
        <v>1</v>
      </c>
      <c r="F281" s="135" t="s">
        <v>1449</v>
      </c>
      <c r="G281" s="185" t="s">
        <v>15</v>
      </c>
      <c r="H281" s="185" t="s">
        <v>15</v>
      </c>
      <c r="I281" s="185" t="s">
        <v>15</v>
      </c>
      <c r="J281" s="135" t="s">
        <v>1450</v>
      </c>
      <c r="K281" s="186">
        <v>564</v>
      </c>
      <c r="L281" s="187" t="s">
        <v>173</v>
      </c>
      <c r="M281" s="187" t="s">
        <v>175</v>
      </c>
    </row>
    <row r="282" spans="1:13" s="188" customFormat="1">
      <c r="A282" s="185" t="s">
        <v>1447</v>
      </c>
      <c r="B282" s="133" t="s">
        <v>3336</v>
      </c>
      <c r="C282" s="185" t="s">
        <v>3023</v>
      </c>
      <c r="D282" s="133" t="s">
        <v>1928</v>
      </c>
      <c r="E282" s="134">
        <v>1</v>
      </c>
      <c r="F282" s="135" t="s">
        <v>1449</v>
      </c>
      <c r="G282" s="185" t="s">
        <v>15</v>
      </c>
      <c r="H282" s="185" t="s">
        <v>15</v>
      </c>
      <c r="I282" s="185" t="s">
        <v>15</v>
      </c>
      <c r="J282" s="135" t="s">
        <v>1450</v>
      </c>
      <c r="K282" s="186">
        <v>528</v>
      </c>
      <c r="L282" s="187" t="s">
        <v>173</v>
      </c>
      <c r="M282" s="187" t="s">
        <v>175</v>
      </c>
    </row>
    <row r="283" spans="1:13" s="188" customFormat="1">
      <c r="A283" s="185" t="s">
        <v>1447</v>
      </c>
      <c r="B283" s="133" t="s">
        <v>3337</v>
      </c>
      <c r="C283" s="185" t="s">
        <v>3023</v>
      </c>
      <c r="D283" s="133" t="s">
        <v>3338</v>
      </c>
      <c r="E283" s="134">
        <v>1</v>
      </c>
      <c r="F283" s="135" t="s">
        <v>1449</v>
      </c>
      <c r="G283" s="185" t="s">
        <v>15</v>
      </c>
      <c r="H283" s="185" t="s">
        <v>15</v>
      </c>
      <c r="I283" s="185" t="s">
        <v>15</v>
      </c>
      <c r="J283" s="135" t="s">
        <v>1450</v>
      </c>
      <c r="K283" s="186">
        <v>4164</v>
      </c>
      <c r="L283" s="187" t="s">
        <v>173</v>
      </c>
      <c r="M283" s="187" t="s">
        <v>175</v>
      </c>
    </row>
    <row r="284" spans="1:13" s="188" customFormat="1">
      <c r="A284" s="185" t="s">
        <v>1447</v>
      </c>
      <c r="B284" s="133" t="s">
        <v>3339</v>
      </c>
      <c r="C284" s="185" t="s">
        <v>3023</v>
      </c>
      <c r="D284" s="133" t="s">
        <v>1957</v>
      </c>
      <c r="E284" s="134">
        <v>1</v>
      </c>
      <c r="F284" s="135" t="s">
        <v>1449</v>
      </c>
      <c r="G284" s="185" t="s">
        <v>15</v>
      </c>
      <c r="H284" s="185" t="s">
        <v>15</v>
      </c>
      <c r="I284" s="185" t="s">
        <v>15</v>
      </c>
      <c r="J284" s="135" t="s">
        <v>1450</v>
      </c>
      <c r="K284" s="186">
        <v>54480</v>
      </c>
      <c r="L284" s="187" t="s">
        <v>173</v>
      </c>
      <c r="M284" s="187" t="s">
        <v>175</v>
      </c>
    </row>
    <row r="285" spans="1:13" s="188" customFormat="1">
      <c r="A285" s="185" t="s">
        <v>1447</v>
      </c>
      <c r="B285" s="133" t="s">
        <v>3340</v>
      </c>
      <c r="C285" s="185" t="s">
        <v>3023</v>
      </c>
      <c r="D285" s="133" t="s">
        <v>1957</v>
      </c>
      <c r="E285" s="134">
        <v>1</v>
      </c>
      <c r="F285" s="135" t="s">
        <v>1449</v>
      </c>
      <c r="G285" s="185" t="s">
        <v>15</v>
      </c>
      <c r="H285" s="185" t="s">
        <v>15</v>
      </c>
      <c r="I285" s="185" t="s">
        <v>15</v>
      </c>
      <c r="J285" s="135" t="s">
        <v>1450</v>
      </c>
      <c r="K285" s="186">
        <v>43584</v>
      </c>
      <c r="L285" s="187" t="s">
        <v>173</v>
      </c>
      <c r="M285" s="187" t="s">
        <v>175</v>
      </c>
    </row>
    <row r="286" spans="1:13" s="188" customFormat="1">
      <c r="A286" s="185" t="s">
        <v>1447</v>
      </c>
      <c r="B286" s="133" t="s">
        <v>3341</v>
      </c>
      <c r="C286" s="185" t="s">
        <v>3023</v>
      </c>
      <c r="D286" s="133" t="s">
        <v>1957</v>
      </c>
      <c r="E286" s="134">
        <v>1</v>
      </c>
      <c r="F286" s="135" t="s">
        <v>1449</v>
      </c>
      <c r="G286" s="185" t="s">
        <v>15</v>
      </c>
      <c r="H286" s="185" t="s">
        <v>15</v>
      </c>
      <c r="I286" s="185" t="s">
        <v>15</v>
      </c>
      <c r="J286" s="135" t="s">
        <v>1450</v>
      </c>
      <c r="K286" s="186">
        <v>34236</v>
      </c>
      <c r="L286" s="187" t="s">
        <v>173</v>
      </c>
      <c r="M286" s="187" t="s">
        <v>175</v>
      </c>
    </row>
    <row r="287" spans="1:13" s="188" customFormat="1">
      <c r="A287" s="185" t="s">
        <v>1447</v>
      </c>
      <c r="B287" s="133" t="s">
        <v>3342</v>
      </c>
      <c r="C287" s="185" t="s">
        <v>3023</v>
      </c>
      <c r="D287" s="133" t="s">
        <v>1957</v>
      </c>
      <c r="E287" s="134">
        <v>1</v>
      </c>
      <c r="F287" s="135" t="s">
        <v>1449</v>
      </c>
      <c r="G287" s="185" t="s">
        <v>15</v>
      </c>
      <c r="H287" s="185" t="s">
        <v>15</v>
      </c>
      <c r="I287" s="185" t="s">
        <v>15</v>
      </c>
      <c r="J287" s="135" t="s">
        <v>1450</v>
      </c>
      <c r="K287" s="186">
        <v>24900</v>
      </c>
      <c r="L287" s="187" t="s">
        <v>173</v>
      </c>
      <c r="M287" s="187" t="s">
        <v>175</v>
      </c>
    </row>
    <row r="288" spans="1:13" s="188" customFormat="1">
      <c r="A288" s="185" t="s">
        <v>1447</v>
      </c>
      <c r="B288" s="133" t="s">
        <v>3343</v>
      </c>
      <c r="C288" s="185" t="s">
        <v>3023</v>
      </c>
      <c r="D288" s="133" t="s">
        <v>1958</v>
      </c>
      <c r="E288" s="134">
        <v>1</v>
      </c>
      <c r="F288" s="135" t="s">
        <v>1449</v>
      </c>
      <c r="G288" s="185" t="s">
        <v>15</v>
      </c>
      <c r="H288" s="185" t="s">
        <v>15</v>
      </c>
      <c r="I288" s="185" t="s">
        <v>15</v>
      </c>
      <c r="J288" s="135" t="s">
        <v>1450</v>
      </c>
      <c r="K288" s="186">
        <v>612840</v>
      </c>
      <c r="L288" s="187" t="s">
        <v>173</v>
      </c>
      <c r="M288" s="187" t="s">
        <v>175</v>
      </c>
    </row>
    <row r="289" spans="1:13" s="188" customFormat="1">
      <c r="A289" s="185" t="s">
        <v>1447</v>
      </c>
      <c r="B289" s="133" t="s">
        <v>3344</v>
      </c>
      <c r="C289" s="185" t="s">
        <v>3023</v>
      </c>
      <c r="D289" s="133" t="s">
        <v>1959</v>
      </c>
      <c r="E289" s="134">
        <v>1</v>
      </c>
      <c r="F289" s="135" t="s">
        <v>1449</v>
      </c>
      <c r="G289" s="185" t="s">
        <v>15</v>
      </c>
      <c r="H289" s="185" t="s">
        <v>15</v>
      </c>
      <c r="I289" s="185" t="s">
        <v>15</v>
      </c>
      <c r="J289" s="135" t="s">
        <v>1450</v>
      </c>
      <c r="K289" s="186">
        <v>721788</v>
      </c>
      <c r="L289" s="187" t="s">
        <v>173</v>
      </c>
      <c r="M289" s="187" t="s">
        <v>175</v>
      </c>
    </row>
    <row r="290" spans="1:13" s="188" customFormat="1">
      <c r="A290" s="185" t="s">
        <v>1447</v>
      </c>
      <c r="B290" s="133" t="s">
        <v>3345</v>
      </c>
      <c r="C290" s="185" t="s">
        <v>3023</v>
      </c>
      <c r="D290" s="133" t="s">
        <v>1960</v>
      </c>
      <c r="E290" s="134">
        <v>1</v>
      </c>
      <c r="F290" s="135" t="s">
        <v>1449</v>
      </c>
      <c r="G290" s="185" t="s">
        <v>15</v>
      </c>
      <c r="H290" s="185" t="s">
        <v>15</v>
      </c>
      <c r="I290" s="185" t="s">
        <v>15</v>
      </c>
      <c r="J290" s="135" t="s">
        <v>1450</v>
      </c>
      <c r="K290" s="186">
        <v>953304</v>
      </c>
      <c r="L290" s="187" t="s">
        <v>173</v>
      </c>
      <c r="M290" s="187" t="s">
        <v>175</v>
      </c>
    </row>
    <row r="291" spans="1:13" s="188" customFormat="1">
      <c r="A291" s="185" t="s">
        <v>1447</v>
      </c>
      <c r="B291" s="133" t="s">
        <v>3346</v>
      </c>
      <c r="C291" s="185" t="s">
        <v>3023</v>
      </c>
      <c r="D291" s="133" t="s">
        <v>1961</v>
      </c>
      <c r="E291" s="134">
        <v>1</v>
      </c>
      <c r="F291" s="135" t="s">
        <v>1449</v>
      </c>
      <c r="G291" s="185" t="s">
        <v>15</v>
      </c>
      <c r="H291" s="185" t="s">
        <v>15</v>
      </c>
      <c r="I291" s="185" t="s">
        <v>15</v>
      </c>
      <c r="J291" s="135" t="s">
        <v>1450</v>
      </c>
      <c r="K291" s="186">
        <v>1307376</v>
      </c>
      <c r="L291" s="187" t="s">
        <v>173</v>
      </c>
      <c r="M291" s="187" t="s">
        <v>175</v>
      </c>
    </row>
    <row r="292" spans="1:13" s="188" customFormat="1">
      <c r="A292" s="185" t="s">
        <v>1447</v>
      </c>
      <c r="B292" s="133" t="s">
        <v>3347</v>
      </c>
      <c r="C292" s="185" t="s">
        <v>3023</v>
      </c>
      <c r="D292" s="133" t="s">
        <v>1962</v>
      </c>
      <c r="E292" s="134">
        <v>1</v>
      </c>
      <c r="F292" s="135" t="s">
        <v>1449</v>
      </c>
      <c r="G292" s="185" t="s">
        <v>15</v>
      </c>
      <c r="H292" s="185" t="s">
        <v>15</v>
      </c>
      <c r="I292" s="185" t="s">
        <v>15</v>
      </c>
      <c r="J292" s="135" t="s">
        <v>1450</v>
      </c>
      <c r="K292" s="186">
        <v>1838508</v>
      </c>
      <c r="L292" s="187" t="s">
        <v>173</v>
      </c>
      <c r="M292" s="187" t="s">
        <v>175</v>
      </c>
    </row>
    <row r="293" spans="1:13" s="188" customFormat="1">
      <c r="A293" s="185" t="s">
        <v>1447</v>
      </c>
      <c r="B293" s="133" t="s">
        <v>3348</v>
      </c>
      <c r="C293" s="185" t="s">
        <v>3023</v>
      </c>
      <c r="D293" s="133" t="s">
        <v>1963</v>
      </c>
      <c r="E293" s="134">
        <v>1</v>
      </c>
      <c r="F293" s="135" t="s">
        <v>1449</v>
      </c>
      <c r="G293" s="185" t="s">
        <v>15</v>
      </c>
      <c r="H293" s="185" t="s">
        <v>15</v>
      </c>
      <c r="I293" s="185" t="s">
        <v>15</v>
      </c>
      <c r="J293" s="135" t="s">
        <v>1450</v>
      </c>
      <c r="K293" s="186">
        <v>143004</v>
      </c>
      <c r="L293" s="187" t="s">
        <v>173</v>
      </c>
      <c r="M293" s="187" t="s">
        <v>175</v>
      </c>
    </row>
    <row r="294" spans="1:13" s="188" customFormat="1">
      <c r="A294" s="185" t="s">
        <v>1447</v>
      </c>
      <c r="B294" s="133" t="s">
        <v>3349</v>
      </c>
      <c r="C294" s="185" t="s">
        <v>3023</v>
      </c>
      <c r="D294" s="133" t="s">
        <v>1964</v>
      </c>
      <c r="E294" s="134">
        <v>1</v>
      </c>
      <c r="F294" s="135" t="s">
        <v>1449</v>
      </c>
      <c r="G294" s="185" t="s">
        <v>15</v>
      </c>
      <c r="H294" s="185" t="s">
        <v>15</v>
      </c>
      <c r="I294" s="185" t="s">
        <v>15</v>
      </c>
      <c r="J294" s="135" t="s">
        <v>1450</v>
      </c>
      <c r="K294" s="186">
        <v>183852</v>
      </c>
      <c r="L294" s="187" t="s">
        <v>173</v>
      </c>
      <c r="M294" s="187" t="s">
        <v>175</v>
      </c>
    </row>
    <row r="295" spans="1:13" s="188" customFormat="1">
      <c r="A295" s="185" t="s">
        <v>1447</v>
      </c>
      <c r="B295" s="133" t="s">
        <v>3350</v>
      </c>
      <c r="C295" s="185" t="s">
        <v>3023</v>
      </c>
      <c r="D295" s="133" t="s">
        <v>1965</v>
      </c>
      <c r="E295" s="134">
        <v>1</v>
      </c>
      <c r="F295" s="135" t="s">
        <v>1449</v>
      </c>
      <c r="G295" s="185" t="s">
        <v>15</v>
      </c>
      <c r="H295" s="185" t="s">
        <v>15</v>
      </c>
      <c r="I295" s="185" t="s">
        <v>15</v>
      </c>
      <c r="J295" s="135" t="s">
        <v>1450</v>
      </c>
      <c r="K295" s="186">
        <v>224712</v>
      </c>
      <c r="L295" s="187" t="s">
        <v>173</v>
      </c>
      <c r="M295" s="187" t="s">
        <v>175</v>
      </c>
    </row>
    <row r="296" spans="1:13" s="188" customFormat="1">
      <c r="A296" s="185" t="s">
        <v>1447</v>
      </c>
      <c r="B296" s="133" t="s">
        <v>3351</v>
      </c>
      <c r="C296" s="185" t="s">
        <v>3023</v>
      </c>
      <c r="D296" s="133" t="s">
        <v>1966</v>
      </c>
      <c r="E296" s="134">
        <v>1</v>
      </c>
      <c r="F296" s="135" t="s">
        <v>1449</v>
      </c>
      <c r="G296" s="185" t="s">
        <v>15</v>
      </c>
      <c r="H296" s="185" t="s">
        <v>15</v>
      </c>
      <c r="I296" s="185" t="s">
        <v>15</v>
      </c>
      <c r="J296" s="135" t="s">
        <v>1450</v>
      </c>
      <c r="K296" s="186">
        <v>21792</v>
      </c>
      <c r="L296" s="187" t="s">
        <v>173</v>
      </c>
      <c r="M296" s="187" t="s">
        <v>175</v>
      </c>
    </row>
    <row r="297" spans="1:13" s="188" customFormat="1">
      <c r="A297" s="185" t="s">
        <v>1447</v>
      </c>
      <c r="B297" s="133" t="s">
        <v>3352</v>
      </c>
      <c r="C297" s="185" t="s">
        <v>3023</v>
      </c>
      <c r="D297" s="133" t="s">
        <v>1966</v>
      </c>
      <c r="E297" s="134">
        <v>1</v>
      </c>
      <c r="F297" s="135" t="s">
        <v>1449</v>
      </c>
      <c r="G297" s="185" t="s">
        <v>15</v>
      </c>
      <c r="H297" s="185" t="s">
        <v>15</v>
      </c>
      <c r="I297" s="185" t="s">
        <v>15</v>
      </c>
      <c r="J297" s="135" t="s">
        <v>1450</v>
      </c>
      <c r="K297" s="186">
        <v>16608</v>
      </c>
      <c r="L297" s="187" t="s">
        <v>173</v>
      </c>
      <c r="M297" s="187" t="s">
        <v>175</v>
      </c>
    </row>
    <row r="298" spans="1:13" s="188" customFormat="1">
      <c r="A298" s="185" t="s">
        <v>1447</v>
      </c>
      <c r="B298" s="133" t="s">
        <v>3353</v>
      </c>
      <c r="C298" s="185" t="s">
        <v>3023</v>
      </c>
      <c r="D298" s="133" t="s">
        <v>1966</v>
      </c>
      <c r="E298" s="134">
        <v>1</v>
      </c>
      <c r="F298" s="135" t="s">
        <v>1449</v>
      </c>
      <c r="G298" s="185" t="s">
        <v>15</v>
      </c>
      <c r="H298" s="185" t="s">
        <v>15</v>
      </c>
      <c r="I298" s="185" t="s">
        <v>15</v>
      </c>
      <c r="J298" s="135" t="s">
        <v>1450</v>
      </c>
      <c r="K298" s="186">
        <v>11412</v>
      </c>
      <c r="L298" s="187" t="s">
        <v>173</v>
      </c>
      <c r="M298" s="187" t="s">
        <v>175</v>
      </c>
    </row>
    <row r="299" spans="1:13" s="188" customFormat="1">
      <c r="A299" s="185" t="s">
        <v>1447</v>
      </c>
      <c r="B299" s="133" t="s">
        <v>3354</v>
      </c>
      <c r="C299" s="185" t="s">
        <v>3023</v>
      </c>
      <c r="D299" s="133" t="s">
        <v>1966</v>
      </c>
      <c r="E299" s="134">
        <v>1</v>
      </c>
      <c r="F299" s="135" t="s">
        <v>1449</v>
      </c>
      <c r="G299" s="185" t="s">
        <v>15</v>
      </c>
      <c r="H299" s="185" t="s">
        <v>15</v>
      </c>
      <c r="I299" s="185" t="s">
        <v>15</v>
      </c>
      <c r="J299" s="135" t="s">
        <v>1450</v>
      </c>
      <c r="K299" s="186">
        <v>7272</v>
      </c>
      <c r="L299" s="187" t="s">
        <v>173</v>
      </c>
      <c r="M299" s="187" t="s">
        <v>175</v>
      </c>
    </row>
    <row r="300" spans="1:13" s="188" customFormat="1">
      <c r="A300" s="185" t="s">
        <v>1447</v>
      </c>
      <c r="B300" s="133" t="s">
        <v>3355</v>
      </c>
      <c r="C300" s="185" t="s">
        <v>3023</v>
      </c>
      <c r="D300" s="133" t="s">
        <v>1966</v>
      </c>
      <c r="E300" s="134">
        <v>1</v>
      </c>
      <c r="F300" s="135" t="s">
        <v>1449</v>
      </c>
      <c r="G300" s="185" t="s">
        <v>15</v>
      </c>
      <c r="H300" s="185" t="s">
        <v>15</v>
      </c>
      <c r="I300" s="185" t="s">
        <v>15</v>
      </c>
      <c r="J300" s="135" t="s">
        <v>1450</v>
      </c>
      <c r="K300" s="186">
        <v>4164</v>
      </c>
      <c r="L300" s="187" t="s">
        <v>173</v>
      </c>
      <c r="M300" s="187" t="s">
        <v>175</v>
      </c>
    </row>
    <row r="301" spans="1:13" s="188" customFormat="1">
      <c r="A301" s="185" t="s">
        <v>1447</v>
      </c>
      <c r="B301" s="133" t="s">
        <v>3356</v>
      </c>
      <c r="C301" s="185" t="s">
        <v>3023</v>
      </c>
      <c r="D301" s="133" t="s">
        <v>1966</v>
      </c>
      <c r="E301" s="134">
        <v>1</v>
      </c>
      <c r="F301" s="135" t="s">
        <v>1449</v>
      </c>
      <c r="G301" s="185" t="s">
        <v>15</v>
      </c>
      <c r="H301" s="185" t="s">
        <v>15</v>
      </c>
      <c r="I301" s="185" t="s">
        <v>15</v>
      </c>
      <c r="J301" s="135" t="s">
        <v>1450</v>
      </c>
      <c r="K301" s="186">
        <v>2916</v>
      </c>
      <c r="L301" s="187" t="s">
        <v>173</v>
      </c>
      <c r="M301" s="187" t="s">
        <v>175</v>
      </c>
    </row>
    <row r="302" spans="1:13" s="188" customFormat="1">
      <c r="A302" s="185" t="s">
        <v>1447</v>
      </c>
      <c r="B302" s="133" t="s">
        <v>3357</v>
      </c>
      <c r="C302" s="185" t="s">
        <v>3023</v>
      </c>
      <c r="D302" s="133" t="s">
        <v>1967</v>
      </c>
      <c r="E302" s="134">
        <v>1</v>
      </c>
      <c r="F302" s="135" t="s">
        <v>1449</v>
      </c>
      <c r="G302" s="185" t="s">
        <v>15</v>
      </c>
      <c r="H302" s="185" t="s">
        <v>15</v>
      </c>
      <c r="I302" s="185" t="s">
        <v>15</v>
      </c>
      <c r="J302" s="135" t="s">
        <v>1450</v>
      </c>
      <c r="K302" s="186">
        <v>8184</v>
      </c>
      <c r="L302" s="187" t="s">
        <v>173</v>
      </c>
      <c r="M302" s="187" t="s">
        <v>175</v>
      </c>
    </row>
    <row r="303" spans="1:13" s="188" customFormat="1">
      <c r="A303" s="185" t="s">
        <v>1447</v>
      </c>
      <c r="B303" s="133" t="s">
        <v>3358</v>
      </c>
      <c r="C303" s="185" t="s">
        <v>3023</v>
      </c>
      <c r="D303" s="133" t="s">
        <v>1967</v>
      </c>
      <c r="E303" s="134">
        <v>1</v>
      </c>
      <c r="F303" s="135" t="s">
        <v>1449</v>
      </c>
      <c r="G303" s="185" t="s">
        <v>15</v>
      </c>
      <c r="H303" s="185" t="s">
        <v>15</v>
      </c>
      <c r="I303" s="185" t="s">
        <v>15</v>
      </c>
      <c r="J303" s="135" t="s">
        <v>1450</v>
      </c>
      <c r="K303" s="186">
        <v>6540</v>
      </c>
      <c r="L303" s="187" t="s">
        <v>173</v>
      </c>
      <c r="M303" s="187" t="s">
        <v>175</v>
      </c>
    </row>
    <row r="304" spans="1:13" s="188" customFormat="1">
      <c r="A304" s="185" t="s">
        <v>1447</v>
      </c>
      <c r="B304" s="133" t="s">
        <v>3359</v>
      </c>
      <c r="C304" s="185" t="s">
        <v>3023</v>
      </c>
      <c r="D304" s="133" t="s">
        <v>1967</v>
      </c>
      <c r="E304" s="134">
        <v>1</v>
      </c>
      <c r="F304" s="135" t="s">
        <v>1449</v>
      </c>
      <c r="G304" s="185" t="s">
        <v>15</v>
      </c>
      <c r="H304" s="185" t="s">
        <v>15</v>
      </c>
      <c r="I304" s="185" t="s">
        <v>15</v>
      </c>
      <c r="J304" s="135" t="s">
        <v>1450</v>
      </c>
      <c r="K304" s="186">
        <v>4980</v>
      </c>
      <c r="L304" s="187" t="s">
        <v>173</v>
      </c>
      <c r="M304" s="187" t="s">
        <v>175</v>
      </c>
    </row>
    <row r="305" spans="1:13" s="188" customFormat="1">
      <c r="A305" s="185" t="s">
        <v>1447</v>
      </c>
      <c r="B305" s="133" t="s">
        <v>3360</v>
      </c>
      <c r="C305" s="185" t="s">
        <v>3023</v>
      </c>
      <c r="D305" s="133" t="s">
        <v>1967</v>
      </c>
      <c r="E305" s="134">
        <v>1</v>
      </c>
      <c r="F305" s="135" t="s">
        <v>1449</v>
      </c>
      <c r="G305" s="185" t="s">
        <v>15</v>
      </c>
      <c r="H305" s="185" t="s">
        <v>15</v>
      </c>
      <c r="I305" s="185" t="s">
        <v>15</v>
      </c>
      <c r="J305" s="135" t="s">
        <v>1450</v>
      </c>
      <c r="K305" s="186">
        <v>3372</v>
      </c>
      <c r="L305" s="187" t="s">
        <v>173</v>
      </c>
      <c r="M305" s="187" t="s">
        <v>175</v>
      </c>
    </row>
    <row r="306" spans="1:13" s="188" customFormat="1">
      <c r="A306" s="185" t="s">
        <v>1447</v>
      </c>
      <c r="B306" s="133" t="s">
        <v>3361</v>
      </c>
      <c r="C306" s="185" t="s">
        <v>3023</v>
      </c>
      <c r="D306" s="133" t="s">
        <v>1967</v>
      </c>
      <c r="E306" s="134">
        <v>1</v>
      </c>
      <c r="F306" s="135" t="s">
        <v>1449</v>
      </c>
      <c r="G306" s="185" t="s">
        <v>15</v>
      </c>
      <c r="H306" s="185" t="s">
        <v>15</v>
      </c>
      <c r="I306" s="185" t="s">
        <v>15</v>
      </c>
      <c r="J306" s="135" t="s">
        <v>1450</v>
      </c>
      <c r="K306" s="186">
        <v>2340</v>
      </c>
      <c r="L306" s="187" t="s">
        <v>173</v>
      </c>
      <c r="M306" s="187" t="s">
        <v>175</v>
      </c>
    </row>
    <row r="307" spans="1:13" s="188" customFormat="1">
      <c r="A307" s="185" t="s">
        <v>1447</v>
      </c>
      <c r="B307" s="133" t="s">
        <v>3362</v>
      </c>
      <c r="C307" s="185" t="s">
        <v>3023</v>
      </c>
      <c r="D307" s="133" t="s">
        <v>1967</v>
      </c>
      <c r="E307" s="134">
        <v>1</v>
      </c>
      <c r="F307" s="135" t="s">
        <v>1449</v>
      </c>
      <c r="G307" s="185" t="s">
        <v>15</v>
      </c>
      <c r="H307" s="185" t="s">
        <v>15</v>
      </c>
      <c r="I307" s="185" t="s">
        <v>15</v>
      </c>
      <c r="J307" s="135" t="s">
        <v>1450</v>
      </c>
      <c r="K307" s="186">
        <v>1644</v>
      </c>
      <c r="L307" s="187" t="s">
        <v>173</v>
      </c>
      <c r="M307" s="187" t="s">
        <v>175</v>
      </c>
    </row>
    <row r="308" spans="1:13" s="188" customFormat="1">
      <c r="A308" s="185" t="s">
        <v>1447</v>
      </c>
      <c r="B308" s="133" t="s">
        <v>3363</v>
      </c>
      <c r="C308" s="185" t="s">
        <v>3023</v>
      </c>
      <c r="D308" s="133" t="s">
        <v>1968</v>
      </c>
      <c r="E308" s="134">
        <v>1</v>
      </c>
      <c r="F308" s="135" t="s">
        <v>1449</v>
      </c>
      <c r="G308" s="185" t="s">
        <v>15</v>
      </c>
      <c r="H308" s="185" t="s">
        <v>15</v>
      </c>
      <c r="I308" s="185" t="s">
        <v>15</v>
      </c>
      <c r="J308" s="135" t="s">
        <v>1450</v>
      </c>
      <c r="K308" s="186">
        <v>2724</v>
      </c>
      <c r="L308" s="187" t="s">
        <v>173</v>
      </c>
      <c r="M308" s="187" t="s">
        <v>175</v>
      </c>
    </row>
    <row r="309" spans="1:13" s="188" customFormat="1">
      <c r="A309" s="185" t="s">
        <v>1447</v>
      </c>
      <c r="B309" s="133" t="s">
        <v>3364</v>
      </c>
      <c r="C309" s="185" t="s">
        <v>3023</v>
      </c>
      <c r="D309" s="133" t="s">
        <v>1968</v>
      </c>
      <c r="E309" s="134">
        <v>1</v>
      </c>
      <c r="F309" s="135" t="s">
        <v>1449</v>
      </c>
      <c r="G309" s="185" t="s">
        <v>15</v>
      </c>
      <c r="H309" s="185" t="s">
        <v>15</v>
      </c>
      <c r="I309" s="185" t="s">
        <v>15</v>
      </c>
      <c r="J309" s="135" t="s">
        <v>1450</v>
      </c>
      <c r="K309" s="186">
        <v>2184</v>
      </c>
      <c r="L309" s="187" t="s">
        <v>173</v>
      </c>
      <c r="M309" s="187" t="s">
        <v>175</v>
      </c>
    </row>
    <row r="310" spans="1:13" s="188" customFormat="1">
      <c r="A310" s="185" t="s">
        <v>1447</v>
      </c>
      <c r="B310" s="133" t="s">
        <v>3365</v>
      </c>
      <c r="C310" s="185" t="s">
        <v>3023</v>
      </c>
      <c r="D310" s="133" t="s">
        <v>1968</v>
      </c>
      <c r="E310" s="134">
        <v>1</v>
      </c>
      <c r="F310" s="135" t="s">
        <v>1449</v>
      </c>
      <c r="G310" s="185" t="s">
        <v>15</v>
      </c>
      <c r="H310" s="185" t="s">
        <v>15</v>
      </c>
      <c r="I310" s="185" t="s">
        <v>15</v>
      </c>
      <c r="J310" s="135" t="s">
        <v>1450</v>
      </c>
      <c r="K310" s="186">
        <v>1668</v>
      </c>
      <c r="L310" s="187" t="s">
        <v>173</v>
      </c>
      <c r="M310" s="187" t="s">
        <v>175</v>
      </c>
    </row>
    <row r="311" spans="1:13" s="188" customFormat="1">
      <c r="A311" s="185" t="s">
        <v>1447</v>
      </c>
      <c r="B311" s="133" t="s">
        <v>3366</v>
      </c>
      <c r="C311" s="185" t="s">
        <v>3023</v>
      </c>
      <c r="D311" s="133" t="s">
        <v>1968</v>
      </c>
      <c r="E311" s="134">
        <v>1</v>
      </c>
      <c r="F311" s="135" t="s">
        <v>1449</v>
      </c>
      <c r="G311" s="185" t="s">
        <v>15</v>
      </c>
      <c r="H311" s="185" t="s">
        <v>15</v>
      </c>
      <c r="I311" s="185" t="s">
        <v>15</v>
      </c>
      <c r="J311" s="135" t="s">
        <v>1450</v>
      </c>
      <c r="K311" s="186">
        <v>1140</v>
      </c>
      <c r="L311" s="187" t="s">
        <v>173</v>
      </c>
      <c r="M311" s="187" t="s">
        <v>175</v>
      </c>
    </row>
    <row r="312" spans="1:13" s="188" customFormat="1">
      <c r="A312" s="185" t="s">
        <v>1447</v>
      </c>
      <c r="B312" s="133" t="s">
        <v>3367</v>
      </c>
      <c r="C312" s="185" t="s">
        <v>3023</v>
      </c>
      <c r="D312" s="133" t="s">
        <v>1968</v>
      </c>
      <c r="E312" s="134">
        <v>1</v>
      </c>
      <c r="F312" s="135" t="s">
        <v>1449</v>
      </c>
      <c r="G312" s="185" t="s">
        <v>15</v>
      </c>
      <c r="H312" s="185" t="s">
        <v>15</v>
      </c>
      <c r="I312" s="185" t="s">
        <v>15</v>
      </c>
      <c r="J312" s="135" t="s">
        <v>1450</v>
      </c>
      <c r="K312" s="186">
        <v>672</v>
      </c>
      <c r="L312" s="187" t="s">
        <v>173</v>
      </c>
      <c r="M312" s="187" t="s">
        <v>175</v>
      </c>
    </row>
    <row r="313" spans="1:13" s="188" customFormat="1">
      <c r="A313" s="185" t="s">
        <v>1447</v>
      </c>
      <c r="B313" s="133" t="s">
        <v>3368</v>
      </c>
      <c r="C313" s="185" t="s">
        <v>3023</v>
      </c>
      <c r="D313" s="133" t="s">
        <v>1968</v>
      </c>
      <c r="E313" s="134">
        <v>1</v>
      </c>
      <c r="F313" s="135" t="s">
        <v>1449</v>
      </c>
      <c r="G313" s="185" t="s">
        <v>15</v>
      </c>
      <c r="H313" s="185" t="s">
        <v>15</v>
      </c>
      <c r="I313" s="185" t="s">
        <v>15</v>
      </c>
      <c r="J313" s="135" t="s">
        <v>1450</v>
      </c>
      <c r="K313" s="186">
        <v>528</v>
      </c>
      <c r="L313" s="187" t="s">
        <v>173</v>
      </c>
      <c r="M313" s="187" t="s">
        <v>175</v>
      </c>
    </row>
    <row r="314" spans="1:13" s="188" customFormat="1">
      <c r="A314" s="185" t="s">
        <v>1447</v>
      </c>
      <c r="B314" s="133" t="s">
        <v>3369</v>
      </c>
      <c r="C314" s="185" t="s">
        <v>3023</v>
      </c>
      <c r="D314" s="133" t="s">
        <v>1929</v>
      </c>
      <c r="E314" s="134">
        <v>1</v>
      </c>
      <c r="F314" s="135" t="s">
        <v>1449</v>
      </c>
      <c r="G314" s="185" t="s">
        <v>15</v>
      </c>
      <c r="H314" s="185" t="s">
        <v>15</v>
      </c>
      <c r="I314" s="185" t="s">
        <v>15</v>
      </c>
      <c r="J314" s="135" t="s">
        <v>1450</v>
      </c>
      <c r="K314" s="186">
        <v>3156</v>
      </c>
      <c r="L314" s="187" t="s">
        <v>173</v>
      </c>
      <c r="M314" s="187" t="s">
        <v>175</v>
      </c>
    </row>
    <row r="315" spans="1:13" s="188" customFormat="1">
      <c r="A315" s="185" t="s">
        <v>1447</v>
      </c>
      <c r="B315" s="133" t="s">
        <v>3370</v>
      </c>
      <c r="C315" s="185" t="s">
        <v>3023</v>
      </c>
      <c r="D315" s="133" t="s">
        <v>1929</v>
      </c>
      <c r="E315" s="134">
        <v>1</v>
      </c>
      <c r="F315" s="135" t="s">
        <v>1449</v>
      </c>
      <c r="G315" s="185" t="s">
        <v>15</v>
      </c>
      <c r="H315" s="185" t="s">
        <v>15</v>
      </c>
      <c r="I315" s="185" t="s">
        <v>15</v>
      </c>
      <c r="J315" s="135" t="s">
        <v>1450</v>
      </c>
      <c r="K315" s="186">
        <v>2340</v>
      </c>
      <c r="L315" s="187" t="s">
        <v>173</v>
      </c>
      <c r="M315" s="187" t="s">
        <v>175</v>
      </c>
    </row>
    <row r="316" spans="1:13" s="188" customFormat="1">
      <c r="A316" s="185" t="s">
        <v>1447</v>
      </c>
      <c r="B316" s="133" t="s">
        <v>3371</v>
      </c>
      <c r="C316" s="185" t="s">
        <v>3023</v>
      </c>
      <c r="D316" s="133" t="s">
        <v>1929</v>
      </c>
      <c r="E316" s="134">
        <v>1</v>
      </c>
      <c r="F316" s="135" t="s">
        <v>1449</v>
      </c>
      <c r="G316" s="185" t="s">
        <v>15</v>
      </c>
      <c r="H316" s="185" t="s">
        <v>15</v>
      </c>
      <c r="I316" s="185" t="s">
        <v>15</v>
      </c>
      <c r="J316" s="135" t="s">
        <v>1450</v>
      </c>
      <c r="K316" s="186">
        <v>1776</v>
      </c>
      <c r="L316" s="187" t="s">
        <v>173</v>
      </c>
      <c r="M316" s="187" t="s">
        <v>175</v>
      </c>
    </row>
    <row r="317" spans="1:13" s="188" customFormat="1">
      <c r="A317" s="185" t="s">
        <v>1447</v>
      </c>
      <c r="B317" s="133" t="s">
        <v>3372</v>
      </c>
      <c r="C317" s="185" t="s">
        <v>3023</v>
      </c>
      <c r="D317" s="133" t="s">
        <v>1929</v>
      </c>
      <c r="E317" s="134">
        <v>1</v>
      </c>
      <c r="F317" s="135" t="s">
        <v>1449</v>
      </c>
      <c r="G317" s="185" t="s">
        <v>15</v>
      </c>
      <c r="H317" s="185" t="s">
        <v>15</v>
      </c>
      <c r="I317" s="185" t="s">
        <v>15</v>
      </c>
      <c r="J317" s="135" t="s">
        <v>1450</v>
      </c>
      <c r="K317" s="186">
        <v>1152</v>
      </c>
      <c r="L317" s="187" t="s">
        <v>173</v>
      </c>
      <c r="M317" s="187" t="s">
        <v>175</v>
      </c>
    </row>
    <row r="318" spans="1:13" s="188" customFormat="1">
      <c r="A318" s="185" t="s">
        <v>1447</v>
      </c>
      <c r="B318" s="133" t="s">
        <v>3373</v>
      </c>
      <c r="C318" s="185" t="s">
        <v>3023</v>
      </c>
      <c r="D318" s="133" t="s">
        <v>1929</v>
      </c>
      <c r="E318" s="134">
        <v>1</v>
      </c>
      <c r="F318" s="135" t="s">
        <v>1449</v>
      </c>
      <c r="G318" s="185" t="s">
        <v>15</v>
      </c>
      <c r="H318" s="185" t="s">
        <v>15</v>
      </c>
      <c r="I318" s="185" t="s">
        <v>15</v>
      </c>
      <c r="J318" s="135" t="s">
        <v>1450</v>
      </c>
      <c r="K318" s="186">
        <v>708</v>
      </c>
      <c r="L318" s="187" t="s">
        <v>173</v>
      </c>
      <c r="M318" s="187" t="s">
        <v>175</v>
      </c>
    </row>
    <row r="319" spans="1:13" s="188" customFormat="1">
      <c r="A319" s="185" t="s">
        <v>1447</v>
      </c>
      <c r="B319" s="133" t="s">
        <v>3374</v>
      </c>
      <c r="C319" s="185" t="s">
        <v>3023</v>
      </c>
      <c r="D319" s="133" t="s">
        <v>1924</v>
      </c>
      <c r="E319" s="134">
        <v>1</v>
      </c>
      <c r="F319" s="135" t="s">
        <v>1449</v>
      </c>
      <c r="G319" s="185" t="s">
        <v>15</v>
      </c>
      <c r="H319" s="185" t="s">
        <v>15</v>
      </c>
      <c r="I319" s="185" t="s">
        <v>15</v>
      </c>
      <c r="J319" s="135" t="s">
        <v>1450</v>
      </c>
      <c r="K319" s="186">
        <v>11328</v>
      </c>
      <c r="L319" s="187" t="s">
        <v>173</v>
      </c>
      <c r="M319" s="187" t="s">
        <v>175</v>
      </c>
    </row>
    <row r="320" spans="1:13" s="188" customFormat="1">
      <c r="A320" s="185" t="s">
        <v>1447</v>
      </c>
      <c r="B320" s="133" t="s">
        <v>3375</v>
      </c>
      <c r="C320" s="185" t="s">
        <v>3023</v>
      </c>
      <c r="D320" s="133" t="s">
        <v>1924</v>
      </c>
      <c r="E320" s="134">
        <v>1</v>
      </c>
      <c r="F320" s="135" t="s">
        <v>1449</v>
      </c>
      <c r="G320" s="185" t="s">
        <v>15</v>
      </c>
      <c r="H320" s="185" t="s">
        <v>15</v>
      </c>
      <c r="I320" s="185" t="s">
        <v>15</v>
      </c>
      <c r="J320" s="135" t="s">
        <v>1450</v>
      </c>
      <c r="K320" s="186">
        <v>7716</v>
      </c>
      <c r="L320" s="187" t="s">
        <v>173</v>
      </c>
      <c r="M320" s="187" t="s">
        <v>175</v>
      </c>
    </row>
    <row r="321" spans="1:13" s="188" customFormat="1">
      <c r="A321" s="185" t="s">
        <v>1447</v>
      </c>
      <c r="B321" s="133" t="s">
        <v>3376</v>
      </c>
      <c r="C321" s="185" t="s">
        <v>3023</v>
      </c>
      <c r="D321" s="133" t="s">
        <v>1924</v>
      </c>
      <c r="E321" s="134">
        <v>1</v>
      </c>
      <c r="F321" s="135" t="s">
        <v>1449</v>
      </c>
      <c r="G321" s="185" t="s">
        <v>15</v>
      </c>
      <c r="H321" s="185" t="s">
        <v>15</v>
      </c>
      <c r="I321" s="185" t="s">
        <v>15</v>
      </c>
      <c r="J321" s="135" t="s">
        <v>1450</v>
      </c>
      <c r="K321" s="186">
        <v>5232</v>
      </c>
      <c r="L321" s="187" t="s">
        <v>173</v>
      </c>
      <c r="M321" s="187" t="s">
        <v>175</v>
      </c>
    </row>
    <row r="322" spans="1:13" s="188" customFormat="1">
      <c r="A322" s="185" t="s">
        <v>1447</v>
      </c>
      <c r="B322" s="133" t="s">
        <v>3377</v>
      </c>
      <c r="C322" s="185" t="s">
        <v>3023</v>
      </c>
      <c r="D322" s="133" t="s">
        <v>1924</v>
      </c>
      <c r="E322" s="134">
        <v>1</v>
      </c>
      <c r="F322" s="135" t="s">
        <v>1449</v>
      </c>
      <c r="G322" s="185" t="s">
        <v>15</v>
      </c>
      <c r="H322" s="185" t="s">
        <v>15</v>
      </c>
      <c r="I322" s="185" t="s">
        <v>15</v>
      </c>
      <c r="J322" s="135" t="s">
        <v>1450</v>
      </c>
      <c r="K322" s="186">
        <v>3612</v>
      </c>
      <c r="L322" s="187" t="s">
        <v>173</v>
      </c>
      <c r="M322" s="187" t="s">
        <v>175</v>
      </c>
    </row>
    <row r="323" spans="1:13" s="188" customFormat="1">
      <c r="A323" s="185" t="s">
        <v>1447</v>
      </c>
      <c r="B323" s="133" t="s">
        <v>3378</v>
      </c>
      <c r="C323" s="185" t="s">
        <v>3023</v>
      </c>
      <c r="D323" s="133" t="s">
        <v>1924</v>
      </c>
      <c r="E323" s="134">
        <v>1</v>
      </c>
      <c r="F323" s="135" t="s">
        <v>1449</v>
      </c>
      <c r="G323" s="185" t="s">
        <v>15</v>
      </c>
      <c r="H323" s="185" t="s">
        <v>15</v>
      </c>
      <c r="I323" s="185" t="s">
        <v>15</v>
      </c>
      <c r="J323" s="135" t="s">
        <v>1450</v>
      </c>
      <c r="K323" s="186">
        <v>1800</v>
      </c>
      <c r="L323" s="187" t="s">
        <v>173</v>
      </c>
      <c r="M323" s="187" t="s">
        <v>175</v>
      </c>
    </row>
    <row r="324" spans="1:13" s="188" customFormat="1">
      <c r="A324" s="185" t="s">
        <v>1447</v>
      </c>
      <c r="B324" s="133" t="s">
        <v>3379</v>
      </c>
      <c r="C324" s="185" t="s">
        <v>3023</v>
      </c>
      <c r="D324" s="133" t="s">
        <v>3380</v>
      </c>
      <c r="E324" s="134">
        <v>1</v>
      </c>
      <c r="F324" s="135" t="s">
        <v>1449</v>
      </c>
      <c r="G324" s="185" t="s">
        <v>15</v>
      </c>
      <c r="H324" s="185" t="s">
        <v>15</v>
      </c>
      <c r="I324" s="185" t="s">
        <v>15</v>
      </c>
      <c r="J324" s="135" t="s">
        <v>1450</v>
      </c>
      <c r="K324" s="186">
        <v>3336</v>
      </c>
      <c r="L324" s="187" t="s">
        <v>173</v>
      </c>
      <c r="M324" s="187" t="s">
        <v>175</v>
      </c>
    </row>
    <row r="325" spans="1:13" s="188" customFormat="1">
      <c r="A325" s="185" t="s">
        <v>1447</v>
      </c>
      <c r="B325" s="133" t="s">
        <v>3381</v>
      </c>
      <c r="C325" s="185" t="s">
        <v>3023</v>
      </c>
      <c r="D325" s="133" t="s">
        <v>3380</v>
      </c>
      <c r="E325" s="134">
        <v>1</v>
      </c>
      <c r="F325" s="135" t="s">
        <v>1449</v>
      </c>
      <c r="G325" s="185" t="s">
        <v>15</v>
      </c>
      <c r="H325" s="185" t="s">
        <v>15</v>
      </c>
      <c r="I325" s="185" t="s">
        <v>15</v>
      </c>
      <c r="J325" s="135" t="s">
        <v>1450</v>
      </c>
      <c r="K325" s="186">
        <v>2616</v>
      </c>
      <c r="L325" s="187" t="s">
        <v>173</v>
      </c>
      <c r="M325" s="187" t="s">
        <v>175</v>
      </c>
    </row>
    <row r="326" spans="1:13" s="188" customFormat="1">
      <c r="A326" s="185" t="s">
        <v>1447</v>
      </c>
      <c r="B326" s="133" t="s">
        <v>3382</v>
      </c>
      <c r="C326" s="185" t="s">
        <v>3023</v>
      </c>
      <c r="D326" s="133" t="s">
        <v>3380</v>
      </c>
      <c r="E326" s="134">
        <v>1</v>
      </c>
      <c r="F326" s="135" t="s">
        <v>1449</v>
      </c>
      <c r="G326" s="185" t="s">
        <v>15</v>
      </c>
      <c r="H326" s="185" t="s">
        <v>15</v>
      </c>
      <c r="I326" s="185" t="s">
        <v>15</v>
      </c>
      <c r="J326" s="135" t="s">
        <v>1450</v>
      </c>
      <c r="K326" s="186">
        <v>2280</v>
      </c>
      <c r="L326" s="187" t="s">
        <v>173</v>
      </c>
      <c r="M326" s="187" t="s">
        <v>175</v>
      </c>
    </row>
    <row r="327" spans="1:13" s="188" customFormat="1">
      <c r="A327" s="185" t="s">
        <v>1447</v>
      </c>
      <c r="B327" s="133" t="s">
        <v>3383</v>
      </c>
      <c r="C327" s="185" t="s">
        <v>3023</v>
      </c>
      <c r="D327" s="133" t="s">
        <v>3384</v>
      </c>
      <c r="E327" s="134">
        <v>1</v>
      </c>
      <c r="F327" s="135" t="s">
        <v>1449</v>
      </c>
      <c r="G327" s="185" t="s">
        <v>15</v>
      </c>
      <c r="H327" s="185" t="s">
        <v>15</v>
      </c>
      <c r="I327" s="185" t="s">
        <v>15</v>
      </c>
      <c r="J327" s="135" t="s">
        <v>1450</v>
      </c>
      <c r="K327" s="186">
        <v>6120</v>
      </c>
      <c r="L327" s="187" t="s">
        <v>173</v>
      </c>
      <c r="M327" s="187" t="s">
        <v>175</v>
      </c>
    </row>
    <row r="328" spans="1:13" s="188" customFormat="1">
      <c r="A328" s="185" t="s">
        <v>1447</v>
      </c>
      <c r="B328" s="133" t="s">
        <v>3385</v>
      </c>
      <c r="C328" s="185" t="s">
        <v>3023</v>
      </c>
      <c r="D328" s="133" t="s">
        <v>3384</v>
      </c>
      <c r="E328" s="134">
        <v>1</v>
      </c>
      <c r="F328" s="135" t="s">
        <v>1449</v>
      </c>
      <c r="G328" s="185" t="s">
        <v>15</v>
      </c>
      <c r="H328" s="185" t="s">
        <v>15</v>
      </c>
      <c r="I328" s="185" t="s">
        <v>15</v>
      </c>
      <c r="J328" s="135" t="s">
        <v>1450</v>
      </c>
      <c r="K328" s="186">
        <v>4812</v>
      </c>
      <c r="L328" s="187" t="s">
        <v>173</v>
      </c>
      <c r="M328" s="187" t="s">
        <v>175</v>
      </c>
    </row>
    <row r="329" spans="1:13" s="188" customFormat="1">
      <c r="A329" s="185" t="s">
        <v>1447</v>
      </c>
      <c r="B329" s="133" t="s">
        <v>3386</v>
      </c>
      <c r="C329" s="185" t="s">
        <v>3023</v>
      </c>
      <c r="D329" s="133" t="s">
        <v>3384</v>
      </c>
      <c r="E329" s="134">
        <v>1</v>
      </c>
      <c r="F329" s="135" t="s">
        <v>1449</v>
      </c>
      <c r="G329" s="185" t="s">
        <v>15</v>
      </c>
      <c r="H329" s="185" t="s">
        <v>15</v>
      </c>
      <c r="I329" s="185" t="s">
        <v>15</v>
      </c>
      <c r="J329" s="135" t="s">
        <v>1450</v>
      </c>
      <c r="K329" s="186">
        <v>3564</v>
      </c>
      <c r="L329" s="187" t="s">
        <v>173</v>
      </c>
      <c r="M329" s="187" t="s">
        <v>175</v>
      </c>
    </row>
    <row r="330" spans="1:13" s="188" customFormat="1">
      <c r="A330" s="185" t="s">
        <v>1447</v>
      </c>
      <c r="B330" s="133" t="s">
        <v>3387</v>
      </c>
      <c r="C330" s="185" t="s">
        <v>3023</v>
      </c>
      <c r="D330" s="133" t="s">
        <v>3384</v>
      </c>
      <c r="E330" s="134">
        <v>1</v>
      </c>
      <c r="F330" s="135" t="s">
        <v>1449</v>
      </c>
      <c r="G330" s="185" t="s">
        <v>15</v>
      </c>
      <c r="H330" s="185" t="s">
        <v>15</v>
      </c>
      <c r="I330" s="185" t="s">
        <v>15</v>
      </c>
      <c r="J330" s="135" t="s">
        <v>1450</v>
      </c>
      <c r="K330" s="186">
        <v>2436</v>
      </c>
      <c r="L330" s="187" t="s">
        <v>173</v>
      </c>
      <c r="M330" s="187" t="s">
        <v>175</v>
      </c>
    </row>
    <row r="331" spans="1:13" s="188" customFormat="1">
      <c r="A331" s="185" t="s">
        <v>1447</v>
      </c>
      <c r="B331" s="133" t="s">
        <v>3388</v>
      </c>
      <c r="C331" s="185" t="s">
        <v>3023</v>
      </c>
      <c r="D331" s="133" t="s">
        <v>1952</v>
      </c>
      <c r="E331" s="134">
        <v>1</v>
      </c>
      <c r="F331" s="135" t="s">
        <v>1449</v>
      </c>
      <c r="G331" s="185" t="s">
        <v>15</v>
      </c>
      <c r="H331" s="185" t="s">
        <v>15</v>
      </c>
      <c r="I331" s="185" t="s">
        <v>15</v>
      </c>
      <c r="J331" s="135" t="s">
        <v>1450</v>
      </c>
      <c r="K331" s="186">
        <v>32364</v>
      </c>
      <c r="L331" s="187" t="s">
        <v>173</v>
      </c>
      <c r="M331" s="187" t="s">
        <v>175</v>
      </c>
    </row>
    <row r="332" spans="1:13" s="188" customFormat="1">
      <c r="A332" s="185" t="s">
        <v>1447</v>
      </c>
      <c r="B332" s="133" t="s">
        <v>3389</v>
      </c>
      <c r="C332" s="185" t="s">
        <v>3023</v>
      </c>
      <c r="D332" s="133" t="s">
        <v>1952</v>
      </c>
      <c r="E332" s="134">
        <v>1</v>
      </c>
      <c r="F332" s="135" t="s">
        <v>1449</v>
      </c>
      <c r="G332" s="185" t="s">
        <v>15</v>
      </c>
      <c r="H332" s="185" t="s">
        <v>15</v>
      </c>
      <c r="I332" s="185" t="s">
        <v>15</v>
      </c>
      <c r="J332" s="135" t="s">
        <v>1450</v>
      </c>
      <c r="K332" s="186">
        <v>26172</v>
      </c>
      <c r="L332" s="187" t="s">
        <v>173</v>
      </c>
      <c r="M332" s="187" t="s">
        <v>175</v>
      </c>
    </row>
    <row r="333" spans="1:13" s="188" customFormat="1">
      <c r="A333" s="185" t="s">
        <v>1447</v>
      </c>
      <c r="B333" s="133" t="s">
        <v>3390</v>
      </c>
      <c r="C333" s="185" t="s">
        <v>3023</v>
      </c>
      <c r="D333" s="133" t="s">
        <v>1952</v>
      </c>
      <c r="E333" s="134">
        <v>1</v>
      </c>
      <c r="F333" s="135" t="s">
        <v>1449</v>
      </c>
      <c r="G333" s="185" t="s">
        <v>15</v>
      </c>
      <c r="H333" s="185" t="s">
        <v>15</v>
      </c>
      <c r="I333" s="185" t="s">
        <v>15</v>
      </c>
      <c r="J333" s="135" t="s">
        <v>1450</v>
      </c>
      <c r="K333" s="186">
        <v>14916</v>
      </c>
      <c r="L333" s="187" t="s">
        <v>173</v>
      </c>
      <c r="M333" s="187" t="s">
        <v>175</v>
      </c>
    </row>
    <row r="334" spans="1:13" s="188" customFormat="1">
      <c r="A334" s="185" t="s">
        <v>1447</v>
      </c>
      <c r="B334" s="133" t="s">
        <v>3391</v>
      </c>
      <c r="C334" s="185" t="s">
        <v>3023</v>
      </c>
      <c r="D334" s="133" t="s">
        <v>1952</v>
      </c>
      <c r="E334" s="134">
        <v>1</v>
      </c>
      <c r="F334" s="135" t="s">
        <v>1449</v>
      </c>
      <c r="G334" s="185" t="s">
        <v>15</v>
      </c>
      <c r="H334" s="185" t="s">
        <v>15</v>
      </c>
      <c r="I334" s="185" t="s">
        <v>15</v>
      </c>
      <c r="J334" s="135" t="s">
        <v>1450</v>
      </c>
      <c r="K334" s="186">
        <v>6576</v>
      </c>
      <c r="L334" s="187" t="s">
        <v>173</v>
      </c>
      <c r="M334" s="187" t="s">
        <v>175</v>
      </c>
    </row>
    <row r="335" spans="1:13" s="188" customFormat="1">
      <c r="A335" s="185" t="s">
        <v>1447</v>
      </c>
      <c r="B335" s="133" t="s">
        <v>3392</v>
      </c>
      <c r="C335" s="185" t="s">
        <v>3023</v>
      </c>
      <c r="D335" s="133" t="s">
        <v>1952</v>
      </c>
      <c r="E335" s="134">
        <v>1</v>
      </c>
      <c r="F335" s="135" t="s">
        <v>1449</v>
      </c>
      <c r="G335" s="185" t="s">
        <v>15</v>
      </c>
      <c r="H335" s="185" t="s">
        <v>15</v>
      </c>
      <c r="I335" s="185" t="s">
        <v>15</v>
      </c>
      <c r="J335" s="135" t="s">
        <v>1450</v>
      </c>
      <c r="K335" s="186">
        <v>3708</v>
      </c>
      <c r="L335" s="187" t="s">
        <v>173</v>
      </c>
      <c r="M335" s="187" t="s">
        <v>175</v>
      </c>
    </row>
    <row r="336" spans="1:13" s="188" customFormat="1">
      <c r="A336" s="185" t="s">
        <v>1447</v>
      </c>
      <c r="B336" s="133" t="s">
        <v>3393</v>
      </c>
      <c r="C336" s="185" t="s">
        <v>3023</v>
      </c>
      <c r="D336" s="133" t="s">
        <v>1918</v>
      </c>
      <c r="E336" s="134">
        <v>1</v>
      </c>
      <c r="F336" s="135" t="s">
        <v>1449</v>
      </c>
      <c r="G336" s="185" t="s">
        <v>15</v>
      </c>
      <c r="H336" s="185" t="s">
        <v>15</v>
      </c>
      <c r="I336" s="185" t="s">
        <v>15</v>
      </c>
      <c r="J336" s="135" t="s">
        <v>1450</v>
      </c>
      <c r="K336" s="186">
        <v>32976</v>
      </c>
      <c r="L336" s="187" t="s">
        <v>173</v>
      </c>
      <c r="M336" s="187" t="s">
        <v>175</v>
      </c>
    </row>
    <row r="337" spans="1:13" s="188" customFormat="1">
      <c r="A337" s="185" t="s">
        <v>1447</v>
      </c>
      <c r="B337" s="133" t="s">
        <v>3394</v>
      </c>
      <c r="C337" s="185" t="s">
        <v>3023</v>
      </c>
      <c r="D337" s="133" t="s">
        <v>1918</v>
      </c>
      <c r="E337" s="134">
        <v>1</v>
      </c>
      <c r="F337" s="135" t="s">
        <v>1449</v>
      </c>
      <c r="G337" s="185" t="s">
        <v>15</v>
      </c>
      <c r="H337" s="185" t="s">
        <v>15</v>
      </c>
      <c r="I337" s="185" t="s">
        <v>15</v>
      </c>
      <c r="J337" s="135" t="s">
        <v>1450</v>
      </c>
      <c r="K337" s="186">
        <v>15336</v>
      </c>
      <c r="L337" s="187" t="s">
        <v>173</v>
      </c>
      <c r="M337" s="187" t="s">
        <v>175</v>
      </c>
    </row>
    <row r="338" spans="1:13" s="188" customFormat="1">
      <c r="A338" s="185" t="s">
        <v>1447</v>
      </c>
      <c r="B338" s="133" t="s">
        <v>3395</v>
      </c>
      <c r="C338" s="185" t="s">
        <v>3023</v>
      </c>
      <c r="D338" s="133" t="s">
        <v>1918</v>
      </c>
      <c r="E338" s="134">
        <v>1</v>
      </c>
      <c r="F338" s="135" t="s">
        <v>1449</v>
      </c>
      <c r="G338" s="185" t="s">
        <v>15</v>
      </c>
      <c r="H338" s="185" t="s">
        <v>15</v>
      </c>
      <c r="I338" s="185" t="s">
        <v>15</v>
      </c>
      <c r="J338" s="135" t="s">
        <v>1450</v>
      </c>
      <c r="K338" s="186">
        <v>7056</v>
      </c>
      <c r="L338" s="187" t="s">
        <v>173</v>
      </c>
      <c r="M338" s="187" t="s">
        <v>175</v>
      </c>
    </row>
    <row r="339" spans="1:13" s="188" customFormat="1">
      <c r="A339" s="185" t="s">
        <v>1447</v>
      </c>
      <c r="B339" s="133" t="s">
        <v>3396</v>
      </c>
      <c r="C339" s="185" t="s">
        <v>3023</v>
      </c>
      <c r="D339" s="133" t="s">
        <v>1918</v>
      </c>
      <c r="E339" s="134">
        <v>1</v>
      </c>
      <c r="F339" s="135" t="s">
        <v>1449</v>
      </c>
      <c r="G339" s="185" t="s">
        <v>15</v>
      </c>
      <c r="H339" s="185" t="s">
        <v>15</v>
      </c>
      <c r="I339" s="185" t="s">
        <v>15</v>
      </c>
      <c r="J339" s="135" t="s">
        <v>1450</v>
      </c>
      <c r="K339" s="186">
        <v>3576</v>
      </c>
      <c r="L339" s="187" t="s">
        <v>173</v>
      </c>
      <c r="M339" s="187" t="s">
        <v>175</v>
      </c>
    </row>
    <row r="340" spans="1:13" s="188" customFormat="1">
      <c r="A340" s="185" t="s">
        <v>1447</v>
      </c>
      <c r="B340" s="133" t="s">
        <v>3397</v>
      </c>
      <c r="C340" s="185" t="s">
        <v>3023</v>
      </c>
      <c r="D340" s="133" t="s">
        <v>1918</v>
      </c>
      <c r="E340" s="134">
        <v>1</v>
      </c>
      <c r="F340" s="135" t="s">
        <v>1449</v>
      </c>
      <c r="G340" s="185" t="s">
        <v>15</v>
      </c>
      <c r="H340" s="185" t="s">
        <v>15</v>
      </c>
      <c r="I340" s="185" t="s">
        <v>15</v>
      </c>
      <c r="J340" s="135" t="s">
        <v>1450</v>
      </c>
      <c r="K340" s="186">
        <v>2388</v>
      </c>
      <c r="L340" s="187" t="s">
        <v>173</v>
      </c>
      <c r="M340" s="187" t="s">
        <v>175</v>
      </c>
    </row>
    <row r="341" spans="1:13" s="188" customFormat="1">
      <c r="A341" s="185" t="s">
        <v>1447</v>
      </c>
      <c r="B341" s="133" t="s">
        <v>3398</v>
      </c>
      <c r="C341" s="185" t="s">
        <v>3023</v>
      </c>
      <c r="D341" s="133" t="s">
        <v>1918</v>
      </c>
      <c r="E341" s="134">
        <v>1</v>
      </c>
      <c r="F341" s="135" t="s">
        <v>1449</v>
      </c>
      <c r="G341" s="185" t="s">
        <v>15</v>
      </c>
      <c r="H341" s="185" t="s">
        <v>15</v>
      </c>
      <c r="I341" s="185" t="s">
        <v>15</v>
      </c>
      <c r="J341" s="135" t="s">
        <v>1450</v>
      </c>
      <c r="K341" s="186">
        <v>1452</v>
      </c>
      <c r="L341" s="187" t="s">
        <v>173</v>
      </c>
      <c r="M341" s="187" t="s">
        <v>175</v>
      </c>
    </row>
    <row r="342" spans="1:13" s="188" customFormat="1">
      <c r="A342" s="185" t="s">
        <v>1447</v>
      </c>
      <c r="B342" s="133" t="s">
        <v>3399</v>
      </c>
      <c r="C342" s="185" t="s">
        <v>3023</v>
      </c>
      <c r="D342" s="133" t="s">
        <v>1941</v>
      </c>
      <c r="E342" s="134">
        <v>1</v>
      </c>
      <c r="F342" s="135" t="s">
        <v>1449</v>
      </c>
      <c r="G342" s="185" t="s">
        <v>15</v>
      </c>
      <c r="H342" s="185" t="s">
        <v>15</v>
      </c>
      <c r="I342" s="185" t="s">
        <v>15</v>
      </c>
      <c r="J342" s="135" t="s">
        <v>1450</v>
      </c>
      <c r="K342" s="186">
        <v>3060</v>
      </c>
      <c r="L342" s="187" t="s">
        <v>173</v>
      </c>
      <c r="M342" s="187" t="s">
        <v>175</v>
      </c>
    </row>
    <row r="343" spans="1:13" s="188" customFormat="1">
      <c r="A343" s="185" t="s">
        <v>1447</v>
      </c>
      <c r="B343" s="133" t="s">
        <v>3400</v>
      </c>
      <c r="C343" s="185" t="s">
        <v>3023</v>
      </c>
      <c r="D343" s="133" t="s">
        <v>1941</v>
      </c>
      <c r="E343" s="134">
        <v>1</v>
      </c>
      <c r="F343" s="135" t="s">
        <v>1449</v>
      </c>
      <c r="G343" s="185" t="s">
        <v>15</v>
      </c>
      <c r="H343" s="185" t="s">
        <v>15</v>
      </c>
      <c r="I343" s="185" t="s">
        <v>15</v>
      </c>
      <c r="J343" s="135" t="s">
        <v>1450</v>
      </c>
      <c r="K343" s="186">
        <v>2400</v>
      </c>
      <c r="L343" s="187" t="s">
        <v>173</v>
      </c>
      <c r="M343" s="187" t="s">
        <v>175</v>
      </c>
    </row>
    <row r="344" spans="1:13" s="188" customFormat="1">
      <c r="A344" s="185" t="s">
        <v>1447</v>
      </c>
      <c r="B344" s="133" t="s">
        <v>3401</v>
      </c>
      <c r="C344" s="185" t="s">
        <v>3023</v>
      </c>
      <c r="D344" s="133" t="s">
        <v>1941</v>
      </c>
      <c r="E344" s="134">
        <v>1</v>
      </c>
      <c r="F344" s="135" t="s">
        <v>1449</v>
      </c>
      <c r="G344" s="185" t="s">
        <v>15</v>
      </c>
      <c r="H344" s="185" t="s">
        <v>15</v>
      </c>
      <c r="I344" s="185" t="s">
        <v>15</v>
      </c>
      <c r="J344" s="135" t="s">
        <v>1450</v>
      </c>
      <c r="K344" s="186">
        <v>1776</v>
      </c>
      <c r="L344" s="187" t="s">
        <v>173</v>
      </c>
      <c r="M344" s="187" t="s">
        <v>175</v>
      </c>
    </row>
    <row r="345" spans="1:13" s="188" customFormat="1">
      <c r="A345" s="185" t="s">
        <v>1447</v>
      </c>
      <c r="B345" s="133" t="s">
        <v>3402</v>
      </c>
      <c r="C345" s="185" t="s">
        <v>3023</v>
      </c>
      <c r="D345" s="133" t="s">
        <v>1941</v>
      </c>
      <c r="E345" s="134">
        <v>1</v>
      </c>
      <c r="F345" s="135" t="s">
        <v>1449</v>
      </c>
      <c r="G345" s="185" t="s">
        <v>15</v>
      </c>
      <c r="H345" s="185" t="s">
        <v>15</v>
      </c>
      <c r="I345" s="185" t="s">
        <v>15</v>
      </c>
      <c r="J345" s="135" t="s">
        <v>1450</v>
      </c>
      <c r="K345" s="186">
        <v>1224</v>
      </c>
      <c r="L345" s="187" t="s">
        <v>173</v>
      </c>
      <c r="M345" s="187" t="s">
        <v>175</v>
      </c>
    </row>
    <row r="346" spans="1:13" s="188" customFormat="1">
      <c r="A346" s="185" t="s">
        <v>1447</v>
      </c>
      <c r="B346" s="133" t="s">
        <v>3403</v>
      </c>
      <c r="C346" s="185" t="s">
        <v>3023</v>
      </c>
      <c r="D346" s="133" t="s">
        <v>1913</v>
      </c>
      <c r="E346" s="134">
        <v>1</v>
      </c>
      <c r="F346" s="135" t="s">
        <v>1449</v>
      </c>
      <c r="G346" s="185" t="s">
        <v>15</v>
      </c>
      <c r="H346" s="185" t="s">
        <v>15</v>
      </c>
      <c r="I346" s="185" t="s">
        <v>15</v>
      </c>
      <c r="J346" s="135" t="s">
        <v>1450</v>
      </c>
      <c r="K346" s="186">
        <v>36444</v>
      </c>
      <c r="L346" s="187" t="s">
        <v>173</v>
      </c>
      <c r="M346" s="187" t="s">
        <v>175</v>
      </c>
    </row>
    <row r="347" spans="1:13" s="188" customFormat="1">
      <c r="A347" s="185" t="s">
        <v>1447</v>
      </c>
      <c r="B347" s="133" t="s">
        <v>3404</v>
      </c>
      <c r="C347" s="185" t="s">
        <v>3023</v>
      </c>
      <c r="D347" s="133" t="s">
        <v>1913</v>
      </c>
      <c r="E347" s="134">
        <v>1</v>
      </c>
      <c r="F347" s="135" t="s">
        <v>1449</v>
      </c>
      <c r="G347" s="185" t="s">
        <v>15</v>
      </c>
      <c r="H347" s="185" t="s">
        <v>15</v>
      </c>
      <c r="I347" s="185" t="s">
        <v>15</v>
      </c>
      <c r="J347" s="135" t="s">
        <v>1450</v>
      </c>
      <c r="K347" s="186">
        <v>27024</v>
      </c>
      <c r="L347" s="187" t="s">
        <v>173</v>
      </c>
      <c r="M347" s="187" t="s">
        <v>175</v>
      </c>
    </row>
    <row r="348" spans="1:13" s="188" customFormat="1">
      <c r="A348" s="185" t="s">
        <v>1447</v>
      </c>
      <c r="B348" s="133" t="s">
        <v>3405</v>
      </c>
      <c r="C348" s="185" t="s">
        <v>3023</v>
      </c>
      <c r="D348" s="133" t="s">
        <v>1913</v>
      </c>
      <c r="E348" s="134">
        <v>1</v>
      </c>
      <c r="F348" s="135" t="s">
        <v>1449</v>
      </c>
      <c r="G348" s="185" t="s">
        <v>15</v>
      </c>
      <c r="H348" s="185" t="s">
        <v>15</v>
      </c>
      <c r="I348" s="185" t="s">
        <v>15</v>
      </c>
      <c r="J348" s="135" t="s">
        <v>1450</v>
      </c>
      <c r="K348" s="186">
        <v>23364</v>
      </c>
      <c r="L348" s="187" t="s">
        <v>173</v>
      </c>
      <c r="M348" s="187" t="s">
        <v>175</v>
      </c>
    </row>
    <row r="349" spans="1:13" s="188" customFormat="1">
      <c r="A349" s="185" t="s">
        <v>1447</v>
      </c>
      <c r="B349" s="133" t="s">
        <v>3406</v>
      </c>
      <c r="C349" s="185" t="s">
        <v>3023</v>
      </c>
      <c r="D349" s="133" t="s">
        <v>1913</v>
      </c>
      <c r="E349" s="134">
        <v>1</v>
      </c>
      <c r="F349" s="135" t="s">
        <v>1449</v>
      </c>
      <c r="G349" s="185" t="s">
        <v>15</v>
      </c>
      <c r="H349" s="185" t="s">
        <v>15</v>
      </c>
      <c r="I349" s="185" t="s">
        <v>15</v>
      </c>
      <c r="J349" s="135" t="s">
        <v>1450</v>
      </c>
      <c r="K349" s="186">
        <v>20448</v>
      </c>
      <c r="L349" s="187" t="s">
        <v>173</v>
      </c>
      <c r="M349" s="187" t="s">
        <v>175</v>
      </c>
    </row>
    <row r="350" spans="1:13" s="188" customFormat="1">
      <c r="A350" s="185" t="s">
        <v>1447</v>
      </c>
      <c r="B350" s="133" t="s">
        <v>3407</v>
      </c>
      <c r="C350" s="185" t="s">
        <v>3023</v>
      </c>
      <c r="D350" s="133" t="s">
        <v>1913</v>
      </c>
      <c r="E350" s="134">
        <v>1</v>
      </c>
      <c r="F350" s="135" t="s">
        <v>1449</v>
      </c>
      <c r="G350" s="185" t="s">
        <v>15</v>
      </c>
      <c r="H350" s="185" t="s">
        <v>15</v>
      </c>
      <c r="I350" s="185" t="s">
        <v>15</v>
      </c>
      <c r="J350" s="135" t="s">
        <v>1450</v>
      </c>
      <c r="K350" s="186">
        <v>17364</v>
      </c>
      <c r="L350" s="187" t="s">
        <v>173</v>
      </c>
      <c r="M350" s="187" t="s">
        <v>175</v>
      </c>
    </row>
    <row r="351" spans="1:13" s="188" customFormat="1">
      <c r="A351" s="185" t="s">
        <v>1447</v>
      </c>
      <c r="B351" s="133" t="s">
        <v>3408</v>
      </c>
      <c r="C351" s="185" t="s">
        <v>3023</v>
      </c>
      <c r="D351" s="133" t="s">
        <v>1913</v>
      </c>
      <c r="E351" s="134">
        <v>1</v>
      </c>
      <c r="F351" s="135" t="s">
        <v>1449</v>
      </c>
      <c r="G351" s="185" t="s">
        <v>15</v>
      </c>
      <c r="H351" s="185" t="s">
        <v>15</v>
      </c>
      <c r="I351" s="185" t="s">
        <v>15</v>
      </c>
      <c r="J351" s="135" t="s">
        <v>1450</v>
      </c>
      <c r="K351" s="186">
        <v>16020</v>
      </c>
      <c r="L351" s="187" t="s">
        <v>173</v>
      </c>
      <c r="M351" s="187" t="s">
        <v>175</v>
      </c>
    </row>
    <row r="352" spans="1:13" s="188" customFormat="1">
      <c r="A352" s="185" t="s">
        <v>1447</v>
      </c>
      <c r="B352" s="133" t="s">
        <v>3409</v>
      </c>
      <c r="C352" s="185" t="s">
        <v>3023</v>
      </c>
      <c r="D352" s="133" t="s">
        <v>1939</v>
      </c>
      <c r="E352" s="134">
        <v>1</v>
      </c>
      <c r="F352" s="135" t="s">
        <v>1449</v>
      </c>
      <c r="G352" s="185" t="s">
        <v>15</v>
      </c>
      <c r="H352" s="185" t="s">
        <v>15</v>
      </c>
      <c r="I352" s="185" t="s">
        <v>15</v>
      </c>
      <c r="J352" s="135" t="s">
        <v>1450</v>
      </c>
      <c r="K352" s="186">
        <v>3060</v>
      </c>
      <c r="L352" s="187" t="s">
        <v>173</v>
      </c>
      <c r="M352" s="187" t="s">
        <v>175</v>
      </c>
    </row>
    <row r="353" spans="1:13" s="188" customFormat="1">
      <c r="A353" s="185" t="s">
        <v>1447</v>
      </c>
      <c r="B353" s="133" t="s">
        <v>3410</v>
      </c>
      <c r="C353" s="185" t="s">
        <v>3023</v>
      </c>
      <c r="D353" s="133" t="s">
        <v>1939</v>
      </c>
      <c r="E353" s="134">
        <v>1</v>
      </c>
      <c r="F353" s="135" t="s">
        <v>1449</v>
      </c>
      <c r="G353" s="185" t="s">
        <v>15</v>
      </c>
      <c r="H353" s="185" t="s">
        <v>15</v>
      </c>
      <c r="I353" s="185" t="s">
        <v>15</v>
      </c>
      <c r="J353" s="135" t="s">
        <v>1450</v>
      </c>
      <c r="K353" s="186">
        <v>2400</v>
      </c>
      <c r="L353" s="187" t="s">
        <v>173</v>
      </c>
      <c r="M353" s="187" t="s">
        <v>175</v>
      </c>
    </row>
    <row r="354" spans="1:13" s="188" customFormat="1">
      <c r="A354" s="185" t="s">
        <v>1447</v>
      </c>
      <c r="B354" s="133" t="s">
        <v>3411</v>
      </c>
      <c r="C354" s="185" t="s">
        <v>3023</v>
      </c>
      <c r="D354" s="133" t="s">
        <v>1939</v>
      </c>
      <c r="E354" s="134">
        <v>1</v>
      </c>
      <c r="F354" s="135" t="s">
        <v>1449</v>
      </c>
      <c r="G354" s="185" t="s">
        <v>15</v>
      </c>
      <c r="H354" s="185" t="s">
        <v>15</v>
      </c>
      <c r="I354" s="185" t="s">
        <v>15</v>
      </c>
      <c r="J354" s="135" t="s">
        <v>1450</v>
      </c>
      <c r="K354" s="186">
        <v>1776</v>
      </c>
      <c r="L354" s="187" t="s">
        <v>173</v>
      </c>
      <c r="M354" s="187" t="s">
        <v>175</v>
      </c>
    </row>
    <row r="355" spans="1:13" s="188" customFormat="1">
      <c r="A355" s="185" t="s">
        <v>1447</v>
      </c>
      <c r="B355" s="133" t="s">
        <v>3412</v>
      </c>
      <c r="C355" s="185" t="s">
        <v>3023</v>
      </c>
      <c r="D355" s="133" t="s">
        <v>1939</v>
      </c>
      <c r="E355" s="134">
        <v>1</v>
      </c>
      <c r="F355" s="135" t="s">
        <v>1449</v>
      </c>
      <c r="G355" s="185" t="s">
        <v>15</v>
      </c>
      <c r="H355" s="185" t="s">
        <v>15</v>
      </c>
      <c r="I355" s="185" t="s">
        <v>15</v>
      </c>
      <c r="J355" s="135" t="s">
        <v>1450</v>
      </c>
      <c r="K355" s="186">
        <v>1224</v>
      </c>
      <c r="L355" s="187" t="s">
        <v>173</v>
      </c>
      <c r="M355" s="187" t="s">
        <v>175</v>
      </c>
    </row>
    <row r="356" spans="1:13" s="188" customFormat="1">
      <c r="A356" s="185" t="s">
        <v>1447</v>
      </c>
      <c r="B356" s="133" t="s">
        <v>3413</v>
      </c>
      <c r="C356" s="185" t="s">
        <v>3023</v>
      </c>
      <c r="D356" s="133" t="s">
        <v>1912</v>
      </c>
      <c r="E356" s="134">
        <v>1</v>
      </c>
      <c r="F356" s="135" t="s">
        <v>1449</v>
      </c>
      <c r="G356" s="185" t="s">
        <v>15</v>
      </c>
      <c r="H356" s="185" t="s">
        <v>15</v>
      </c>
      <c r="I356" s="185" t="s">
        <v>15</v>
      </c>
      <c r="J356" s="135" t="s">
        <v>1450</v>
      </c>
      <c r="K356" s="186">
        <v>23988</v>
      </c>
      <c r="L356" s="187" t="s">
        <v>173</v>
      </c>
      <c r="M356" s="187" t="s">
        <v>175</v>
      </c>
    </row>
    <row r="357" spans="1:13" s="188" customFormat="1">
      <c r="A357" s="185" t="s">
        <v>1447</v>
      </c>
      <c r="B357" s="133" t="s">
        <v>3414</v>
      </c>
      <c r="C357" s="185" t="s">
        <v>3023</v>
      </c>
      <c r="D357" s="133" t="s">
        <v>1912</v>
      </c>
      <c r="E357" s="134">
        <v>1</v>
      </c>
      <c r="F357" s="135" t="s">
        <v>1449</v>
      </c>
      <c r="G357" s="185" t="s">
        <v>15</v>
      </c>
      <c r="H357" s="185" t="s">
        <v>15</v>
      </c>
      <c r="I357" s="185" t="s">
        <v>15</v>
      </c>
      <c r="J357" s="135" t="s">
        <v>1450</v>
      </c>
      <c r="K357" s="186">
        <v>12456</v>
      </c>
      <c r="L357" s="187" t="s">
        <v>173</v>
      </c>
      <c r="M357" s="187" t="s">
        <v>175</v>
      </c>
    </row>
    <row r="358" spans="1:13" s="188" customFormat="1">
      <c r="A358" s="185" t="s">
        <v>1447</v>
      </c>
      <c r="B358" s="133" t="s">
        <v>3415</v>
      </c>
      <c r="C358" s="185" t="s">
        <v>3023</v>
      </c>
      <c r="D358" s="133" t="s">
        <v>1912</v>
      </c>
      <c r="E358" s="134">
        <v>1</v>
      </c>
      <c r="F358" s="135" t="s">
        <v>1449</v>
      </c>
      <c r="G358" s="185" t="s">
        <v>15</v>
      </c>
      <c r="H358" s="185" t="s">
        <v>15</v>
      </c>
      <c r="I358" s="185" t="s">
        <v>15</v>
      </c>
      <c r="J358" s="135" t="s">
        <v>1450</v>
      </c>
      <c r="K358" s="186">
        <v>10368</v>
      </c>
      <c r="L358" s="187" t="s">
        <v>173</v>
      </c>
      <c r="M358" s="187" t="s">
        <v>175</v>
      </c>
    </row>
    <row r="359" spans="1:13" s="188" customFormat="1">
      <c r="A359" s="185" t="s">
        <v>1447</v>
      </c>
      <c r="B359" s="133" t="s">
        <v>3416</v>
      </c>
      <c r="C359" s="185" t="s">
        <v>3023</v>
      </c>
      <c r="D359" s="133" t="s">
        <v>1912</v>
      </c>
      <c r="E359" s="134">
        <v>1</v>
      </c>
      <c r="F359" s="135" t="s">
        <v>1449</v>
      </c>
      <c r="G359" s="185" t="s">
        <v>15</v>
      </c>
      <c r="H359" s="185" t="s">
        <v>15</v>
      </c>
      <c r="I359" s="185" t="s">
        <v>15</v>
      </c>
      <c r="J359" s="135" t="s">
        <v>1450</v>
      </c>
      <c r="K359" s="186">
        <v>8820</v>
      </c>
      <c r="L359" s="187" t="s">
        <v>173</v>
      </c>
      <c r="M359" s="187" t="s">
        <v>175</v>
      </c>
    </row>
    <row r="360" spans="1:13" s="188" customFormat="1">
      <c r="A360" s="185" t="s">
        <v>1447</v>
      </c>
      <c r="B360" s="133" t="s">
        <v>3417</v>
      </c>
      <c r="C360" s="185" t="s">
        <v>3023</v>
      </c>
      <c r="D360" s="133" t="s">
        <v>1912</v>
      </c>
      <c r="E360" s="134">
        <v>1</v>
      </c>
      <c r="F360" s="135" t="s">
        <v>1449</v>
      </c>
      <c r="G360" s="185" t="s">
        <v>15</v>
      </c>
      <c r="H360" s="185" t="s">
        <v>15</v>
      </c>
      <c r="I360" s="185" t="s">
        <v>15</v>
      </c>
      <c r="J360" s="135" t="s">
        <v>1450</v>
      </c>
      <c r="K360" s="186">
        <v>7260</v>
      </c>
      <c r="L360" s="187" t="s">
        <v>173</v>
      </c>
      <c r="M360" s="187" t="s">
        <v>175</v>
      </c>
    </row>
    <row r="361" spans="1:13" s="188" customFormat="1">
      <c r="A361" s="185" t="s">
        <v>1447</v>
      </c>
      <c r="B361" s="133" t="s">
        <v>3418</v>
      </c>
      <c r="C361" s="185" t="s">
        <v>3023</v>
      </c>
      <c r="D361" s="133" t="s">
        <v>1912</v>
      </c>
      <c r="E361" s="134">
        <v>1</v>
      </c>
      <c r="F361" s="135" t="s">
        <v>1449</v>
      </c>
      <c r="G361" s="185" t="s">
        <v>15</v>
      </c>
      <c r="H361" s="185" t="s">
        <v>15</v>
      </c>
      <c r="I361" s="185" t="s">
        <v>15</v>
      </c>
      <c r="J361" s="135" t="s">
        <v>1450</v>
      </c>
      <c r="K361" s="186">
        <v>6228</v>
      </c>
      <c r="L361" s="187" t="s">
        <v>173</v>
      </c>
      <c r="M361" s="187" t="s">
        <v>175</v>
      </c>
    </row>
    <row r="362" spans="1:13" s="188" customFormat="1">
      <c r="A362" s="185" t="s">
        <v>1447</v>
      </c>
      <c r="B362" s="133" t="s">
        <v>3419</v>
      </c>
      <c r="C362" s="185" t="s">
        <v>3023</v>
      </c>
      <c r="D362" s="133" t="s">
        <v>1937</v>
      </c>
      <c r="E362" s="134">
        <v>1</v>
      </c>
      <c r="F362" s="135" t="s">
        <v>1449</v>
      </c>
      <c r="G362" s="185" t="s">
        <v>15</v>
      </c>
      <c r="H362" s="185" t="s">
        <v>15</v>
      </c>
      <c r="I362" s="185" t="s">
        <v>15</v>
      </c>
      <c r="J362" s="135" t="s">
        <v>1450</v>
      </c>
      <c r="K362" s="186">
        <v>11328</v>
      </c>
      <c r="L362" s="187" t="s">
        <v>173</v>
      </c>
      <c r="M362" s="187" t="s">
        <v>175</v>
      </c>
    </row>
    <row r="363" spans="1:13" s="188" customFormat="1">
      <c r="A363" s="185" t="s">
        <v>1447</v>
      </c>
      <c r="B363" s="133" t="s">
        <v>3420</v>
      </c>
      <c r="C363" s="185" t="s">
        <v>3023</v>
      </c>
      <c r="D363" s="133" t="s">
        <v>1937</v>
      </c>
      <c r="E363" s="134">
        <v>1</v>
      </c>
      <c r="F363" s="135" t="s">
        <v>1449</v>
      </c>
      <c r="G363" s="185" t="s">
        <v>15</v>
      </c>
      <c r="H363" s="185" t="s">
        <v>15</v>
      </c>
      <c r="I363" s="185" t="s">
        <v>15</v>
      </c>
      <c r="J363" s="135" t="s">
        <v>1450</v>
      </c>
      <c r="K363" s="186">
        <v>7716</v>
      </c>
      <c r="L363" s="187" t="s">
        <v>173</v>
      </c>
      <c r="M363" s="187" t="s">
        <v>175</v>
      </c>
    </row>
    <row r="364" spans="1:13" s="188" customFormat="1">
      <c r="A364" s="185" t="s">
        <v>1447</v>
      </c>
      <c r="B364" s="133" t="s">
        <v>3421</v>
      </c>
      <c r="C364" s="185" t="s">
        <v>3023</v>
      </c>
      <c r="D364" s="133" t="s">
        <v>1937</v>
      </c>
      <c r="E364" s="134">
        <v>1</v>
      </c>
      <c r="F364" s="135" t="s">
        <v>1449</v>
      </c>
      <c r="G364" s="185" t="s">
        <v>15</v>
      </c>
      <c r="H364" s="185" t="s">
        <v>15</v>
      </c>
      <c r="I364" s="185" t="s">
        <v>15</v>
      </c>
      <c r="J364" s="135" t="s">
        <v>1450</v>
      </c>
      <c r="K364" s="186">
        <v>5232</v>
      </c>
      <c r="L364" s="187" t="s">
        <v>173</v>
      </c>
      <c r="M364" s="187" t="s">
        <v>175</v>
      </c>
    </row>
    <row r="365" spans="1:13" s="188" customFormat="1">
      <c r="A365" s="185" t="s">
        <v>1447</v>
      </c>
      <c r="B365" s="133" t="s">
        <v>3422</v>
      </c>
      <c r="C365" s="185" t="s">
        <v>3023</v>
      </c>
      <c r="D365" s="133" t="s">
        <v>1937</v>
      </c>
      <c r="E365" s="134">
        <v>1</v>
      </c>
      <c r="F365" s="135" t="s">
        <v>1449</v>
      </c>
      <c r="G365" s="185" t="s">
        <v>15</v>
      </c>
      <c r="H365" s="185" t="s">
        <v>15</v>
      </c>
      <c r="I365" s="185" t="s">
        <v>15</v>
      </c>
      <c r="J365" s="135" t="s">
        <v>1450</v>
      </c>
      <c r="K365" s="186">
        <v>3612</v>
      </c>
      <c r="L365" s="187" t="s">
        <v>173</v>
      </c>
      <c r="M365" s="187" t="s">
        <v>175</v>
      </c>
    </row>
    <row r="366" spans="1:13" s="188" customFormat="1">
      <c r="A366" s="185" t="s">
        <v>1447</v>
      </c>
      <c r="B366" s="133" t="s">
        <v>3423</v>
      </c>
      <c r="C366" s="185" t="s">
        <v>3023</v>
      </c>
      <c r="D366" s="133" t="s">
        <v>1937</v>
      </c>
      <c r="E366" s="134">
        <v>1</v>
      </c>
      <c r="F366" s="135" t="s">
        <v>1449</v>
      </c>
      <c r="G366" s="185" t="s">
        <v>15</v>
      </c>
      <c r="H366" s="185" t="s">
        <v>15</v>
      </c>
      <c r="I366" s="185" t="s">
        <v>15</v>
      </c>
      <c r="J366" s="135" t="s">
        <v>1450</v>
      </c>
      <c r="K366" s="186">
        <v>2496</v>
      </c>
      <c r="L366" s="187" t="s">
        <v>173</v>
      </c>
      <c r="M366" s="187" t="s">
        <v>175</v>
      </c>
    </row>
    <row r="367" spans="1:13" s="188" customFormat="1">
      <c r="A367" s="185" t="s">
        <v>1447</v>
      </c>
      <c r="B367" s="133" t="s">
        <v>3424</v>
      </c>
      <c r="C367" s="185" t="s">
        <v>3023</v>
      </c>
      <c r="D367" s="133" t="s">
        <v>1945</v>
      </c>
      <c r="E367" s="134">
        <v>1</v>
      </c>
      <c r="F367" s="135" t="s">
        <v>1449</v>
      </c>
      <c r="G367" s="185" t="s">
        <v>15</v>
      </c>
      <c r="H367" s="185" t="s">
        <v>15</v>
      </c>
      <c r="I367" s="185" t="s">
        <v>15</v>
      </c>
      <c r="J367" s="135" t="s">
        <v>1450</v>
      </c>
      <c r="K367" s="186">
        <v>36444</v>
      </c>
      <c r="L367" s="187" t="s">
        <v>173</v>
      </c>
      <c r="M367" s="187" t="s">
        <v>175</v>
      </c>
    </row>
    <row r="368" spans="1:13" s="188" customFormat="1">
      <c r="A368" s="185" t="s">
        <v>1447</v>
      </c>
      <c r="B368" s="133" t="s">
        <v>3425</v>
      </c>
      <c r="C368" s="185" t="s">
        <v>3023</v>
      </c>
      <c r="D368" s="133" t="s">
        <v>1945</v>
      </c>
      <c r="E368" s="134">
        <v>1</v>
      </c>
      <c r="F368" s="135" t="s">
        <v>1449</v>
      </c>
      <c r="G368" s="185" t="s">
        <v>15</v>
      </c>
      <c r="H368" s="185" t="s">
        <v>15</v>
      </c>
      <c r="I368" s="185" t="s">
        <v>15</v>
      </c>
      <c r="J368" s="135" t="s">
        <v>1450</v>
      </c>
      <c r="K368" s="186">
        <v>27024</v>
      </c>
      <c r="L368" s="187" t="s">
        <v>173</v>
      </c>
      <c r="M368" s="187" t="s">
        <v>175</v>
      </c>
    </row>
    <row r="369" spans="1:13" s="188" customFormat="1">
      <c r="A369" s="185" t="s">
        <v>1447</v>
      </c>
      <c r="B369" s="133" t="s">
        <v>3426</v>
      </c>
      <c r="C369" s="185" t="s">
        <v>3023</v>
      </c>
      <c r="D369" s="133" t="s">
        <v>1945</v>
      </c>
      <c r="E369" s="134">
        <v>1</v>
      </c>
      <c r="F369" s="135" t="s">
        <v>1449</v>
      </c>
      <c r="G369" s="185" t="s">
        <v>15</v>
      </c>
      <c r="H369" s="185" t="s">
        <v>15</v>
      </c>
      <c r="I369" s="185" t="s">
        <v>15</v>
      </c>
      <c r="J369" s="135" t="s">
        <v>1450</v>
      </c>
      <c r="K369" s="186">
        <v>23364</v>
      </c>
      <c r="L369" s="187" t="s">
        <v>173</v>
      </c>
      <c r="M369" s="187" t="s">
        <v>175</v>
      </c>
    </row>
    <row r="370" spans="1:13" s="188" customFormat="1">
      <c r="A370" s="185" t="s">
        <v>1447</v>
      </c>
      <c r="B370" s="133" t="s">
        <v>3427</v>
      </c>
      <c r="C370" s="185" t="s">
        <v>3023</v>
      </c>
      <c r="D370" s="133" t="s">
        <v>1945</v>
      </c>
      <c r="E370" s="134">
        <v>1</v>
      </c>
      <c r="F370" s="135" t="s">
        <v>1449</v>
      </c>
      <c r="G370" s="185" t="s">
        <v>15</v>
      </c>
      <c r="H370" s="185" t="s">
        <v>15</v>
      </c>
      <c r="I370" s="185" t="s">
        <v>15</v>
      </c>
      <c r="J370" s="135" t="s">
        <v>1450</v>
      </c>
      <c r="K370" s="186">
        <v>20448</v>
      </c>
      <c r="L370" s="187" t="s">
        <v>173</v>
      </c>
      <c r="M370" s="187" t="s">
        <v>175</v>
      </c>
    </row>
    <row r="371" spans="1:13" s="188" customFormat="1">
      <c r="A371" s="185" t="s">
        <v>1447</v>
      </c>
      <c r="B371" s="133" t="s">
        <v>3428</v>
      </c>
      <c r="C371" s="185" t="s">
        <v>3023</v>
      </c>
      <c r="D371" s="133" t="s">
        <v>1945</v>
      </c>
      <c r="E371" s="134">
        <v>1</v>
      </c>
      <c r="F371" s="135" t="s">
        <v>1449</v>
      </c>
      <c r="G371" s="185" t="s">
        <v>15</v>
      </c>
      <c r="H371" s="185" t="s">
        <v>15</v>
      </c>
      <c r="I371" s="185" t="s">
        <v>15</v>
      </c>
      <c r="J371" s="135" t="s">
        <v>1450</v>
      </c>
      <c r="K371" s="186">
        <v>17364</v>
      </c>
      <c r="L371" s="187" t="s">
        <v>173</v>
      </c>
      <c r="M371" s="187" t="s">
        <v>175</v>
      </c>
    </row>
    <row r="372" spans="1:13" s="188" customFormat="1">
      <c r="A372" s="185" t="s">
        <v>1447</v>
      </c>
      <c r="B372" s="133" t="s">
        <v>3429</v>
      </c>
      <c r="C372" s="185" t="s">
        <v>3023</v>
      </c>
      <c r="D372" s="133" t="s">
        <v>1945</v>
      </c>
      <c r="E372" s="134">
        <v>1</v>
      </c>
      <c r="F372" s="135" t="s">
        <v>1449</v>
      </c>
      <c r="G372" s="185" t="s">
        <v>15</v>
      </c>
      <c r="H372" s="185" t="s">
        <v>15</v>
      </c>
      <c r="I372" s="185" t="s">
        <v>15</v>
      </c>
      <c r="J372" s="135" t="s">
        <v>1450</v>
      </c>
      <c r="K372" s="186">
        <v>16020</v>
      </c>
      <c r="L372" s="187" t="s">
        <v>173</v>
      </c>
      <c r="M372" s="187" t="s">
        <v>175</v>
      </c>
    </row>
    <row r="373" spans="1:13" s="188" customFormat="1">
      <c r="A373" s="185" t="s">
        <v>1447</v>
      </c>
      <c r="B373" s="133" t="s">
        <v>3430</v>
      </c>
      <c r="C373" s="185" t="s">
        <v>3023</v>
      </c>
      <c r="D373" s="133" t="s">
        <v>3431</v>
      </c>
      <c r="E373" s="134">
        <v>1</v>
      </c>
      <c r="F373" s="135" t="s">
        <v>1449</v>
      </c>
      <c r="G373" s="185" t="s">
        <v>15</v>
      </c>
      <c r="H373" s="185" t="s">
        <v>15</v>
      </c>
      <c r="I373" s="185" t="s">
        <v>15</v>
      </c>
      <c r="J373" s="135" t="s">
        <v>1450</v>
      </c>
      <c r="K373" s="186">
        <v>2460</v>
      </c>
      <c r="L373" s="187" t="s">
        <v>173</v>
      </c>
      <c r="M373" s="187" t="s">
        <v>175</v>
      </c>
    </row>
    <row r="374" spans="1:13" s="188" customFormat="1">
      <c r="A374" s="185" t="s">
        <v>1447</v>
      </c>
      <c r="B374" s="133" t="s">
        <v>3432</v>
      </c>
      <c r="C374" s="185" t="s">
        <v>3023</v>
      </c>
      <c r="D374" s="133" t="s">
        <v>3431</v>
      </c>
      <c r="E374" s="134">
        <v>1</v>
      </c>
      <c r="F374" s="135" t="s">
        <v>1449</v>
      </c>
      <c r="G374" s="185" t="s">
        <v>15</v>
      </c>
      <c r="H374" s="185" t="s">
        <v>15</v>
      </c>
      <c r="I374" s="185" t="s">
        <v>15</v>
      </c>
      <c r="J374" s="135" t="s">
        <v>1450</v>
      </c>
      <c r="K374" s="186">
        <v>1872</v>
      </c>
      <c r="L374" s="187" t="s">
        <v>173</v>
      </c>
      <c r="M374" s="187" t="s">
        <v>175</v>
      </c>
    </row>
    <row r="375" spans="1:13" s="188" customFormat="1">
      <c r="A375" s="185" t="s">
        <v>1447</v>
      </c>
      <c r="B375" s="133" t="s">
        <v>3433</v>
      </c>
      <c r="C375" s="185" t="s">
        <v>3023</v>
      </c>
      <c r="D375" s="133" t="s">
        <v>3431</v>
      </c>
      <c r="E375" s="134">
        <v>1</v>
      </c>
      <c r="F375" s="135" t="s">
        <v>1449</v>
      </c>
      <c r="G375" s="185" t="s">
        <v>15</v>
      </c>
      <c r="H375" s="185" t="s">
        <v>15</v>
      </c>
      <c r="I375" s="185" t="s">
        <v>15</v>
      </c>
      <c r="J375" s="135" t="s">
        <v>1450</v>
      </c>
      <c r="K375" s="186">
        <v>1536</v>
      </c>
      <c r="L375" s="187" t="s">
        <v>173</v>
      </c>
      <c r="M375" s="187" t="s">
        <v>175</v>
      </c>
    </row>
    <row r="376" spans="1:13" s="188" customFormat="1">
      <c r="A376" s="185" t="s">
        <v>1447</v>
      </c>
      <c r="B376" s="133" t="s">
        <v>3434</v>
      </c>
      <c r="C376" s="185" t="s">
        <v>3023</v>
      </c>
      <c r="D376" s="133" t="s">
        <v>1934</v>
      </c>
      <c r="E376" s="134">
        <v>1</v>
      </c>
      <c r="F376" s="135" t="s">
        <v>1449</v>
      </c>
      <c r="G376" s="185" t="s">
        <v>15</v>
      </c>
      <c r="H376" s="185" t="s">
        <v>15</v>
      </c>
      <c r="I376" s="185" t="s">
        <v>15</v>
      </c>
      <c r="J376" s="135" t="s">
        <v>1450</v>
      </c>
      <c r="K376" s="186">
        <v>36624</v>
      </c>
      <c r="L376" s="187" t="s">
        <v>173</v>
      </c>
      <c r="M376" s="187" t="s">
        <v>175</v>
      </c>
    </row>
    <row r="377" spans="1:13" s="188" customFormat="1">
      <c r="A377" s="185" t="s">
        <v>1447</v>
      </c>
      <c r="B377" s="133" t="s">
        <v>3435</v>
      </c>
      <c r="C377" s="185" t="s">
        <v>3023</v>
      </c>
      <c r="D377" s="133" t="s">
        <v>1934</v>
      </c>
      <c r="E377" s="134">
        <v>1</v>
      </c>
      <c r="F377" s="135" t="s">
        <v>1449</v>
      </c>
      <c r="G377" s="185" t="s">
        <v>15</v>
      </c>
      <c r="H377" s="185" t="s">
        <v>15</v>
      </c>
      <c r="I377" s="185" t="s">
        <v>15</v>
      </c>
      <c r="J377" s="135" t="s">
        <v>1450</v>
      </c>
      <c r="K377" s="186">
        <v>18540</v>
      </c>
      <c r="L377" s="187" t="s">
        <v>173</v>
      </c>
      <c r="M377" s="187" t="s">
        <v>175</v>
      </c>
    </row>
    <row r="378" spans="1:13" s="188" customFormat="1">
      <c r="A378" s="185" t="s">
        <v>1447</v>
      </c>
      <c r="B378" s="133" t="s">
        <v>3436</v>
      </c>
      <c r="C378" s="185" t="s">
        <v>3023</v>
      </c>
      <c r="D378" s="133" t="s">
        <v>1934</v>
      </c>
      <c r="E378" s="134">
        <v>1</v>
      </c>
      <c r="F378" s="135" t="s">
        <v>1449</v>
      </c>
      <c r="G378" s="185" t="s">
        <v>15</v>
      </c>
      <c r="H378" s="185" t="s">
        <v>15</v>
      </c>
      <c r="I378" s="185" t="s">
        <v>15</v>
      </c>
      <c r="J378" s="135" t="s">
        <v>1450</v>
      </c>
      <c r="K378" s="186">
        <v>9528</v>
      </c>
      <c r="L378" s="187" t="s">
        <v>173</v>
      </c>
      <c r="M378" s="187" t="s">
        <v>175</v>
      </c>
    </row>
    <row r="379" spans="1:13" s="188" customFormat="1">
      <c r="A379" s="185" t="s">
        <v>1447</v>
      </c>
      <c r="B379" s="133" t="s">
        <v>3437</v>
      </c>
      <c r="C379" s="185" t="s">
        <v>3023</v>
      </c>
      <c r="D379" s="133" t="s">
        <v>1934</v>
      </c>
      <c r="E379" s="134">
        <v>1</v>
      </c>
      <c r="F379" s="135" t="s">
        <v>1449</v>
      </c>
      <c r="G379" s="185" t="s">
        <v>15</v>
      </c>
      <c r="H379" s="185" t="s">
        <v>15</v>
      </c>
      <c r="I379" s="185" t="s">
        <v>15</v>
      </c>
      <c r="J379" s="135" t="s">
        <v>1450</v>
      </c>
      <c r="K379" s="186">
        <v>8520</v>
      </c>
      <c r="L379" s="187" t="s">
        <v>173</v>
      </c>
      <c r="M379" s="187" t="s">
        <v>175</v>
      </c>
    </row>
    <row r="380" spans="1:13" s="188" customFormat="1">
      <c r="A380" s="185" t="s">
        <v>1447</v>
      </c>
      <c r="B380" s="133" t="s">
        <v>3438</v>
      </c>
      <c r="C380" s="185" t="s">
        <v>3023</v>
      </c>
      <c r="D380" s="133" t="s">
        <v>1934</v>
      </c>
      <c r="E380" s="134">
        <v>1</v>
      </c>
      <c r="F380" s="135" t="s">
        <v>1449</v>
      </c>
      <c r="G380" s="185" t="s">
        <v>15</v>
      </c>
      <c r="H380" s="185" t="s">
        <v>15</v>
      </c>
      <c r="I380" s="185" t="s">
        <v>15</v>
      </c>
      <c r="J380" s="135" t="s">
        <v>1450</v>
      </c>
      <c r="K380" s="186">
        <v>7440</v>
      </c>
      <c r="L380" s="187" t="s">
        <v>173</v>
      </c>
      <c r="M380" s="187" t="s">
        <v>175</v>
      </c>
    </row>
    <row r="381" spans="1:13" s="188" customFormat="1">
      <c r="A381" s="185" t="s">
        <v>1447</v>
      </c>
      <c r="B381" s="133" t="s">
        <v>3439</v>
      </c>
      <c r="C381" s="185" t="s">
        <v>3023</v>
      </c>
      <c r="D381" s="133" t="s">
        <v>1934</v>
      </c>
      <c r="E381" s="134">
        <v>1</v>
      </c>
      <c r="F381" s="135" t="s">
        <v>1449</v>
      </c>
      <c r="G381" s="185" t="s">
        <v>15</v>
      </c>
      <c r="H381" s="185" t="s">
        <v>15</v>
      </c>
      <c r="I381" s="185" t="s">
        <v>15</v>
      </c>
      <c r="J381" s="135" t="s">
        <v>1450</v>
      </c>
      <c r="K381" s="186">
        <v>6420</v>
      </c>
      <c r="L381" s="187" t="s">
        <v>173</v>
      </c>
      <c r="M381" s="187" t="s">
        <v>175</v>
      </c>
    </row>
    <row r="382" spans="1:13" s="188" customFormat="1">
      <c r="A382" s="185" t="s">
        <v>1447</v>
      </c>
      <c r="B382" s="133" t="s">
        <v>3440</v>
      </c>
      <c r="C382" s="185" t="s">
        <v>3023</v>
      </c>
      <c r="D382" s="133" t="s">
        <v>1938</v>
      </c>
      <c r="E382" s="134">
        <v>1</v>
      </c>
      <c r="F382" s="135" t="s">
        <v>1449</v>
      </c>
      <c r="G382" s="185" t="s">
        <v>15</v>
      </c>
      <c r="H382" s="185" t="s">
        <v>15</v>
      </c>
      <c r="I382" s="185" t="s">
        <v>15</v>
      </c>
      <c r="J382" s="135" t="s">
        <v>1450</v>
      </c>
      <c r="K382" s="186">
        <v>22956</v>
      </c>
      <c r="L382" s="187" t="s">
        <v>173</v>
      </c>
      <c r="M382" s="187" t="s">
        <v>175</v>
      </c>
    </row>
    <row r="383" spans="1:13" s="188" customFormat="1">
      <c r="A383" s="185" t="s">
        <v>1447</v>
      </c>
      <c r="B383" s="133" t="s">
        <v>3441</v>
      </c>
      <c r="C383" s="185" t="s">
        <v>3023</v>
      </c>
      <c r="D383" s="133" t="s">
        <v>1938</v>
      </c>
      <c r="E383" s="134">
        <v>1</v>
      </c>
      <c r="F383" s="135" t="s">
        <v>1449</v>
      </c>
      <c r="G383" s="185" t="s">
        <v>15</v>
      </c>
      <c r="H383" s="185" t="s">
        <v>15</v>
      </c>
      <c r="I383" s="185" t="s">
        <v>15</v>
      </c>
      <c r="J383" s="135" t="s">
        <v>1450</v>
      </c>
      <c r="K383" s="186">
        <v>11184</v>
      </c>
      <c r="L383" s="187" t="s">
        <v>173</v>
      </c>
      <c r="M383" s="187" t="s">
        <v>175</v>
      </c>
    </row>
    <row r="384" spans="1:13" s="188" customFormat="1">
      <c r="A384" s="185" t="s">
        <v>1447</v>
      </c>
      <c r="B384" s="133" t="s">
        <v>3442</v>
      </c>
      <c r="C384" s="185" t="s">
        <v>3023</v>
      </c>
      <c r="D384" s="133" t="s">
        <v>1938</v>
      </c>
      <c r="E384" s="134">
        <v>1</v>
      </c>
      <c r="F384" s="135" t="s">
        <v>1449</v>
      </c>
      <c r="G384" s="185" t="s">
        <v>15</v>
      </c>
      <c r="H384" s="185" t="s">
        <v>15</v>
      </c>
      <c r="I384" s="185" t="s">
        <v>15</v>
      </c>
      <c r="J384" s="135" t="s">
        <v>1450</v>
      </c>
      <c r="K384" s="186">
        <v>8184</v>
      </c>
      <c r="L384" s="187" t="s">
        <v>173</v>
      </c>
      <c r="M384" s="187" t="s">
        <v>175</v>
      </c>
    </row>
    <row r="385" spans="1:13" s="188" customFormat="1">
      <c r="A385" s="185" t="s">
        <v>1447</v>
      </c>
      <c r="B385" s="133" t="s">
        <v>3443</v>
      </c>
      <c r="C385" s="185" t="s">
        <v>3023</v>
      </c>
      <c r="D385" s="133" t="s">
        <v>1938</v>
      </c>
      <c r="E385" s="134">
        <v>1</v>
      </c>
      <c r="F385" s="135" t="s">
        <v>1449</v>
      </c>
      <c r="G385" s="185" t="s">
        <v>15</v>
      </c>
      <c r="H385" s="185" t="s">
        <v>15</v>
      </c>
      <c r="I385" s="185" t="s">
        <v>15</v>
      </c>
      <c r="J385" s="135" t="s">
        <v>1450</v>
      </c>
      <c r="K385" s="186">
        <v>6036</v>
      </c>
      <c r="L385" s="187" t="s">
        <v>173</v>
      </c>
      <c r="M385" s="187" t="s">
        <v>175</v>
      </c>
    </row>
    <row r="386" spans="1:13" s="188" customFormat="1">
      <c r="A386" s="185" t="s">
        <v>1447</v>
      </c>
      <c r="B386" s="133" t="s">
        <v>3444</v>
      </c>
      <c r="C386" s="185" t="s">
        <v>3023</v>
      </c>
      <c r="D386" s="133" t="s">
        <v>3445</v>
      </c>
      <c r="E386" s="134">
        <v>1</v>
      </c>
      <c r="F386" s="135" t="s">
        <v>1449</v>
      </c>
      <c r="G386" s="185" t="s">
        <v>15</v>
      </c>
      <c r="H386" s="185" t="s">
        <v>15</v>
      </c>
      <c r="I386" s="185" t="s">
        <v>15</v>
      </c>
      <c r="J386" s="135" t="s">
        <v>1450</v>
      </c>
      <c r="K386" s="186">
        <v>2460</v>
      </c>
      <c r="L386" s="187" t="s">
        <v>173</v>
      </c>
      <c r="M386" s="187" t="s">
        <v>175</v>
      </c>
    </row>
    <row r="387" spans="1:13" s="188" customFormat="1">
      <c r="A387" s="185" t="s">
        <v>1447</v>
      </c>
      <c r="B387" s="133" t="s">
        <v>3446</v>
      </c>
      <c r="C387" s="185" t="s">
        <v>3023</v>
      </c>
      <c r="D387" s="133" t="s">
        <v>3445</v>
      </c>
      <c r="E387" s="134">
        <v>1</v>
      </c>
      <c r="F387" s="135" t="s">
        <v>1449</v>
      </c>
      <c r="G387" s="185" t="s">
        <v>15</v>
      </c>
      <c r="H387" s="185" t="s">
        <v>15</v>
      </c>
      <c r="I387" s="185" t="s">
        <v>15</v>
      </c>
      <c r="J387" s="135" t="s">
        <v>1450</v>
      </c>
      <c r="K387" s="186">
        <v>1872</v>
      </c>
      <c r="L387" s="187" t="s">
        <v>173</v>
      </c>
      <c r="M387" s="187" t="s">
        <v>175</v>
      </c>
    </row>
    <row r="388" spans="1:13" s="188" customFormat="1">
      <c r="A388" s="185" t="s">
        <v>1447</v>
      </c>
      <c r="B388" s="133" t="s">
        <v>3447</v>
      </c>
      <c r="C388" s="185" t="s">
        <v>3023</v>
      </c>
      <c r="D388" s="133" t="s">
        <v>3445</v>
      </c>
      <c r="E388" s="134">
        <v>1</v>
      </c>
      <c r="F388" s="135" t="s">
        <v>1449</v>
      </c>
      <c r="G388" s="185" t="s">
        <v>15</v>
      </c>
      <c r="H388" s="185" t="s">
        <v>15</v>
      </c>
      <c r="I388" s="185" t="s">
        <v>15</v>
      </c>
      <c r="J388" s="135" t="s">
        <v>1450</v>
      </c>
      <c r="K388" s="186">
        <v>1536</v>
      </c>
      <c r="L388" s="187" t="s">
        <v>173</v>
      </c>
      <c r="M388" s="187" t="s">
        <v>175</v>
      </c>
    </row>
    <row r="389" spans="1:13" s="188" customFormat="1">
      <c r="A389" s="185" t="s">
        <v>1447</v>
      </c>
      <c r="B389" s="133" t="s">
        <v>3448</v>
      </c>
      <c r="C389" s="185" t="s">
        <v>3023</v>
      </c>
      <c r="D389" s="133" t="s">
        <v>3449</v>
      </c>
      <c r="E389" s="134">
        <v>1</v>
      </c>
      <c r="F389" s="135" t="s">
        <v>1449</v>
      </c>
      <c r="G389" s="185" t="s">
        <v>15</v>
      </c>
      <c r="H389" s="185" t="s">
        <v>15</v>
      </c>
      <c r="I389" s="185" t="s">
        <v>15</v>
      </c>
      <c r="J389" s="135" t="s">
        <v>1450</v>
      </c>
      <c r="K389" s="186">
        <v>3336</v>
      </c>
      <c r="L389" s="187" t="s">
        <v>173</v>
      </c>
      <c r="M389" s="187" t="s">
        <v>175</v>
      </c>
    </row>
    <row r="390" spans="1:13" s="188" customFormat="1">
      <c r="A390" s="185" t="s">
        <v>1447</v>
      </c>
      <c r="B390" s="133" t="s">
        <v>3450</v>
      </c>
      <c r="C390" s="185" t="s">
        <v>3023</v>
      </c>
      <c r="D390" s="133" t="s">
        <v>3449</v>
      </c>
      <c r="E390" s="134">
        <v>1</v>
      </c>
      <c r="F390" s="135" t="s">
        <v>1449</v>
      </c>
      <c r="G390" s="185" t="s">
        <v>15</v>
      </c>
      <c r="H390" s="185" t="s">
        <v>15</v>
      </c>
      <c r="I390" s="185" t="s">
        <v>15</v>
      </c>
      <c r="J390" s="135" t="s">
        <v>1450</v>
      </c>
      <c r="K390" s="186">
        <v>3048</v>
      </c>
      <c r="L390" s="187" t="s">
        <v>173</v>
      </c>
      <c r="M390" s="187" t="s">
        <v>175</v>
      </c>
    </row>
    <row r="391" spans="1:13" s="188" customFormat="1">
      <c r="A391" s="185" t="s">
        <v>1447</v>
      </c>
      <c r="B391" s="133" t="s">
        <v>3451</v>
      </c>
      <c r="C391" s="185" t="s">
        <v>3023</v>
      </c>
      <c r="D391" s="133" t="s">
        <v>3449</v>
      </c>
      <c r="E391" s="134">
        <v>1</v>
      </c>
      <c r="F391" s="135" t="s">
        <v>1449</v>
      </c>
      <c r="G391" s="185" t="s">
        <v>15</v>
      </c>
      <c r="H391" s="185" t="s">
        <v>15</v>
      </c>
      <c r="I391" s="185" t="s">
        <v>15</v>
      </c>
      <c r="J391" s="135" t="s">
        <v>1450</v>
      </c>
      <c r="K391" s="186">
        <v>3024</v>
      </c>
      <c r="L391" s="187" t="s">
        <v>173</v>
      </c>
      <c r="M391" s="187" t="s">
        <v>175</v>
      </c>
    </row>
    <row r="392" spans="1:13" s="188" customFormat="1">
      <c r="A392" s="185" t="s">
        <v>1447</v>
      </c>
      <c r="B392" s="133" t="s">
        <v>3452</v>
      </c>
      <c r="C392" s="185" t="s">
        <v>3023</v>
      </c>
      <c r="D392" s="133" t="s">
        <v>3453</v>
      </c>
      <c r="E392" s="134">
        <v>1</v>
      </c>
      <c r="F392" s="135" t="s">
        <v>1449</v>
      </c>
      <c r="G392" s="185" t="s">
        <v>15</v>
      </c>
      <c r="H392" s="185" t="s">
        <v>15</v>
      </c>
      <c r="I392" s="185" t="s">
        <v>15</v>
      </c>
      <c r="J392" s="135" t="s">
        <v>1450</v>
      </c>
      <c r="K392" s="186">
        <v>3336</v>
      </c>
      <c r="L392" s="187" t="s">
        <v>173</v>
      </c>
      <c r="M392" s="187" t="s">
        <v>175</v>
      </c>
    </row>
    <row r="393" spans="1:13" s="188" customFormat="1">
      <c r="A393" s="185" t="s">
        <v>1447</v>
      </c>
      <c r="B393" s="133" t="s">
        <v>3454</v>
      </c>
      <c r="C393" s="185" t="s">
        <v>3023</v>
      </c>
      <c r="D393" s="133" t="s">
        <v>3453</v>
      </c>
      <c r="E393" s="134">
        <v>1</v>
      </c>
      <c r="F393" s="135" t="s">
        <v>1449</v>
      </c>
      <c r="G393" s="185" t="s">
        <v>15</v>
      </c>
      <c r="H393" s="185" t="s">
        <v>15</v>
      </c>
      <c r="I393" s="185" t="s">
        <v>15</v>
      </c>
      <c r="J393" s="135" t="s">
        <v>1450</v>
      </c>
      <c r="K393" s="186">
        <v>3048</v>
      </c>
      <c r="L393" s="187" t="s">
        <v>173</v>
      </c>
      <c r="M393" s="187" t="s">
        <v>175</v>
      </c>
    </row>
    <row r="394" spans="1:13" s="188" customFormat="1">
      <c r="A394" s="185" t="s">
        <v>1447</v>
      </c>
      <c r="B394" s="133" t="s">
        <v>3455</v>
      </c>
      <c r="C394" s="185" t="s">
        <v>3023</v>
      </c>
      <c r="D394" s="133" t="s">
        <v>3453</v>
      </c>
      <c r="E394" s="134">
        <v>1</v>
      </c>
      <c r="F394" s="135" t="s">
        <v>1449</v>
      </c>
      <c r="G394" s="185" t="s">
        <v>15</v>
      </c>
      <c r="H394" s="185" t="s">
        <v>15</v>
      </c>
      <c r="I394" s="185" t="s">
        <v>15</v>
      </c>
      <c r="J394" s="135" t="s">
        <v>1450</v>
      </c>
      <c r="K394" s="186">
        <v>3024</v>
      </c>
      <c r="L394" s="187" t="s">
        <v>173</v>
      </c>
      <c r="M394" s="187" t="s">
        <v>175</v>
      </c>
    </row>
    <row r="395" spans="1:13" s="188" customFormat="1">
      <c r="A395" s="185" t="s">
        <v>1447</v>
      </c>
      <c r="B395" s="133" t="s">
        <v>3456</v>
      </c>
      <c r="C395" s="185" t="s">
        <v>3023</v>
      </c>
      <c r="D395" s="133" t="s">
        <v>3457</v>
      </c>
      <c r="E395" s="134">
        <v>1</v>
      </c>
      <c r="F395" s="135" t="s">
        <v>1449</v>
      </c>
      <c r="G395" s="185" t="s">
        <v>15</v>
      </c>
      <c r="H395" s="185" t="s">
        <v>15</v>
      </c>
      <c r="I395" s="185" t="s">
        <v>15</v>
      </c>
      <c r="J395" s="135" t="s">
        <v>1450</v>
      </c>
      <c r="K395" s="186">
        <v>3084</v>
      </c>
      <c r="L395" s="187" t="s">
        <v>173</v>
      </c>
      <c r="M395" s="187" t="s">
        <v>175</v>
      </c>
    </row>
    <row r="396" spans="1:13" s="188" customFormat="1">
      <c r="A396" s="185" t="s">
        <v>1447</v>
      </c>
      <c r="B396" s="133" t="s">
        <v>3458</v>
      </c>
      <c r="C396" s="185" t="s">
        <v>3023</v>
      </c>
      <c r="D396" s="133" t="s">
        <v>3457</v>
      </c>
      <c r="E396" s="134">
        <v>1</v>
      </c>
      <c r="F396" s="135" t="s">
        <v>1449</v>
      </c>
      <c r="G396" s="185" t="s">
        <v>15</v>
      </c>
      <c r="H396" s="185" t="s">
        <v>15</v>
      </c>
      <c r="I396" s="185" t="s">
        <v>15</v>
      </c>
      <c r="J396" s="135" t="s">
        <v>1450</v>
      </c>
      <c r="K396" s="186">
        <v>2556</v>
      </c>
      <c r="L396" s="187" t="s">
        <v>173</v>
      </c>
      <c r="M396" s="187" t="s">
        <v>175</v>
      </c>
    </row>
    <row r="397" spans="1:13" s="188" customFormat="1">
      <c r="A397" s="185" t="s">
        <v>1447</v>
      </c>
      <c r="B397" s="133" t="s">
        <v>3459</v>
      </c>
      <c r="C397" s="185" t="s">
        <v>3023</v>
      </c>
      <c r="D397" s="133" t="s">
        <v>3457</v>
      </c>
      <c r="E397" s="134">
        <v>1</v>
      </c>
      <c r="F397" s="135" t="s">
        <v>1449</v>
      </c>
      <c r="G397" s="185" t="s">
        <v>15</v>
      </c>
      <c r="H397" s="185" t="s">
        <v>15</v>
      </c>
      <c r="I397" s="185" t="s">
        <v>15</v>
      </c>
      <c r="J397" s="135" t="s">
        <v>1450</v>
      </c>
      <c r="K397" s="186">
        <v>2280</v>
      </c>
      <c r="L397" s="187" t="s">
        <v>173</v>
      </c>
      <c r="M397" s="187" t="s">
        <v>175</v>
      </c>
    </row>
    <row r="398" spans="1:13" s="188" customFormat="1">
      <c r="A398" s="185" t="s">
        <v>1447</v>
      </c>
      <c r="B398" s="133" t="s">
        <v>3460</v>
      </c>
      <c r="C398" s="185" t="s">
        <v>3023</v>
      </c>
      <c r="D398" s="133" t="s">
        <v>1951</v>
      </c>
      <c r="E398" s="134">
        <v>1</v>
      </c>
      <c r="F398" s="135" t="s">
        <v>1449</v>
      </c>
      <c r="G398" s="185" t="s">
        <v>15</v>
      </c>
      <c r="H398" s="185" t="s">
        <v>15</v>
      </c>
      <c r="I398" s="185" t="s">
        <v>15</v>
      </c>
      <c r="J398" s="135" t="s">
        <v>1450</v>
      </c>
      <c r="K398" s="186">
        <v>199224</v>
      </c>
      <c r="L398" s="187" t="s">
        <v>173</v>
      </c>
      <c r="M398" s="187" t="s">
        <v>175</v>
      </c>
    </row>
    <row r="399" spans="1:13" s="188" customFormat="1">
      <c r="A399" s="185" t="s">
        <v>1447</v>
      </c>
      <c r="B399" s="133" t="s">
        <v>3461</v>
      </c>
      <c r="C399" s="185" t="s">
        <v>3023</v>
      </c>
      <c r="D399" s="133" t="s">
        <v>1951</v>
      </c>
      <c r="E399" s="134">
        <v>1</v>
      </c>
      <c r="F399" s="135" t="s">
        <v>1449</v>
      </c>
      <c r="G399" s="185" t="s">
        <v>15</v>
      </c>
      <c r="H399" s="185" t="s">
        <v>15</v>
      </c>
      <c r="I399" s="185" t="s">
        <v>15</v>
      </c>
      <c r="J399" s="135" t="s">
        <v>1450</v>
      </c>
      <c r="K399" s="186">
        <v>124824</v>
      </c>
      <c r="L399" s="187" t="s">
        <v>173</v>
      </c>
      <c r="M399" s="187" t="s">
        <v>175</v>
      </c>
    </row>
    <row r="400" spans="1:13" s="188" customFormat="1">
      <c r="A400" s="185" t="s">
        <v>1447</v>
      </c>
      <c r="B400" s="133" t="s">
        <v>3462</v>
      </c>
      <c r="C400" s="185" t="s">
        <v>3023</v>
      </c>
      <c r="D400" s="133" t="s">
        <v>1951</v>
      </c>
      <c r="E400" s="134">
        <v>1</v>
      </c>
      <c r="F400" s="135" t="s">
        <v>1449</v>
      </c>
      <c r="G400" s="185" t="s">
        <v>15</v>
      </c>
      <c r="H400" s="185" t="s">
        <v>15</v>
      </c>
      <c r="I400" s="185" t="s">
        <v>15</v>
      </c>
      <c r="J400" s="135" t="s">
        <v>1450</v>
      </c>
      <c r="K400" s="186">
        <v>79692</v>
      </c>
      <c r="L400" s="187" t="s">
        <v>173</v>
      </c>
      <c r="M400" s="187" t="s">
        <v>175</v>
      </c>
    </row>
    <row r="401" spans="1:13" s="188" customFormat="1">
      <c r="A401" s="185" t="s">
        <v>1447</v>
      </c>
      <c r="B401" s="133" t="s">
        <v>3463</v>
      </c>
      <c r="C401" s="185" t="s">
        <v>3023</v>
      </c>
      <c r="D401" s="133" t="s">
        <v>1951</v>
      </c>
      <c r="E401" s="134">
        <v>1</v>
      </c>
      <c r="F401" s="135" t="s">
        <v>1449</v>
      </c>
      <c r="G401" s="185" t="s">
        <v>15</v>
      </c>
      <c r="H401" s="185" t="s">
        <v>15</v>
      </c>
      <c r="I401" s="185" t="s">
        <v>15</v>
      </c>
      <c r="J401" s="135" t="s">
        <v>1450</v>
      </c>
      <c r="K401" s="186">
        <v>47316</v>
      </c>
      <c r="L401" s="187" t="s">
        <v>173</v>
      </c>
      <c r="M401" s="187" t="s">
        <v>175</v>
      </c>
    </row>
    <row r="402" spans="1:13" s="188" customFormat="1">
      <c r="A402" s="185" t="s">
        <v>1447</v>
      </c>
      <c r="B402" s="133" t="s">
        <v>3464</v>
      </c>
      <c r="C402" s="185" t="s">
        <v>3023</v>
      </c>
      <c r="D402" s="133" t="s">
        <v>1951</v>
      </c>
      <c r="E402" s="134">
        <v>1</v>
      </c>
      <c r="F402" s="135" t="s">
        <v>1449</v>
      </c>
      <c r="G402" s="185" t="s">
        <v>15</v>
      </c>
      <c r="H402" s="185" t="s">
        <v>15</v>
      </c>
      <c r="I402" s="185" t="s">
        <v>15</v>
      </c>
      <c r="J402" s="135" t="s">
        <v>1450</v>
      </c>
      <c r="K402" s="186">
        <v>26460</v>
      </c>
      <c r="L402" s="187" t="s">
        <v>173</v>
      </c>
      <c r="M402" s="187" t="s">
        <v>175</v>
      </c>
    </row>
    <row r="403" spans="1:13" s="188" customFormat="1">
      <c r="A403" s="185" t="s">
        <v>1447</v>
      </c>
      <c r="B403" s="133" t="s">
        <v>3465</v>
      </c>
      <c r="C403" s="185" t="s">
        <v>3023</v>
      </c>
      <c r="D403" s="133" t="s">
        <v>1951</v>
      </c>
      <c r="E403" s="134">
        <v>1</v>
      </c>
      <c r="F403" s="135" t="s">
        <v>1449</v>
      </c>
      <c r="G403" s="185" t="s">
        <v>15</v>
      </c>
      <c r="H403" s="185" t="s">
        <v>15</v>
      </c>
      <c r="I403" s="185" t="s">
        <v>15</v>
      </c>
      <c r="J403" s="135" t="s">
        <v>1450</v>
      </c>
      <c r="K403" s="186">
        <v>14628</v>
      </c>
      <c r="L403" s="187" t="s">
        <v>173</v>
      </c>
      <c r="M403" s="187" t="s">
        <v>175</v>
      </c>
    </row>
    <row r="404" spans="1:13" s="188" customFormat="1">
      <c r="A404" s="185" t="s">
        <v>1447</v>
      </c>
      <c r="B404" s="133" t="s">
        <v>3466</v>
      </c>
      <c r="C404" s="185" t="s">
        <v>3023</v>
      </c>
      <c r="D404" s="133" t="s">
        <v>3467</v>
      </c>
      <c r="E404" s="134">
        <v>1</v>
      </c>
      <c r="F404" s="135" t="s">
        <v>1449</v>
      </c>
      <c r="G404" s="185" t="s">
        <v>15</v>
      </c>
      <c r="H404" s="185" t="s">
        <v>15</v>
      </c>
      <c r="I404" s="185" t="s">
        <v>15</v>
      </c>
      <c r="J404" s="135" t="s">
        <v>1450</v>
      </c>
      <c r="K404" s="186">
        <v>1848</v>
      </c>
      <c r="L404" s="187" t="s">
        <v>173</v>
      </c>
      <c r="M404" s="187" t="s">
        <v>175</v>
      </c>
    </row>
    <row r="405" spans="1:13" s="188" customFormat="1">
      <c r="A405" s="185" t="s">
        <v>1447</v>
      </c>
      <c r="B405" s="133" t="s">
        <v>3468</v>
      </c>
      <c r="C405" s="185" t="s">
        <v>3023</v>
      </c>
      <c r="D405" s="133" t="s">
        <v>3467</v>
      </c>
      <c r="E405" s="134">
        <v>1</v>
      </c>
      <c r="F405" s="135" t="s">
        <v>1449</v>
      </c>
      <c r="G405" s="185" t="s">
        <v>15</v>
      </c>
      <c r="H405" s="185" t="s">
        <v>15</v>
      </c>
      <c r="I405" s="185" t="s">
        <v>15</v>
      </c>
      <c r="J405" s="135" t="s">
        <v>1450</v>
      </c>
      <c r="K405" s="186">
        <v>1428</v>
      </c>
      <c r="L405" s="187" t="s">
        <v>173</v>
      </c>
      <c r="M405" s="187" t="s">
        <v>175</v>
      </c>
    </row>
    <row r="406" spans="1:13" s="188" customFormat="1">
      <c r="A406" s="185" t="s">
        <v>1447</v>
      </c>
      <c r="B406" s="133" t="s">
        <v>3469</v>
      </c>
      <c r="C406" s="185" t="s">
        <v>3023</v>
      </c>
      <c r="D406" s="133" t="s">
        <v>3467</v>
      </c>
      <c r="E406" s="134">
        <v>1</v>
      </c>
      <c r="F406" s="135" t="s">
        <v>1449</v>
      </c>
      <c r="G406" s="185" t="s">
        <v>15</v>
      </c>
      <c r="H406" s="185" t="s">
        <v>15</v>
      </c>
      <c r="I406" s="185" t="s">
        <v>15</v>
      </c>
      <c r="J406" s="135" t="s">
        <v>1450</v>
      </c>
      <c r="K406" s="186">
        <v>1284</v>
      </c>
      <c r="L406" s="187" t="s">
        <v>173</v>
      </c>
      <c r="M406" s="187" t="s">
        <v>175</v>
      </c>
    </row>
    <row r="407" spans="1:13" s="188" customFormat="1">
      <c r="A407" s="185" t="s">
        <v>1447</v>
      </c>
      <c r="B407" s="133" t="s">
        <v>3470</v>
      </c>
      <c r="C407" s="185" t="s">
        <v>3023</v>
      </c>
      <c r="D407" s="133" t="s">
        <v>3471</v>
      </c>
      <c r="E407" s="134">
        <v>1</v>
      </c>
      <c r="F407" s="135" t="s">
        <v>1449</v>
      </c>
      <c r="G407" s="185" t="s">
        <v>15</v>
      </c>
      <c r="H407" s="185" t="s">
        <v>15</v>
      </c>
      <c r="I407" s="185" t="s">
        <v>15</v>
      </c>
      <c r="J407" s="135" t="s">
        <v>1450</v>
      </c>
      <c r="K407" s="186">
        <v>2460</v>
      </c>
      <c r="L407" s="187" t="s">
        <v>173</v>
      </c>
      <c r="M407" s="187" t="s">
        <v>175</v>
      </c>
    </row>
    <row r="408" spans="1:13" s="188" customFormat="1">
      <c r="A408" s="185" t="s">
        <v>1447</v>
      </c>
      <c r="B408" s="133" t="s">
        <v>3472</v>
      </c>
      <c r="C408" s="185" t="s">
        <v>3023</v>
      </c>
      <c r="D408" s="133" t="s">
        <v>3471</v>
      </c>
      <c r="E408" s="134">
        <v>1</v>
      </c>
      <c r="F408" s="135" t="s">
        <v>1449</v>
      </c>
      <c r="G408" s="185" t="s">
        <v>15</v>
      </c>
      <c r="H408" s="185" t="s">
        <v>15</v>
      </c>
      <c r="I408" s="185" t="s">
        <v>15</v>
      </c>
      <c r="J408" s="135" t="s">
        <v>1450</v>
      </c>
      <c r="K408" s="186">
        <v>1872</v>
      </c>
      <c r="L408" s="187" t="s">
        <v>173</v>
      </c>
      <c r="M408" s="187" t="s">
        <v>175</v>
      </c>
    </row>
    <row r="409" spans="1:13" s="188" customFormat="1">
      <c r="A409" s="185" t="s">
        <v>1447</v>
      </c>
      <c r="B409" s="133" t="s">
        <v>3473</v>
      </c>
      <c r="C409" s="185" t="s">
        <v>3023</v>
      </c>
      <c r="D409" s="133" t="s">
        <v>3471</v>
      </c>
      <c r="E409" s="134">
        <v>1</v>
      </c>
      <c r="F409" s="135" t="s">
        <v>1449</v>
      </c>
      <c r="G409" s="185" t="s">
        <v>15</v>
      </c>
      <c r="H409" s="185" t="s">
        <v>15</v>
      </c>
      <c r="I409" s="185" t="s">
        <v>15</v>
      </c>
      <c r="J409" s="135" t="s">
        <v>1450</v>
      </c>
      <c r="K409" s="186">
        <v>1536</v>
      </c>
      <c r="L409" s="187" t="s">
        <v>173</v>
      </c>
      <c r="M409" s="187" t="s">
        <v>175</v>
      </c>
    </row>
    <row r="410" spans="1:13" s="188" customFormat="1">
      <c r="A410" s="185" t="s">
        <v>1447</v>
      </c>
      <c r="B410" s="133" t="s">
        <v>3474</v>
      </c>
      <c r="C410" s="185" t="s">
        <v>3023</v>
      </c>
      <c r="D410" s="133" t="s">
        <v>3475</v>
      </c>
      <c r="E410" s="134">
        <v>1</v>
      </c>
      <c r="F410" s="135" t="s">
        <v>1449</v>
      </c>
      <c r="G410" s="185" t="s">
        <v>15</v>
      </c>
      <c r="H410" s="185" t="s">
        <v>15</v>
      </c>
      <c r="I410" s="185" t="s">
        <v>15</v>
      </c>
      <c r="J410" s="135" t="s">
        <v>1450</v>
      </c>
      <c r="K410" s="186">
        <v>4020</v>
      </c>
      <c r="L410" s="187" t="s">
        <v>173</v>
      </c>
      <c r="M410" s="187" t="s">
        <v>175</v>
      </c>
    </row>
    <row r="411" spans="1:13" s="188" customFormat="1">
      <c r="A411" s="185" t="s">
        <v>1447</v>
      </c>
      <c r="B411" s="133" t="s">
        <v>3476</v>
      </c>
      <c r="C411" s="185" t="s">
        <v>3023</v>
      </c>
      <c r="D411" s="133" t="s">
        <v>3475</v>
      </c>
      <c r="E411" s="134">
        <v>1</v>
      </c>
      <c r="F411" s="135" t="s">
        <v>1449</v>
      </c>
      <c r="G411" s="185" t="s">
        <v>15</v>
      </c>
      <c r="H411" s="185" t="s">
        <v>15</v>
      </c>
      <c r="I411" s="185" t="s">
        <v>15</v>
      </c>
      <c r="J411" s="135" t="s">
        <v>1450</v>
      </c>
      <c r="K411" s="186">
        <v>2724</v>
      </c>
      <c r="L411" s="187" t="s">
        <v>173</v>
      </c>
      <c r="M411" s="187" t="s">
        <v>175</v>
      </c>
    </row>
    <row r="412" spans="1:13" s="188" customFormat="1">
      <c r="A412" s="185" t="s">
        <v>1447</v>
      </c>
      <c r="B412" s="133" t="s">
        <v>3477</v>
      </c>
      <c r="C412" s="185" t="s">
        <v>3023</v>
      </c>
      <c r="D412" s="133" t="s">
        <v>3475</v>
      </c>
      <c r="E412" s="134">
        <v>1</v>
      </c>
      <c r="F412" s="135" t="s">
        <v>1449</v>
      </c>
      <c r="G412" s="185" t="s">
        <v>15</v>
      </c>
      <c r="H412" s="185" t="s">
        <v>15</v>
      </c>
      <c r="I412" s="185" t="s">
        <v>15</v>
      </c>
      <c r="J412" s="135" t="s">
        <v>1450</v>
      </c>
      <c r="K412" s="186">
        <v>1812</v>
      </c>
      <c r="L412" s="187" t="s">
        <v>173</v>
      </c>
      <c r="M412" s="187" t="s">
        <v>175</v>
      </c>
    </row>
    <row r="413" spans="1:13" s="188" customFormat="1">
      <c r="A413" s="185" t="s">
        <v>1447</v>
      </c>
      <c r="B413" s="133" t="s">
        <v>3478</v>
      </c>
      <c r="C413" s="185" t="s">
        <v>3023</v>
      </c>
      <c r="D413" s="133" t="s">
        <v>3475</v>
      </c>
      <c r="E413" s="134">
        <v>1</v>
      </c>
      <c r="F413" s="135" t="s">
        <v>1449</v>
      </c>
      <c r="G413" s="185" t="s">
        <v>15</v>
      </c>
      <c r="H413" s="185" t="s">
        <v>15</v>
      </c>
      <c r="I413" s="185" t="s">
        <v>15</v>
      </c>
      <c r="J413" s="135" t="s">
        <v>1450</v>
      </c>
      <c r="K413" s="186">
        <v>1428</v>
      </c>
      <c r="L413" s="187" t="s">
        <v>173</v>
      </c>
      <c r="M413" s="187" t="s">
        <v>175</v>
      </c>
    </row>
    <row r="414" spans="1:13" s="188" customFormat="1">
      <c r="A414" s="185" t="s">
        <v>1447</v>
      </c>
      <c r="B414" s="133" t="s">
        <v>3479</v>
      </c>
      <c r="C414" s="185" t="s">
        <v>3023</v>
      </c>
      <c r="D414" s="133" t="s">
        <v>3475</v>
      </c>
      <c r="E414" s="134">
        <v>1</v>
      </c>
      <c r="F414" s="135" t="s">
        <v>1449</v>
      </c>
      <c r="G414" s="185" t="s">
        <v>15</v>
      </c>
      <c r="H414" s="185" t="s">
        <v>15</v>
      </c>
      <c r="I414" s="185" t="s">
        <v>15</v>
      </c>
      <c r="J414" s="135" t="s">
        <v>1450</v>
      </c>
      <c r="K414" s="186">
        <v>732</v>
      </c>
      <c r="L414" s="187" t="s">
        <v>173</v>
      </c>
      <c r="M414" s="187" t="s">
        <v>175</v>
      </c>
    </row>
    <row r="415" spans="1:13" s="188" customFormat="1">
      <c r="A415" s="185" t="s">
        <v>1447</v>
      </c>
      <c r="B415" s="133" t="s">
        <v>3480</v>
      </c>
      <c r="C415" s="185" t="s">
        <v>3023</v>
      </c>
      <c r="D415" s="133" t="s">
        <v>1947</v>
      </c>
      <c r="E415" s="134">
        <v>1</v>
      </c>
      <c r="F415" s="135" t="s">
        <v>1449</v>
      </c>
      <c r="G415" s="185" t="s">
        <v>15</v>
      </c>
      <c r="H415" s="185" t="s">
        <v>15</v>
      </c>
      <c r="I415" s="185" t="s">
        <v>15</v>
      </c>
      <c r="J415" s="135" t="s">
        <v>1450</v>
      </c>
      <c r="K415" s="186">
        <v>29880</v>
      </c>
      <c r="L415" s="187" t="s">
        <v>173</v>
      </c>
      <c r="M415" s="187" t="s">
        <v>175</v>
      </c>
    </row>
    <row r="416" spans="1:13" s="188" customFormat="1">
      <c r="A416" s="185" t="s">
        <v>1447</v>
      </c>
      <c r="B416" s="133" t="s">
        <v>3481</v>
      </c>
      <c r="C416" s="185" t="s">
        <v>3023</v>
      </c>
      <c r="D416" s="133" t="s">
        <v>1947</v>
      </c>
      <c r="E416" s="134">
        <v>1</v>
      </c>
      <c r="F416" s="135" t="s">
        <v>1449</v>
      </c>
      <c r="G416" s="185" t="s">
        <v>15</v>
      </c>
      <c r="H416" s="185" t="s">
        <v>15</v>
      </c>
      <c r="I416" s="185" t="s">
        <v>15</v>
      </c>
      <c r="J416" s="135" t="s">
        <v>1450</v>
      </c>
      <c r="K416" s="186">
        <v>18360</v>
      </c>
      <c r="L416" s="187" t="s">
        <v>173</v>
      </c>
      <c r="M416" s="187" t="s">
        <v>175</v>
      </c>
    </row>
    <row r="417" spans="1:13" s="188" customFormat="1">
      <c r="A417" s="185" t="s">
        <v>1447</v>
      </c>
      <c r="B417" s="133" t="s">
        <v>3482</v>
      </c>
      <c r="C417" s="185" t="s">
        <v>3023</v>
      </c>
      <c r="D417" s="133" t="s">
        <v>1947</v>
      </c>
      <c r="E417" s="134">
        <v>1</v>
      </c>
      <c r="F417" s="135" t="s">
        <v>1449</v>
      </c>
      <c r="G417" s="185" t="s">
        <v>15</v>
      </c>
      <c r="H417" s="185" t="s">
        <v>15</v>
      </c>
      <c r="I417" s="185" t="s">
        <v>15</v>
      </c>
      <c r="J417" s="135" t="s">
        <v>1450</v>
      </c>
      <c r="K417" s="186">
        <v>11832</v>
      </c>
      <c r="L417" s="187" t="s">
        <v>173</v>
      </c>
      <c r="M417" s="187" t="s">
        <v>175</v>
      </c>
    </row>
    <row r="418" spans="1:13" s="188" customFormat="1">
      <c r="A418" s="185" t="s">
        <v>1447</v>
      </c>
      <c r="B418" s="133" t="s">
        <v>3483</v>
      </c>
      <c r="C418" s="185" t="s">
        <v>3023</v>
      </c>
      <c r="D418" s="133" t="s">
        <v>1947</v>
      </c>
      <c r="E418" s="134">
        <v>1</v>
      </c>
      <c r="F418" s="135" t="s">
        <v>1449</v>
      </c>
      <c r="G418" s="185" t="s">
        <v>15</v>
      </c>
      <c r="H418" s="185" t="s">
        <v>15</v>
      </c>
      <c r="I418" s="185" t="s">
        <v>15</v>
      </c>
      <c r="J418" s="135" t="s">
        <v>1450</v>
      </c>
      <c r="K418" s="186">
        <v>8712</v>
      </c>
      <c r="L418" s="187" t="s">
        <v>173</v>
      </c>
      <c r="M418" s="187" t="s">
        <v>175</v>
      </c>
    </row>
    <row r="419" spans="1:13" s="188" customFormat="1">
      <c r="A419" s="185" t="s">
        <v>1447</v>
      </c>
      <c r="B419" s="133" t="s">
        <v>3484</v>
      </c>
      <c r="C419" s="185" t="s">
        <v>3023</v>
      </c>
      <c r="D419" s="133" t="s">
        <v>1947</v>
      </c>
      <c r="E419" s="134">
        <v>1</v>
      </c>
      <c r="F419" s="135" t="s">
        <v>1449</v>
      </c>
      <c r="G419" s="185" t="s">
        <v>15</v>
      </c>
      <c r="H419" s="185" t="s">
        <v>15</v>
      </c>
      <c r="I419" s="185" t="s">
        <v>15</v>
      </c>
      <c r="J419" s="135" t="s">
        <v>1450</v>
      </c>
      <c r="K419" s="186">
        <v>7476</v>
      </c>
      <c r="L419" s="187" t="s">
        <v>173</v>
      </c>
      <c r="M419" s="187" t="s">
        <v>175</v>
      </c>
    </row>
    <row r="420" spans="1:13" s="188" customFormat="1">
      <c r="A420" s="185" t="s">
        <v>1447</v>
      </c>
      <c r="B420" s="133" t="s">
        <v>3485</v>
      </c>
      <c r="C420" s="185" t="s">
        <v>3023</v>
      </c>
      <c r="D420" s="133" t="s">
        <v>3486</v>
      </c>
      <c r="E420" s="134">
        <v>1</v>
      </c>
      <c r="F420" s="135" t="s">
        <v>1449</v>
      </c>
      <c r="G420" s="185" t="s">
        <v>15</v>
      </c>
      <c r="H420" s="185" t="s">
        <v>15</v>
      </c>
      <c r="I420" s="185" t="s">
        <v>15</v>
      </c>
      <c r="J420" s="135" t="s">
        <v>1450</v>
      </c>
      <c r="K420" s="186">
        <v>897264</v>
      </c>
      <c r="L420" s="187" t="s">
        <v>173</v>
      </c>
      <c r="M420" s="187" t="s">
        <v>175</v>
      </c>
    </row>
    <row r="421" spans="1:13" s="188" customFormat="1">
      <c r="A421" s="185" t="s">
        <v>1447</v>
      </c>
      <c r="B421" s="133" t="s">
        <v>3487</v>
      </c>
      <c r="C421" s="185" t="s">
        <v>3023</v>
      </c>
      <c r="D421" s="133" t="s">
        <v>3488</v>
      </c>
      <c r="E421" s="134">
        <v>1</v>
      </c>
      <c r="F421" s="135" t="s">
        <v>1449</v>
      </c>
      <c r="G421" s="185" t="s">
        <v>15</v>
      </c>
      <c r="H421" s="185" t="s">
        <v>15</v>
      </c>
      <c r="I421" s="185" t="s">
        <v>15</v>
      </c>
      <c r="J421" s="135" t="s">
        <v>1450</v>
      </c>
      <c r="K421" s="186">
        <v>1035012</v>
      </c>
      <c r="L421" s="187" t="s">
        <v>173</v>
      </c>
      <c r="M421" s="187" t="s">
        <v>175</v>
      </c>
    </row>
    <row r="422" spans="1:13" s="188" customFormat="1">
      <c r="A422" s="185" t="s">
        <v>1447</v>
      </c>
      <c r="B422" s="133" t="s">
        <v>3489</v>
      </c>
      <c r="C422" s="185" t="s">
        <v>3023</v>
      </c>
      <c r="D422" s="133" t="s">
        <v>3490</v>
      </c>
      <c r="E422" s="134">
        <v>1</v>
      </c>
      <c r="F422" s="135" t="s">
        <v>1449</v>
      </c>
      <c r="G422" s="185" t="s">
        <v>15</v>
      </c>
      <c r="H422" s="185" t="s">
        <v>15</v>
      </c>
      <c r="I422" s="185" t="s">
        <v>15</v>
      </c>
      <c r="J422" s="135" t="s">
        <v>1450</v>
      </c>
      <c r="K422" s="186">
        <v>1408548</v>
      </c>
      <c r="L422" s="187" t="s">
        <v>173</v>
      </c>
      <c r="M422" s="187" t="s">
        <v>175</v>
      </c>
    </row>
    <row r="423" spans="1:13" s="188" customFormat="1">
      <c r="A423" s="185" t="s">
        <v>1447</v>
      </c>
      <c r="B423" s="133" t="s">
        <v>3491</v>
      </c>
      <c r="C423" s="185" t="s">
        <v>3023</v>
      </c>
      <c r="D423" s="133" t="s">
        <v>3492</v>
      </c>
      <c r="E423" s="134">
        <v>1</v>
      </c>
      <c r="F423" s="135" t="s">
        <v>1449</v>
      </c>
      <c r="G423" s="185" t="s">
        <v>15</v>
      </c>
      <c r="H423" s="185" t="s">
        <v>15</v>
      </c>
      <c r="I423" s="185" t="s">
        <v>15</v>
      </c>
      <c r="J423" s="135" t="s">
        <v>1450</v>
      </c>
      <c r="K423" s="186">
        <v>2772</v>
      </c>
      <c r="L423" s="187" t="s">
        <v>173</v>
      </c>
      <c r="M423" s="187" t="s">
        <v>175</v>
      </c>
    </row>
    <row r="424" spans="1:13" s="188" customFormat="1">
      <c r="A424" s="185" t="s">
        <v>1447</v>
      </c>
      <c r="B424" s="133" t="s">
        <v>3493</v>
      </c>
      <c r="C424" s="185" t="s">
        <v>3023</v>
      </c>
      <c r="D424" s="133" t="s">
        <v>3492</v>
      </c>
      <c r="E424" s="134">
        <v>1</v>
      </c>
      <c r="F424" s="135" t="s">
        <v>1449</v>
      </c>
      <c r="G424" s="185" t="s">
        <v>15</v>
      </c>
      <c r="H424" s="185" t="s">
        <v>15</v>
      </c>
      <c r="I424" s="185" t="s">
        <v>15</v>
      </c>
      <c r="J424" s="135" t="s">
        <v>1450</v>
      </c>
      <c r="K424" s="186">
        <v>2244</v>
      </c>
      <c r="L424" s="187" t="s">
        <v>173</v>
      </c>
      <c r="M424" s="187" t="s">
        <v>175</v>
      </c>
    </row>
    <row r="425" spans="1:13" s="188" customFormat="1">
      <c r="A425" s="185" t="s">
        <v>1447</v>
      </c>
      <c r="B425" s="133" t="s">
        <v>3494</v>
      </c>
      <c r="C425" s="185" t="s">
        <v>3023</v>
      </c>
      <c r="D425" s="133" t="s">
        <v>3492</v>
      </c>
      <c r="E425" s="134">
        <v>1</v>
      </c>
      <c r="F425" s="135" t="s">
        <v>1449</v>
      </c>
      <c r="G425" s="185" t="s">
        <v>15</v>
      </c>
      <c r="H425" s="185" t="s">
        <v>15</v>
      </c>
      <c r="I425" s="185" t="s">
        <v>15</v>
      </c>
      <c r="J425" s="135" t="s">
        <v>1450</v>
      </c>
      <c r="K425" s="186">
        <v>2028</v>
      </c>
      <c r="L425" s="187" t="s">
        <v>173</v>
      </c>
      <c r="M425" s="187" t="s">
        <v>175</v>
      </c>
    </row>
    <row r="426" spans="1:13" s="188" customFormat="1">
      <c r="A426" s="185" t="s">
        <v>1447</v>
      </c>
      <c r="B426" s="133" t="s">
        <v>3495</v>
      </c>
      <c r="C426" s="185" t="s">
        <v>3023</v>
      </c>
      <c r="D426" s="133" t="s">
        <v>3496</v>
      </c>
      <c r="E426" s="134">
        <v>1</v>
      </c>
      <c r="F426" s="135" t="s">
        <v>1449</v>
      </c>
      <c r="G426" s="185" t="s">
        <v>15</v>
      </c>
      <c r="H426" s="185" t="s">
        <v>15</v>
      </c>
      <c r="I426" s="185" t="s">
        <v>15</v>
      </c>
      <c r="J426" s="135" t="s">
        <v>1450</v>
      </c>
      <c r="K426" s="186">
        <v>2772</v>
      </c>
      <c r="L426" s="187" t="s">
        <v>173</v>
      </c>
      <c r="M426" s="187" t="s">
        <v>175</v>
      </c>
    </row>
    <row r="427" spans="1:13" s="188" customFormat="1">
      <c r="A427" s="185" t="s">
        <v>1447</v>
      </c>
      <c r="B427" s="133" t="s">
        <v>3497</v>
      </c>
      <c r="C427" s="185" t="s">
        <v>3023</v>
      </c>
      <c r="D427" s="133" t="s">
        <v>3496</v>
      </c>
      <c r="E427" s="134">
        <v>1</v>
      </c>
      <c r="F427" s="135" t="s">
        <v>1449</v>
      </c>
      <c r="G427" s="185" t="s">
        <v>15</v>
      </c>
      <c r="H427" s="185" t="s">
        <v>15</v>
      </c>
      <c r="I427" s="185" t="s">
        <v>15</v>
      </c>
      <c r="J427" s="135" t="s">
        <v>1450</v>
      </c>
      <c r="K427" s="186">
        <v>2244</v>
      </c>
      <c r="L427" s="187" t="s">
        <v>173</v>
      </c>
      <c r="M427" s="187" t="s">
        <v>175</v>
      </c>
    </row>
    <row r="428" spans="1:13" s="188" customFormat="1">
      <c r="A428" s="185" t="s">
        <v>1447</v>
      </c>
      <c r="B428" s="133" t="s">
        <v>3498</v>
      </c>
      <c r="C428" s="185" t="s">
        <v>3023</v>
      </c>
      <c r="D428" s="133" t="s">
        <v>3496</v>
      </c>
      <c r="E428" s="134">
        <v>1</v>
      </c>
      <c r="F428" s="135" t="s">
        <v>1449</v>
      </c>
      <c r="G428" s="185" t="s">
        <v>15</v>
      </c>
      <c r="H428" s="185" t="s">
        <v>15</v>
      </c>
      <c r="I428" s="185" t="s">
        <v>15</v>
      </c>
      <c r="J428" s="135" t="s">
        <v>1450</v>
      </c>
      <c r="K428" s="186">
        <v>2028</v>
      </c>
      <c r="L428" s="187" t="s">
        <v>173</v>
      </c>
      <c r="M428" s="187" t="s">
        <v>175</v>
      </c>
    </row>
    <row r="429" spans="1:13" s="188" customFormat="1">
      <c r="A429" s="185" t="s">
        <v>1447</v>
      </c>
      <c r="B429" s="133" t="s">
        <v>3499</v>
      </c>
      <c r="C429" s="185" t="s">
        <v>3023</v>
      </c>
      <c r="D429" s="133" t="s">
        <v>3500</v>
      </c>
      <c r="E429" s="134">
        <v>1</v>
      </c>
      <c r="F429" s="135" t="s">
        <v>1449</v>
      </c>
      <c r="G429" s="185" t="s">
        <v>15</v>
      </c>
      <c r="H429" s="185" t="s">
        <v>15</v>
      </c>
      <c r="I429" s="185" t="s">
        <v>15</v>
      </c>
      <c r="J429" s="135" t="s">
        <v>1450</v>
      </c>
      <c r="K429" s="186">
        <v>323736</v>
      </c>
      <c r="L429" s="187" t="s">
        <v>173</v>
      </c>
      <c r="M429" s="187" t="s">
        <v>175</v>
      </c>
    </row>
    <row r="430" spans="1:13" s="188" customFormat="1">
      <c r="A430" s="185" t="s">
        <v>1447</v>
      </c>
      <c r="B430" s="133" t="s">
        <v>3501</v>
      </c>
      <c r="C430" s="185" t="s">
        <v>3023</v>
      </c>
      <c r="D430" s="133" t="s">
        <v>3502</v>
      </c>
      <c r="E430" s="134">
        <v>1</v>
      </c>
      <c r="F430" s="135" t="s">
        <v>1449</v>
      </c>
      <c r="G430" s="185" t="s">
        <v>15</v>
      </c>
      <c r="H430" s="185" t="s">
        <v>15</v>
      </c>
      <c r="I430" s="185" t="s">
        <v>15</v>
      </c>
      <c r="J430" s="135" t="s">
        <v>1450</v>
      </c>
      <c r="K430" s="186">
        <v>385992</v>
      </c>
      <c r="L430" s="187" t="s">
        <v>173</v>
      </c>
      <c r="M430" s="187" t="s">
        <v>175</v>
      </c>
    </row>
    <row r="431" spans="1:13" s="188" customFormat="1">
      <c r="A431" s="185" t="s">
        <v>1447</v>
      </c>
      <c r="B431" s="133" t="s">
        <v>3503</v>
      </c>
      <c r="C431" s="185" t="s">
        <v>3023</v>
      </c>
      <c r="D431" s="133" t="s">
        <v>3504</v>
      </c>
      <c r="E431" s="134">
        <v>1</v>
      </c>
      <c r="F431" s="135" t="s">
        <v>1449</v>
      </c>
      <c r="G431" s="185" t="s">
        <v>15</v>
      </c>
      <c r="H431" s="185" t="s">
        <v>15</v>
      </c>
      <c r="I431" s="185" t="s">
        <v>15</v>
      </c>
      <c r="J431" s="135" t="s">
        <v>1450</v>
      </c>
      <c r="K431" s="186">
        <v>423336</v>
      </c>
      <c r="L431" s="187" t="s">
        <v>173</v>
      </c>
      <c r="M431" s="187" t="s">
        <v>175</v>
      </c>
    </row>
    <row r="432" spans="1:13" s="188" customFormat="1">
      <c r="A432" s="185" t="s">
        <v>1447</v>
      </c>
      <c r="B432" s="133" t="s">
        <v>3505</v>
      </c>
      <c r="C432" s="185" t="s">
        <v>3023</v>
      </c>
      <c r="D432" s="133" t="s">
        <v>3506</v>
      </c>
      <c r="E432" s="134">
        <v>1</v>
      </c>
      <c r="F432" s="135" t="s">
        <v>1449</v>
      </c>
      <c r="G432" s="185" t="s">
        <v>15</v>
      </c>
      <c r="H432" s="185" t="s">
        <v>15</v>
      </c>
      <c r="I432" s="185" t="s">
        <v>15</v>
      </c>
      <c r="J432" s="135" t="s">
        <v>1450</v>
      </c>
      <c r="K432" s="186">
        <v>597660</v>
      </c>
      <c r="L432" s="187" t="s">
        <v>173</v>
      </c>
      <c r="M432" s="187" t="s">
        <v>175</v>
      </c>
    </row>
    <row r="433" spans="1:13" s="188" customFormat="1">
      <c r="A433" s="185" t="s">
        <v>1447</v>
      </c>
      <c r="B433" s="133" t="s">
        <v>3507</v>
      </c>
      <c r="C433" s="185" t="s">
        <v>3023</v>
      </c>
      <c r="D433" s="133" t="s">
        <v>3508</v>
      </c>
      <c r="E433" s="134">
        <v>1</v>
      </c>
      <c r="F433" s="135" t="s">
        <v>1449</v>
      </c>
      <c r="G433" s="185" t="s">
        <v>15</v>
      </c>
      <c r="H433" s="185" t="s">
        <v>15</v>
      </c>
      <c r="I433" s="185" t="s">
        <v>15</v>
      </c>
      <c r="J433" s="135" t="s">
        <v>1450</v>
      </c>
      <c r="K433" s="186">
        <v>199224</v>
      </c>
      <c r="L433" s="187" t="s">
        <v>173</v>
      </c>
      <c r="M433" s="187" t="s">
        <v>175</v>
      </c>
    </row>
    <row r="434" spans="1:13" s="188" customFormat="1">
      <c r="A434" s="185" t="s">
        <v>1447</v>
      </c>
      <c r="B434" s="133" t="s">
        <v>3509</v>
      </c>
      <c r="C434" s="185" t="s">
        <v>3023</v>
      </c>
      <c r="D434" s="133" t="s">
        <v>3510</v>
      </c>
      <c r="E434" s="134">
        <v>1</v>
      </c>
      <c r="F434" s="135" t="s">
        <v>1449</v>
      </c>
      <c r="G434" s="185" t="s">
        <v>15</v>
      </c>
      <c r="H434" s="185" t="s">
        <v>15</v>
      </c>
      <c r="I434" s="185" t="s">
        <v>15</v>
      </c>
      <c r="J434" s="135" t="s">
        <v>1450</v>
      </c>
      <c r="K434" s="186">
        <v>261480</v>
      </c>
      <c r="L434" s="187" t="s">
        <v>173</v>
      </c>
      <c r="M434" s="187" t="s">
        <v>175</v>
      </c>
    </row>
    <row r="435" spans="1:13" s="188" customFormat="1">
      <c r="A435" s="185" t="s">
        <v>1447</v>
      </c>
      <c r="B435" s="133" t="s">
        <v>3511</v>
      </c>
      <c r="C435" s="185" t="s">
        <v>3023</v>
      </c>
      <c r="D435" s="133" t="s">
        <v>3512</v>
      </c>
      <c r="E435" s="134">
        <v>1</v>
      </c>
      <c r="F435" s="135" t="s">
        <v>1449</v>
      </c>
      <c r="G435" s="185" t="s">
        <v>15</v>
      </c>
      <c r="H435" s="185" t="s">
        <v>15</v>
      </c>
      <c r="I435" s="185" t="s">
        <v>15</v>
      </c>
      <c r="J435" s="135" t="s">
        <v>1450</v>
      </c>
      <c r="K435" s="186">
        <v>2952</v>
      </c>
      <c r="L435" s="187" t="s">
        <v>173</v>
      </c>
      <c r="M435" s="187" t="s">
        <v>175</v>
      </c>
    </row>
    <row r="436" spans="1:13" s="188" customFormat="1">
      <c r="A436" s="185" t="s">
        <v>1447</v>
      </c>
      <c r="B436" s="133" t="s">
        <v>3513</v>
      </c>
      <c r="C436" s="185" t="s">
        <v>3023</v>
      </c>
      <c r="D436" s="133" t="s">
        <v>3512</v>
      </c>
      <c r="E436" s="134">
        <v>1</v>
      </c>
      <c r="F436" s="135" t="s">
        <v>1449</v>
      </c>
      <c r="G436" s="185" t="s">
        <v>15</v>
      </c>
      <c r="H436" s="185" t="s">
        <v>15</v>
      </c>
      <c r="I436" s="185" t="s">
        <v>15</v>
      </c>
      <c r="J436" s="135" t="s">
        <v>1450</v>
      </c>
      <c r="K436" s="186">
        <v>2184</v>
      </c>
      <c r="L436" s="187" t="s">
        <v>173</v>
      </c>
      <c r="M436" s="187" t="s">
        <v>175</v>
      </c>
    </row>
    <row r="437" spans="1:13" s="188" customFormat="1">
      <c r="A437" s="185" t="s">
        <v>1447</v>
      </c>
      <c r="B437" s="133" t="s">
        <v>3514</v>
      </c>
      <c r="C437" s="185" t="s">
        <v>3023</v>
      </c>
      <c r="D437" s="133" t="s">
        <v>3512</v>
      </c>
      <c r="E437" s="134">
        <v>1</v>
      </c>
      <c r="F437" s="135" t="s">
        <v>1449</v>
      </c>
      <c r="G437" s="185" t="s">
        <v>15</v>
      </c>
      <c r="H437" s="185" t="s">
        <v>15</v>
      </c>
      <c r="I437" s="185" t="s">
        <v>15</v>
      </c>
      <c r="J437" s="135" t="s">
        <v>1450</v>
      </c>
      <c r="K437" s="186">
        <v>1668</v>
      </c>
      <c r="L437" s="187" t="s">
        <v>173</v>
      </c>
      <c r="M437" s="187" t="s">
        <v>175</v>
      </c>
    </row>
    <row r="438" spans="1:13" s="188" customFormat="1">
      <c r="A438" s="185" t="s">
        <v>1447</v>
      </c>
      <c r="B438" s="133" t="s">
        <v>3515</v>
      </c>
      <c r="C438" s="185" t="s">
        <v>3023</v>
      </c>
      <c r="D438" s="133" t="s">
        <v>3512</v>
      </c>
      <c r="E438" s="134">
        <v>1</v>
      </c>
      <c r="F438" s="135" t="s">
        <v>1449</v>
      </c>
      <c r="G438" s="185" t="s">
        <v>15</v>
      </c>
      <c r="H438" s="185" t="s">
        <v>15</v>
      </c>
      <c r="I438" s="185" t="s">
        <v>15</v>
      </c>
      <c r="J438" s="135" t="s">
        <v>1450</v>
      </c>
      <c r="K438" s="186">
        <v>1128</v>
      </c>
      <c r="L438" s="187" t="s">
        <v>173</v>
      </c>
      <c r="M438" s="187" t="s">
        <v>175</v>
      </c>
    </row>
    <row r="439" spans="1:13" s="188" customFormat="1">
      <c r="A439" s="185" t="s">
        <v>1447</v>
      </c>
      <c r="B439" s="133" t="s">
        <v>3516</v>
      </c>
      <c r="C439" s="185" t="s">
        <v>3023</v>
      </c>
      <c r="D439" s="133" t="s">
        <v>3512</v>
      </c>
      <c r="E439" s="134">
        <v>1</v>
      </c>
      <c r="F439" s="135" t="s">
        <v>1449</v>
      </c>
      <c r="G439" s="185" t="s">
        <v>15</v>
      </c>
      <c r="H439" s="185" t="s">
        <v>15</v>
      </c>
      <c r="I439" s="185" t="s">
        <v>15</v>
      </c>
      <c r="J439" s="135" t="s">
        <v>1450</v>
      </c>
      <c r="K439" s="186">
        <v>816</v>
      </c>
      <c r="L439" s="187" t="s">
        <v>173</v>
      </c>
      <c r="M439" s="187" t="s">
        <v>175</v>
      </c>
    </row>
    <row r="440" spans="1:13" s="188" customFormat="1">
      <c r="A440" s="185" t="s">
        <v>1447</v>
      </c>
      <c r="B440" s="133" t="s">
        <v>3517</v>
      </c>
      <c r="C440" s="185" t="s">
        <v>3023</v>
      </c>
      <c r="D440" s="133" t="s">
        <v>3518</v>
      </c>
      <c r="E440" s="134">
        <v>1</v>
      </c>
      <c r="F440" s="135" t="s">
        <v>1449</v>
      </c>
      <c r="G440" s="185" t="s">
        <v>15</v>
      </c>
      <c r="H440" s="185" t="s">
        <v>15</v>
      </c>
      <c r="I440" s="185" t="s">
        <v>15</v>
      </c>
      <c r="J440" s="135" t="s">
        <v>1450</v>
      </c>
      <c r="K440" s="186">
        <v>2952</v>
      </c>
      <c r="L440" s="187" t="s">
        <v>173</v>
      </c>
      <c r="M440" s="187" t="s">
        <v>175</v>
      </c>
    </row>
    <row r="441" spans="1:13" s="188" customFormat="1">
      <c r="A441" s="185" t="s">
        <v>1447</v>
      </c>
      <c r="B441" s="133" t="s">
        <v>3519</v>
      </c>
      <c r="C441" s="185" t="s">
        <v>3023</v>
      </c>
      <c r="D441" s="133" t="s">
        <v>3518</v>
      </c>
      <c r="E441" s="134">
        <v>1</v>
      </c>
      <c r="F441" s="135" t="s">
        <v>1449</v>
      </c>
      <c r="G441" s="185" t="s">
        <v>15</v>
      </c>
      <c r="H441" s="185" t="s">
        <v>15</v>
      </c>
      <c r="I441" s="185" t="s">
        <v>15</v>
      </c>
      <c r="J441" s="135" t="s">
        <v>1450</v>
      </c>
      <c r="K441" s="186">
        <v>2184</v>
      </c>
      <c r="L441" s="187" t="s">
        <v>173</v>
      </c>
      <c r="M441" s="187" t="s">
        <v>175</v>
      </c>
    </row>
    <row r="442" spans="1:13" s="188" customFormat="1">
      <c r="A442" s="185" t="s">
        <v>1447</v>
      </c>
      <c r="B442" s="133" t="s">
        <v>3520</v>
      </c>
      <c r="C442" s="185" t="s">
        <v>3023</v>
      </c>
      <c r="D442" s="133" t="s">
        <v>3518</v>
      </c>
      <c r="E442" s="134">
        <v>1</v>
      </c>
      <c r="F442" s="135" t="s">
        <v>1449</v>
      </c>
      <c r="G442" s="185" t="s">
        <v>15</v>
      </c>
      <c r="H442" s="185" t="s">
        <v>15</v>
      </c>
      <c r="I442" s="185" t="s">
        <v>15</v>
      </c>
      <c r="J442" s="135" t="s">
        <v>1450</v>
      </c>
      <c r="K442" s="186">
        <v>1668</v>
      </c>
      <c r="L442" s="187" t="s">
        <v>173</v>
      </c>
      <c r="M442" s="187" t="s">
        <v>175</v>
      </c>
    </row>
    <row r="443" spans="1:13" s="188" customFormat="1">
      <c r="A443" s="185" t="s">
        <v>1447</v>
      </c>
      <c r="B443" s="133" t="s">
        <v>3521</v>
      </c>
      <c r="C443" s="185" t="s">
        <v>3023</v>
      </c>
      <c r="D443" s="133" t="s">
        <v>3518</v>
      </c>
      <c r="E443" s="134">
        <v>1</v>
      </c>
      <c r="F443" s="135" t="s">
        <v>1449</v>
      </c>
      <c r="G443" s="185" t="s">
        <v>15</v>
      </c>
      <c r="H443" s="185" t="s">
        <v>15</v>
      </c>
      <c r="I443" s="185" t="s">
        <v>15</v>
      </c>
      <c r="J443" s="135" t="s">
        <v>1450</v>
      </c>
      <c r="K443" s="186">
        <v>1128</v>
      </c>
      <c r="L443" s="187" t="s">
        <v>173</v>
      </c>
      <c r="M443" s="187" t="s">
        <v>175</v>
      </c>
    </row>
    <row r="444" spans="1:13" s="188" customFormat="1">
      <c r="A444" s="185" t="s">
        <v>1447</v>
      </c>
      <c r="B444" s="133" t="s">
        <v>3522</v>
      </c>
      <c r="C444" s="185" t="s">
        <v>3023</v>
      </c>
      <c r="D444" s="133" t="s">
        <v>3518</v>
      </c>
      <c r="E444" s="134">
        <v>1</v>
      </c>
      <c r="F444" s="135" t="s">
        <v>1449</v>
      </c>
      <c r="G444" s="185" t="s">
        <v>15</v>
      </c>
      <c r="H444" s="185" t="s">
        <v>15</v>
      </c>
      <c r="I444" s="185" t="s">
        <v>15</v>
      </c>
      <c r="J444" s="135" t="s">
        <v>1450</v>
      </c>
      <c r="K444" s="186">
        <v>816</v>
      </c>
      <c r="L444" s="187" t="s">
        <v>173</v>
      </c>
      <c r="M444" s="187" t="s">
        <v>175</v>
      </c>
    </row>
    <row r="445" spans="1:13" s="188" customFormat="1">
      <c r="A445" s="185" t="s">
        <v>1447</v>
      </c>
      <c r="B445" s="133" t="s">
        <v>3523</v>
      </c>
      <c r="C445" s="185" t="s">
        <v>3023</v>
      </c>
      <c r="D445" s="133" t="s">
        <v>3524</v>
      </c>
      <c r="E445" s="134">
        <v>1</v>
      </c>
      <c r="F445" s="135" t="s">
        <v>1449</v>
      </c>
      <c r="G445" s="185" t="s">
        <v>15</v>
      </c>
      <c r="H445" s="185" t="s">
        <v>15</v>
      </c>
      <c r="I445" s="185" t="s">
        <v>15</v>
      </c>
      <c r="J445" s="135" t="s">
        <v>1450</v>
      </c>
      <c r="K445" s="186">
        <v>2952</v>
      </c>
      <c r="L445" s="187" t="s">
        <v>173</v>
      </c>
      <c r="M445" s="187" t="s">
        <v>175</v>
      </c>
    </row>
    <row r="446" spans="1:13" s="188" customFormat="1">
      <c r="A446" s="185" t="s">
        <v>1447</v>
      </c>
      <c r="B446" s="133" t="s">
        <v>3525</v>
      </c>
      <c r="C446" s="185" t="s">
        <v>3023</v>
      </c>
      <c r="D446" s="133" t="s">
        <v>3524</v>
      </c>
      <c r="E446" s="134">
        <v>1</v>
      </c>
      <c r="F446" s="135" t="s">
        <v>1449</v>
      </c>
      <c r="G446" s="185" t="s">
        <v>15</v>
      </c>
      <c r="H446" s="185" t="s">
        <v>15</v>
      </c>
      <c r="I446" s="185" t="s">
        <v>15</v>
      </c>
      <c r="J446" s="135" t="s">
        <v>1450</v>
      </c>
      <c r="K446" s="186">
        <v>2304</v>
      </c>
      <c r="L446" s="187" t="s">
        <v>173</v>
      </c>
      <c r="M446" s="187" t="s">
        <v>175</v>
      </c>
    </row>
    <row r="447" spans="1:13" s="188" customFormat="1">
      <c r="A447" s="185" t="s">
        <v>1447</v>
      </c>
      <c r="B447" s="133" t="s">
        <v>3526</v>
      </c>
      <c r="C447" s="185" t="s">
        <v>3023</v>
      </c>
      <c r="D447" s="133" t="s">
        <v>3524</v>
      </c>
      <c r="E447" s="134">
        <v>1</v>
      </c>
      <c r="F447" s="135" t="s">
        <v>1449</v>
      </c>
      <c r="G447" s="185" t="s">
        <v>15</v>
      </c>
      <c r="H447" s="185" t="s">
        <v>15</v>
      </c>
      <c r="I447" s="185" t="s">
        <v>15</v>
      </c>
      <c r="J447" s="135" t="s">
        <v>1450</v>
      </c>
      <c r="K447" s="186">
        <v>1968</v>
      </c>
      <c r="L447" s="187" t="s">
        <v>173</v>
      </c>
      <c r="M447" s="187" t="s">
        <v>175</v>
      </c>
    </row>
    <row r="448" spans="1:13" s="188" customFormat="1">
      <c r="A448" s="185" t="s">
        <v>1447</v>
      </c>
      <c r="B448" s="133" t="s">
        <v>3527</v>
      </c>
      <c r="C448" s="185" t="s">
        <v>3023</v>
      </c>
      <c r="D448" s="133" t="s">
        <v>3524</v>
      </c>
      <c r="E448" s="134">
        <v>1</v>
      </c>
      <c r="F448" s="135" t="s">
        <v>1449</v>
      </c>
      <c r="G448" s="185" t="s">
        <v>15</v>
      </c>
      <c r="H448" s="185" t="s">
        <v>15</v>
      </c>
      <c r="I448" s="185" t="s">
        <v>15</v>
      </c>
      <c r="J448" s="135" t="s">
        <v>1450</v>
      </c>
      <c r="K448" s="186">
        <v>1560</v>
      </c>
      <c r="L448" s="187" t="s">
        <v>173</v>
      </c>
      <c r="M448" s="187" t="s">
        <v>175</v>
      </c>
    </row>
    <row r="449" spans="1:13" s="188" customFormat="1">
      <c r="A449" s="185" t="s">
        <v>1447</v>
      </c>
      <c r="B449" s="133" t="s">
        <v>3528</v>
      </c>
      <c r="C449" s="185" t="s">
        <v>3023</v>
      </c>
      <c r="D449" s="133" t="s">
        <v>3524</v>
      </c>
      <c r="E449" s="134">
        <v>1</v>
      </c>
      <c r="F449" s="135" t="s">
        <v>1449</v>
      </c>
      <c r="G449" s="185" t="s">
        <v>15</v>
      </c>
      <c r="H449" s="185" t="s">
        <v>15</v>
      </c>
      <c r="I449" s="185" t="s">
        <v>15</v>
      </c>
      <c r="J449" s="135" t="s">
        <v>1450</v>
      </c>
      <c r="K449" s="186">
        <v>1152</v>
      </c>
      <c r="L449" s="187" t="s">
        <v>173</v>
      </c>
      <c r="M449" s="187" t="s">
        <v>175</v>
      </c>
    </row>
    <row r="450" spans="1:13" s="188" customFormat="1">
      <c r="A450" s="185" t="s">
        <v>1447</v>
      </c>
      <c r="B450" s="133" t="s">
        <v>3529</v>
      </c>
      <c r="C450" s="185" t="s">
        <v>3023</v>
      </c>
      <c r="D450" s="133" t="s">
        <v>1911</v>
      </c>
      <c r="E450" s="134">
        <v>1</v>
      </c>
      <c r="F450" s="135" t="s">
        <v>1449</v>
      </c>
      <c r="G450" s="185" t="s">
        <v>15</v>
      </c>
      <c r="H450" s="185" t="s">
        <v>15</v>
      </c>
      <c r="I450" s="185" t="s">
        <v>15</v>
      </c>
      <c r="J450" s="135" t="s">
        <v>1450</v>
      </c>
      <c r="K450" s="186">
        <v>14412</v>
      </c>
      <c r="L450" s="187" t="s">
        <v>173</v>
      </c>
      <c r="M450" s="187" t="s">
        <v>175</v>
      </c>
    </row>
    <row r="451" spans="1:13" s="188" customFormat="1">
      <c r="A451" s="185" t="s">
        <v>1447</v>
      </c>
      <c r="B451" s="133" t="s">
        <v>3530</v>
      </c>
      <c r="C451" s="185" t="s">
        <v>3023</v>
      </c>
      <c r="D451" s="133" t="s">
        <v>1911</v>
      </c>
      <c r="E451" s="134">
        <v>1</v>
      </c>
      <c r="F451" s="135" t="s">
        <v>1449</v>
      </c>
      <c r="G451" s="185" t="s">
        <v>15</v>
      </c>
      <c r="H451" s="185" t="s">
        <v>15</v>
      </c>
      <c r="I451" s="185" t="s">
        <v>15</v>
      </c>
      <c r="J451" s="135" t="s">
        <v>1450</v>
      </c>
      <c r="K451" s="186">
        <v>12108</v>
      </c>
      <c r="L451" s="187" t="s">
        <v>173</v>
      </c>
      <c r="M451" s="187" t="s">
        <v>175</v>
      </c>
    </row>
    <row r="452" spans="1:13" s="188" customFormat="1">
      <c r="A452" s="185" t="s">
        <v>1447</v>
      </c>
      <c r="B452" s="133" t="s">
        <v>3531</v>
      </c>
      <c r="C452" s="185" t="s">
        <v>3023</v>
      </c>
      <c r="D452" s="133" t="s">
        <v>1911</v>
      </c>
      <c r="E452" s="134">
        <v>1</v>
      </c>
      <c r="F452" s="135" t="s">
        <v>1449</v>
      </c>
      <c r="G452" s="185" t="s">
        <v>15</v>
      </c>
      <c r="H452" s="185" t="s">
        <v>15</v>
      </c>
      <c r="I452" s="185" t="s">
        <v>15</v>
      </c>
      <c r="J452" s="135" t="s">
        <v>1450</v>
      </c>
      <c r="K452" s="186">
        <v>10080</v>
      </c>
      <c r="L452" s="187" t="s">
        <v>173</v>
      </c>
      <c r="M452" s="187" t="s">
        <v>175</v>
      </c>
    </row>
    <row r="453" spans="1:13" s="188" customFormat="1">
      <c r="A453" s="185" t="s">
        <v>1447</v>
      </c>
      <c r="B453" s="133" t="s">
        <v>3532</v>
      </c>
      <c r="C453" s="185" t="s">
        <v>3023</v>
      </c>
      <c r="D453" s="133" t="s">
        <v>1911</v>
      </c>
      <c r="E453" s="134">
        <v>1</v>
      </c>
      <c r="F453" s="135" t="s">
        <v>1449</v>
      </c>
      <c r="G453" s="185" t="s">
        <v>15</v>
      </c>
      <c r="H453" s="185" t="s">
        <v>15</v>
      </c>
      <c r="I453" s="185" t="s">
        <v>15</v>
      </c>
      <c r="J453" s="135" t="s">
        <v>1450</v>
      </c>
      <c r="K453" s="186">
        <v>6348</v>
      </c>
      <c r="L453" s="187" t="s">
        <v>173</v>
      </c>
      <c r="M453" s="187" t="s">
        <v>175</v>
      </c>
    </row>
    <row r="454" spans="1:13" s="188" customFormat="1">
      <c r="A454" s="185" t="s">
        <v>1447</v>
      </c>
      <c r="B454" s="133" t="s">
        <v>3533</v>
      </c>
      <c r="C454" s="185" t="s">
        <v>3023</v>
      </c>
      <c r="D454" s="133" t="s">
        <v>3534</v>
      </c>
      <c r="E454" s="134">
        <v>1</v>
      </c>
      <c r="F454" s="135" t="s">
        <v>1449</v>
      </c>
      <c r="G454" s="185" t="s">
        <v>15</v>
      </c>
      <c r="H454" s="185" t="s">
        <v>15</v>
      </c>
      <c r="I454" s="185" t="s">
        <v>15</v>
      </c>
      <c r="J454" s="135" t="s">
        <v>1450</v>
      </c>
      <c r="K454" s="186">
        <v>9228</v>
      </c>
      <c r="L454" s="187" t="s">
        <v>173</v>
      </c>
      <c r="M454" s="187" t="s">
        <v>175</v>
      </c>
    </row>
    <row r="455" spans="1:13" s="188" customFormat="1">
      <c r="A455" s="185" t="s">
        <v>1447</v>
      </c>
      <c r="B455" s="133" t="s">
        <v>3535</v>
      </c>
      <c r="C455" s="185" t="s">
        <v>3023</v>
      </c>
      <c r="D455" s="133" t="s">
        <v>3534</v>
      </c>
      <c r="E455" s="134">
        <v>1</v>
      </c>
      <c r="F455" s="135" t="s">
        <v>1449</v>
      </c>
      <c r="G455" s="185" t="s">
        <v>15</v>
      </c>
      <c r="H455" s="185" t="s">
        <v>15</v>
      </c>
      <c r="I455" s="185" t="s">
        <v>15</v>
      </c>
      <c r="J455" s="135" t="s">
        <v>1450</v>
      </c>
      <c r="K455" s="186">
        <v>6912</v>
      </c>
      <c r="L455" s="187" t="s">
        <v>173</v>
      </c>
      <c r="M455" s="187" t="s">
        <v>175</v>
      </c>
    </row>
    <row r="456" spans="1:13" s="188" customFormat="1">
      <c r="A456" s="185" t="s">
        <v>1447</v>
      </c>
      <c r="B456" s="133" t="s">
        <v>3536</v>
      </c>
      <c r="C456" s="185" t="s">
        <v>3023</v>
      </c>
      <c r="D456" s="133" t="s">
        <v>3534</v>
      </c>
      <c r="E456" s="134">
        <v>1</v>
      </c>
      <c r="F456" s="135" t="s">
        <v>1449</v>
      </c>
      <c r="G456" s="185" t="s">
        <v>15</v>
      </c>
      <c r="H456" s="185" t="s">
        <v>15</v>
      </c>
      <c r="I456" s="185" t="s">
        <v>15</v>
      </c>
      <c r="J456" s="135" t="s">
        <v>1450</v>
      </c>
      <c r="K456" s="186">
        <v>6324</v>
      </c>
      <c r="L456" s="187" t="s">
        <v>173</v>
      </c>
      <c r="M456" s="187" t="s">
        <v>175</v>
      </c>
    </row>
    <row r="457" spans="1:13" s="188" customFormat="1">
      <c r="A457" s="185" t="s">
        <v>1447</v>
      </c>
      <c r="B457" s="133" t="s">
        <v>3537</v>
      </c>
      <c r="C457" s="185" t="s">
        <v>3023</v>
      </c>
      <c r="D457" s="133" t="s">
        <v>3534</v>
      </c>
      <c r="E457" s="134">
        <v>1</v>
      </c>
      <c r="F457" s="135" t="s">
        <v>1449</v>
      </c>
      <c r="G457" s="185" t="s">
        <v>15</v>
      </c>
      <c r="H457" s="185" t="s">
        <v>15</v>
      </c>
      <c r="I457" s="185" t="s">
        <v>15</v>
      </c>
      <c r="J457" s="135" t="s">
        <v>1450</v>
      </c>
      <c r="K457" s="186">
        <v>5184</v>
      </c>
      <c r="L457" s="187" t="s">
        <v>173</v>
      </c>
      <c r="M457" s="187" t="s">
        <v>175</v>
      </c>
    </row>
    <row r="458" spans="1:13" s="188" customFormat="1">
      <c r="A458" s="185" t="s">
        <v>1447</v>
      </c>
      <c r="B458" s="133" t="s">
        <v>3538</v>
      </c>
      <c r="C458" s="185" t="s">
        <v>3023</v>
      </c>
      <c r="D458" s="133" t="s">
        <v>3539</v>
      </c>
      <c r="E458" s="134">
        <v>1</v>
      </c>
      <c r="F458" s="135" t="s">
        <v>1449</v>
      </c>
      <c r="G458" s="185" t="s">
        <v>15</v>
      </c>
      <c r="H458" s="185" t="s">
        <v>15</v>
      </c>
      <c r="I458" s="185" t="s">
        <v>15</v>
      </c>
      <c r="J458" s="135" t="s">
        <v>1450</v>
      </c>
      <c r="K458" s="186">
        <v>16.559999999999999</v>
      </c>
      <c r="L458" s="187" t="s">
        <v>173</v>
      </c>
      <c r="M458" s="187" t="s">
        <v>175</v>
      </c>
    </row>
    <row r="459" spans="1:13" s="188" customFormat="1">
      <c r="A459" s="185" t="s">
        <v>1447</v>
      </c>
      <c r="B459" s="133" t="s">
        <v>3540</v>
      </c>
      <c r="C459" s="185" t="s">
        <v>3023</v>
      </c>
      <c r="D459" s="133" t="s">
        <v>3539</v>
      </c>
      <c r="E459" s="134">
        <v>1</v>
      </c>
      <c r="F459" s="135" t="s">
        <v>1449</v>
      </c>
      <c r="G459" s="185" t="s">
        <v>15</v>
      </c>
      <c r="H459" s="185" t="s">
        <v>15</v>
      </c>
      <c r="I459" s="185" t="s">
        <v>15</v>
      </c>
      <c r="J459" s="135" t="s">
        <v>1450</v>
      </c>
      <c r="K459" s="186">
        <v>12.48</v>
      </c>
      <c r="L459" s="187" t="s">
        <v>173</v>
      </c>
      <c r="M459" s="187" t="s">
        <v>175</v>
      </c>
    </row>
    <row r="460" spans="1:13" s="188" customFormat="1">
      <c r="A460" s="185" t="s">
        <v>1447</v>
      </c>
      <c r="B460" s="133" t="s">
        <v>3541</v>
      </c>
      <c r="C460" s="185" t="s">
        <v>3023</v>
      </c>
      <c r="D460" s="133" t="s">
        <v>3539</v>
      </c>
      <c r="E460" s="134">
        <v>1</v>
      </c>
      <c r="F460" s="135" t="s">
        <v>1449</v>
      </c>
      <c r="G460" s="185" t="s">
        <v>15</v>
      </c>
      <c r="H460" s="185" t="s">
        <v>15</v>
      </c>
      <c r="I460" s="185" t="s">
        <v>15</v>
      </c>
      <c r="J460" s="135" t="s">
        <v>1450</v>
      </c>
      <c r="K460" s="186">
        <v>9.36</v>
      </c>
      <c r="L460" s="187" t="s">
        <v>173</v>
      </c>
      <c r="M460" s="187" t="s">
        <v>175</v>
      </c>
    </row>
    <row r="461" spans="1:13" s="188" customFormat="1">
      <c r="A461" s="185" t="s">
        <v>1447</v>
      </c>
      <c r="B461" s="133" t="s">
        <v>3542</v>
      </c>
      <c r="C461" s="185" t="s">
        <v>3023</v>
      </c>
      <c r="D461" s="133" t="s">
        <v>3539</v>
      </c>
      <c r="E461" s="134">
        <v>1</v>
      </c>
      <c r="F461" s="135" t="s">
        <v>1449</v>
      </c>
      <c r="G461" s="185" t="s">
        <v>15</v>
      </c>
      <c r="H461" s="185" t="s">
        <v>15</v>
      </c>
      <c r="I461" s="185" t="s">
        <v>15</v>
      </c>
      <c r="J461" s="135" t="s">
        <v>1450</v>
      </c>
      <c r="K461" s="186">
        <v>6.9599999999999991</v>
      </c>
      <c r="L461" s="187" t="s">
        <v>173</v>
      </c>
      <c r="M461" s="187" t="s">
        <v>175</v>
      </c>
    </row>
    <row r="462" spans="1:13" s="188" customFormat="1">
      <c r="A462" s="185" t="s">
        <v>1447</v>
      </c>
      <c r="B462" s="133" t="s">
        <v>3543</v>
      </c>
      <c r="C462" s="185" t="s">
        <v>3023</v>
      </c>
      <c r="D462" s="133" t="s">
        <v>3539</v>
      </c>
      <c r="E462" s="134">
        <v>1</v>
      </c>
      <c r="F462" s="135" t="s">
        <v>1449</v>
      </c>
      <c r="G462" s="185" t="s">
        <v>15</v>
      </c>
      <c r="H462" s="185" t="s">
        <v>15</v>
      </c>
      <c r="I462" s="185" t="s">
        <v>15</v>
      </c>
      <c r="J462" s="135" t="s">
        <v>1450</v>
      </c>
      <c r="K462" s="186">
        <v>4.68</v>
      </c>
      <c r="L462" s="187" t="s">
        <v>173</v>
      </c>
      <c r="M462" s="187" t="s">
        <v>175</v>
      </c>
    </row>
    <row r="463" spans="1:13" s="188" customFormat="1">
      <c r="A463" s="185" t="s">
        <v>1447</v>
      </c>
      <c r="B463" s="133" t="s">
        <v>3544</v>
      </c>
      <c r="C463" s="185" t="s">
        <v>3023</v>
      </c>
      <c r="D463" s="133" t="s">
        <v>1925</v>
      </c>
      <c r="E463" s="134">
        <v>1</v>
      </c>
      <c r="F463" s="135" t="s">
        <v>1449</v>
      </c>
      <c r="G463" s="185" t="s">
        <v>15</v>
      </c>
      <c r="H463" s="185" t="s">
        <v>15</v>
      </c>
      <c r="I463" s="185" t="s">
        <v>15</v>
      </c>
      <c r="J463" s="135" t="s">
        <v>1450</v>
      </c>
      <c r="K463" s="186">
        <v>14412</v>
      </c>
      <c r="L463" s="187" t="s">
        <v>173</v>
      </c>
      <c r="M463" s="187" t="s">
        <v>175</v>
      </c>
    </row>
    <row r="464" spans="1:13" s="188" customFormat="1">
      <c r="A464" s="185" t="s">
        <v>1447</v>
      </c>
      <c r="B464" s="133" t="s">
        <v>3545</v>
      </c>
      <c r="C464" s="185" t="s">
        <v>3023</v>
      </c>
      <c r="D464" s="133" t="s">
        <v>1925</v>
      </c>
      <c r="E464" s="134">
        <v>1</v>
      </c>
      <c r="F464" s="135" t="s">
        <v>1449</v>
      </c>
      <c r="G464" s="185" t="s">
        <v>15</v>
      </c>
      <c r="H464" s="185" t="s">
        <v>15</v>
      </c>
      <c r="I464" s="185" t="s">
        <v>15</v>
      </c>
      <c r="J464" s="135" t="s">
        <v>1450</v>
      </c>
      <c r="K464" s="186">
        <v>12108</v>
      </c>
      <c r="L464" s="187" t="s">
        <v>173</v>
      </c>
      <c r="M464" s="187" t="s">
        <v>175</v>
      </c>
    </row>
    <row r="465" spans="1:13" s="188" customFormat="1">
      <c r="A465" s="185" t="s">
        <v>1447</v>
      </c>
      <c r="B465" s="133" t="s">
        <v>3546</v>
      </c>
      <c r="C465" s="185" t="s">
        <v>3023</v>
      </c>
      <c r="D465" s="133" t="s">
        <v>1925</v>
      </c>
      <c r="E465" s="134">
        <v>1</v>
      </c>
      <c r="F465" s="135" t="s">
        <v>1449</v>
      </c>
      <c r="G465" s="185" t="s">
        <v>15</v>
      </c>
      <c r="H465" s="185" t="s">
        <v>15</v>
      </c>
      <c r="I465" s="185" t="s">
        <v>15</v>
      </c>
      <c r="J465" s="135" t="s">
        <v>1450</v>
      </c>
      <c r="K465" s="186">
        <v>10080</v>
      </c>
      <c r="L465" s="187" t="s">
        <v>173</v>
      </c>
      <c r="M465" s="187" t="s">
        <v>175</v>
      </c>
    </row>
    <row r="466" spans="1:13" s="188" customFormat="1">
      <c r="A466" s="185" t="s">
        <v>1447</v>
      </c>
      <c r="B466" s="133" t="s">
        <v>3547</v>
      </c>
      <c r="C466" s="185" t="s">
        <v>3023</v>
      </c>
      <c r="D466" s="133" t="s">
        <v>1925</v>
      </c>
      <c r="E466" s="134">
        <v>1</v>
      </c>
      <c r="F466" s="135" t="s">
        <v>1449</v>
      </c>
      <c r="G466" s="185" t="s">
        <v>15</v>
      </c>
      <c r="H466" s="185" t="s">
        <v>15</v>
      </c>
      <c r="I466" s="185" t="s">
        <v>15</v>
      </c>
      <c r="J466" s="135" t="s">
        <v>1450</v>
      </c>
      <c r="K466" s="186">
        <v>6348</v>
      </c>
      <c r="L466" s="187" t="s">
        <v>173</v>
      </c>
      <c r="M466" s="187" t="s">
        <v>175</v>
      </c>
    </row>
    <row r="467" spans="1:13" s="188" customFormat="1">
      <c r="A467" s="185" t="s">
        <v>1447</v>
      </c>
      <c r="B467" s="133" t="s">
        <v>3548</v>
      </c>
      <c r="C467" s="185" t="s">
        <v>3023</v>
      </c>
      <c r="D467" s="133" t="s">
        <v>1943</v>
      </c>
      <c r="E467" s="134">
        <v>1</v>
      </c>
      <c r="F467" s="135" t="s">
        <v>1449</v>
      </c>
      <c r="G467" s="185" t="s">
        <v>15</v>
      </c>
      <c r="H467" s="185" t="s">
        <v>15</v>
      </c>
      <c r="I467" s="185" t="s">
        <v>15</v>
      </c>
      <c r="J467" s="135" t="s">
        <v>1450</v>
      </c>
      <c r="K467" s="186">
        <v>16812</v>
      </c>
      <c r="L467" s="187" t="s">
        <v>173</v>
      </c>
      <c r="M467" s="187" t="s">
        <v>175</v>
      </c>
    </row>
    <row r="468" spans="1:13" s="188" customFormat="1">
      <c r="A468" s="185" t="s">
        <v>1447</v>
      </c>
      <c r="B468" s="133" t="s">
        <v>3549</v>
      </c>
      <c r="C468" s="185" t="s">
        <v>3023</v>
      </c>
      <c r="D468" s="133" t="s">
        <v>1943</v>
      </c>
      <c r="E468" s="134">
        <v>1</v>
      </c>
      <c r="F468" s="135" t="s">
        <v>1449</v>
      </c>
      <c r="G468" s="185" t="s">
        <v>15</v>
      </c>
      <c r="H468" s="185" t="s">
        <v>15</v>
      </c>
      <c r="I468" s="185" t="s">
        <v>15</v>
      </c>
      <c r="J468" s="135" t="s">
        <v>1450</v>
      </c>
      <c r="K468" s="186">
        <v>11700</v>
      </c>
      <c r="L468" s="187" t="s">
        <v>173</v>
      </c>
      <c r="M468" s="187" t="s">
        <v>175</v>
      </c>
    </row>
    <row r="469" spans="1:13" s="188" customFormat="1">
      <c r="A469" s="185" t="s">
        <v>1447</v>
      </c>
      <c r="B469" s="133" t="s">
        <v>3550</v>
      </c>
      <c r="C469" s="185" t="s">
        <v>3023</v>
      </c>
      <c r="D469" s="133" t="s">
        <v>1943</v>
      </c>
      <c r="E469" s="134">
        <v>1</v>
      </c>
      <c r="F469" s="135" t="s">
        <v>1449</v>
      </c>
      <c r="G469" s="185" t="s">
        <v>15</v>
      </c>
      <c r="H469" s="185" t="s">
        <v>15</v>
      </c>
      <c r="I469" s="185" t="s">
        <v>15</v>
      </c>
      <c r="J469" s="135" t="s">
        <v>1450</v>
      </c>
      <c r="K469" s="186">
        <v>9336</v>
      </c>
      <c r="L469" s="187" t="s">
        <v>173</v>
      </c>
      <c r="M469" s="187" t="s">
        <v>175</v>
      </c>
    </row>
    <row r="470" spans="1:13" s="188" customFormat="1">
      <c r="A470" s="185" t="s">
        <v>1447</v>
      </c>
      <c r="B470" s="133" t="s">
        <v>3551</v>
      </c>
      <c r="C470" s="185" t="s">
        <v>3023</v>
      </c>
      <c r="D470" s="133" t="s">
        <v>1943</v>
      </c>
      <c r="E470" s="134">
        <v>1</v>
      </c>
      <c r="F470" s="135" t="s">
        <v>1449</v>
      </c>
      <c r="G470" s="185" t="s">
        <v>15</v>
      </c>
      <c r="H470" s="185" t="s">
        <v>15</v>
      </c>
      <c r="I470" s="185" t="s">
        <v>15</v>
      </c>
      <c r="J470" s="135" t="s">
        <v>1450</v>
      </c>
      <c r="K470" s="186">
        <v>7848</v>
      </c>
      <c r="L470" s="187" t="s">
        <v>173</v>
      </c>
      <c r="M470" s="187" t="s">
        <v>175</v>
      </c>
    </row>
    <row r="471" spans="1:13" s="188" customFormat="1">
      <c r="A471" s="185" t="s">
        <v>1447</v>
      </c>
      <c r="B471" s="133" t="s">
        <v>3552</v>
      </c>
      <c r="C471" s="185" t="s">
        <v>3023</v>
      </c>
      <c r="D471" s="133" t="s">
        <v>1943</v>
      </c>
      <c r="E471" s="134">
        <v>1</v>
      </c>
      <c r="F471" s="135" t="s">
        <v>1449</v>
      </c>
      <c r="G471" s="185" t="s">
        <v>15</v>
      </c>
      <c r="H471" s="185" t="s">
        <v>15</v>
      </c>
      <c r="I471" s="185" t="s">
        <v>15</v>
      </c>
      <c r="J471" s="135" t="s">
        <v>1450</v>
      </c>
      <c r="K471" s="186">
        <v>7272</v>
      </c>
      <c r="L471" s="187" t="s">
        <v>173</v>
      </c>
      <c r="M471" s="187" t="s">
        <v>175</v>
      </c>
    </row>
    <row r="472" spans="1:13" s="188" customFormat="1">
      <c r="A472" s="185" t="s">
        <v>1447</v>
      </c>
      <c r="B472" s="133" t="s">
        <v>3553</v>
      </c>
      <c r="C472" s="185" t="s">
        <v>3023</v>
      </c>
      <c r="D472" s="133" t="s">
        <v>1946</v>
      </c>
      <c r="E472" s="134">
        <v>1</v>
      </c>
      <c r="F472" s="135" t="s">
        <v>1449</v>
      </c>
      <c r="G472" s="185" t="s">
        <v>15</v>
      </c>
      <c r="H472" s="185" t="s">
        <v>15</v>
      </c>
      <c r="I472" s="185" t="s">
        <v>15</v>
      </c>
      <c r="J472" s="135" t="s">
        <v>1450</v>
      </c>
      <c r="K472" s="186">
        <v>62256</v>
      </c>
      <c r="L472" s="187" t="s">
        <v>173</v>
      </c>
      <c r="M472" s="187" t="s">
        <v>175</v>
      </c>
    </row>
    <row r="473" spans="1:13" s="188" customFormat="1">
      <c r="A473" s="185" t="s">
        <v>1447</v>
      </c>
      <c r="B473" s="133" t="s">
        <v>3554</v>
      </c>
      <c r="C473" s="185" t="s">
        <v>3023</v>
      </c>
      <c r="D473" s="133" t="s">
        <v>1946</v>
      </c>
      <c r="E473" s="134">
        <v>1</v>
      </c>
      <c r="F473" s="135" t="s">
        <v>1449</v>
      </c>
      <c r="G473" s="185" t="s">
        <v>15</v>
      </c>
      <c r="H473" s="185" t="s">
        <v>15</v>
      </c>
      <c r="I473" s="185" t="s">
        <v>15</v>
      </c>
      <c r="J473" s="135" t="s">
        <v>1450</v>
      </c>
      <c r="K473" s="186">
        <v>44508</v>
      </c>
      <c r="L473" s="187" t="s">
        <v>173</v>
      </c>
      <c r="M473" s="187" t="s">
        <v>175</v>
      </c>
    </row>
    <row r="474" spans="1:13" s="188" customFormat="1">
      <c r="A474" s="185" t="s">
        <v>1447</v>
      </c>
      <c r="B474" s="133" t="s">
        <v>3555</v>
      </c>
      <c r="C474" s="185" t="s">
        <v>3023</v>
      </c>
      <c r="D474" s="133" t="s">
        <v>1946</v>
      </c>
      <c r="E474" s="134">
        <v>1</v>
      </c>
      <c r="F474" s="135" t="s">
        <v>1449</v>
      </c>
      <c r="G474" s="185" t="s">
        <v>15</v>
      </c>
      <c r="H474" s="185" t="s">
        <v>15</v>
      </c>
      <c r="I474" s="185" t="s">
        <v>15</v>
      </c>
      <c r="J474" s="135" t="s">
        <v>1450</v>
      </c>
      <c r="K474" s="186">
        <v>27084</v>
      </c>
      <c r="L474" s="187" t="s">
        <v>173</v>
      </c>
      <c r="M474" s="187" t="s">
        <v>175</v>
      </c>
    </row>
    <row r="475" spans="1:13" s="188" customFormat="1">
      <c r="A475" s="185" t="s">
        <v>1447</v>
      </c>
      <c r="B475" s="133" t="s">
        <v>3556</v>
      </c>
      <c r="C475" s="185" t="s">
        <v>3023</v>
      </c>
      <c r="D475" s="133" t="s">
        <v>1946</v>
      </c>
      <c r="E475" s="134">
        <v>1</v>
      </c>
      <c r="F475" s="135" t="s">
        <v>1449</v>
      </c>
      <c r="G475" s="185" t="s">
        <v>15</v>
      </c>
      <c r="H475" s="185" t="s">
        <v>15</v>
      </c>
      <c r="I475" s="185" t="s">
        <v>15</v>
      </c>
      <c r="J475" s="135" t="s">
        <v>1450</v>
      </c>
      <c r="K475" s="186">
        <v>15564</v>
      </c>
      <c r="L475" s="187" t="s">
        <v>173</v>
      </c>
      <c r="M475" s="187" t="s">
        <v>175</v>
      </c>
    </row>
    <row r="476" spans="1:13" s="188" customFormat="1">
      <c r="A476" s="185" t="s">
        <v>1447</v>
      </c>
      <c r="B476" s="133" t="s">
        <v>3557</v>
      </c>
      <c r="C476" s="185" t="s">
        <v>3023</v>
      </c>
      <c r="D476" s="133" t="s">
        <v>1946</v>
      </c>
      <c r="E476" s="134">
        <v>1</v>
      </c>
      <c r="F476" s="135" t="s">
        <v>1449</v>
      </c>
      <c r="G476" s="185" t="s">
        <v>15</v>
      </c>
      <c r="H476" s="185" t="s">
        <v>15</v>
      </c>
      <c r="I476" s="185" t="s">
        <v>15</v>
      </c>
      <c r="J476" s="135" t="s">
        <v>1450</v>
      </c>
      <c r="K476" s="186">
        <v>10584</v>
      </c>
      <c r="L476" s="187" t="s">
        <v>173</v>
      </c>
      <c r="M476" s="187" t="s">
        <v>175</v>
      </c>
    </row>
    <row r="477" spans="1:13" s="188" customFormat="1">
      <c r="A477" s="185" t="s">
        <v>1447</v>
      </c>
      <c r="B477" s="133" t="s">
        <v>3558</v>
      </c>
      <c r="C477" s="185" t="s">
        <v>3023</v>
      </c>
      <c r="D477" s="133" t="s">
        <v>1946</v>
      </c>
      <c r="E477" s="134">
        <v>1</v>
      </c>
      <c r="F477" s="135" t="s">
        <v>1449</v>
      </c>
      <c r="G477" s="185" t="s">
        <v>15</v>
      </c>
      <c r="H477" s="185" t="s">
        <v>15</v>
      </c>
      <c r="I477" s="185" t="s">
        <v>15</v>
      </c>
      <c r="J477" s="135" t="s">
        <v>1450</v>
      </c>
      <c r="K477" s="186">
        <v>7164</v>
      </c>
      <c r="L477" s="187" t="s">
        <v>173</v>
      </c>
      <c r="M477" s="187" t="s">
        <v>175</v>
      </c>
    </row>
    <row r="478" spans="1:13" s="188" customFormat="1">
      <c r="A478" s="185" t="s">
        <v>1447</v>
      </c>
      <c r="B478" s="133" t="s">
        <v>3559</v>
      </c>
      <c r="C478" s="185" t="s">
        <v>3023</v>
      </c>
      <c r="D478" s="133" t="s">
        <v>1946</v>
      </c>
      <c r="E478" s="134">
        <v>1</v>
      </c>
      <c r="F478" s="135" t="s">
        <v>1449</v>
      </c>
      <c r="G478" s="185" t="s">
        <v>15</v>
      </c>
      <c r="H478" s="185" t="s">
        <v>15</v>
      </c>
      <c r="I478" s="185" t="s">
        <v>15</v>
      </c>
      <c r="J478" s="135" t="s">
        <v>1450</v>
      </c>
      <c r="K478" s="186">
        <v>5604</v>
      </c>
      <c r="L478" s="187" t="s">
        <v>173</v>
      </c>
      <c r="M478" s="187" t="s">
        <v>175</v>
      </c>
    </row>
    <row r="479" spans="1:13" s="188" customFormat="1">
      <c r="A479" s="185" t="s">
        <v>1447</v>
      </c>
      <c r="B479" s="133" t="s">
        <v>3560</v>
      </c>
      <c r="C479" s="185" t="s">
        <v>3023</v>
      </c>
      <c r="D479" s="133" t="s">
        <v>1946</v>
      </c>
      <c r="E479" s="134">
        <v>1</v>
      </c>
      <c r="F479" s="135" t="s">
        <v>1449</v>
      </c>
      <c r="G479" s="185" t="s">
        <v>15</v>
      </c>
      <c r="H479" s="185" t="s">
        <v>15</v>
      </c>
      <c r="I479" s="185" t="s">
        <v>15</v>
      </c>
      <c r="J479" s="135" t="s">
        <v>1450</v>
      </c>
      <c r="K479" s="186">
        <v>4356</v>
      </c>
      <c r="L479" s="187" t="s">
        <v>173</v>
      </c>
      <c r="M479" s="187" t="s">
        <v>175</v>
      </c>
    </row>
    <row r="480" spans="1:13" s="188" customFormat="1">
      <c r="A480" s="185" t="s">
        <v>1447</v>
      </c>
      <c r="B480" s="133" t="s">
        <v>3561</v>
      </c>
      <c r="C480" s="185" t="s">
        <v>3023</v>
      </c>
      <c r="D480" s="133" t="s">
        <v>3562</v>
      </c>
      <c r="E480" s="134">
        <v>1</v>
      </c>
      <c r="F480" s="135" t="s">
        <v>1449</v>
      </c>
      <c r="G480" s="185" t="s">
        <v>15</v>
      </c>
      <c r="H480" s="185" t="s">
        <v>15</v>
      </c>
      <c r="I480" s="185" t="s">
        <v>15</v>
      </c>
      <c r="J480" s="135" t="s">
        <v>1450</v>
      </c>
      <c r="K480" s="186">
        <v>9228</v>
      </c>
      <c r="L480" s="187" t="s">
        <v>173</v>
      </c>
      <c r="M480" s="187" t="s">
        <v>175</v>
      </c>
    </row>
    <row r="481" spans="1:13" s="188" customFormat="1">
      <c r="A481" s="185" t="s">
        <v>1447</v>
      </c>
      <c r="B481" s="133" t="s">
        <v>3563</v>
      </c>
      <c r="C481" s="185" t="s">
        <v>3023</v>
      </c>
      <c r="D481" s="133" t="s">
        <v>3562</v>
      </c>
      <c r="E481" s="134">
        <v>1</v>
      </c>
      <c r="F481" s="135" t="s">
        <v>1449</v>
      </c>
      <c r="G481" s="185" t="s">
        <v>15</v>
      </c>
      <c r="H481" s="185" t="s">
        <v>15</v>
      </c>
      <c r="I481" s="185" t="s">
        <v>15</v>
      </c>
      <c r="J481" s="135" t="s">
        <v>1450</v>
      </c>
      <c r="K481" s="186">
        <v>6912</v>
      </c>
      <c r="L481" s="187" t="s">
        <v>173</v>
      </c>
      <c r="M481" s="187" t="s">
        <v>175</v>
      </c>
    </row>
    <row r="482" spans="1:13" s="188" customFormat="1">
      <c r="A482" s="185" t="s">
        <v>1447</v>
      </c>
      <c r="B482" s="133" t="s">
        <v>3564</v>
      </c>
      <c r="C482" s="185" t="s">
        <v>3023</v>
      </c>
      <c r="D482" s="133" t="s">
        <v>3562</v>
      </c>
      <c r="E482" s="134">
        <v>1</v>
      </c>
      <c r="F482" s="135" t="s">
        <v>1449</v>
      </c>
      <c r="G482" s="185" t="s">
        <v>15</v>
      </c>
      <c r="H482" s="185" t="s">
        <v>15</v>
      </c>
      <c r="I482" s="185" t="s">
        <v>15</v>
      </c>
      <c r="J482" s="135" t="s">
        <v>1450</v>
      </c>
      <c r="K482" s="186">
        <v>6324</v>
      </c>
      <c r="L482" s="187" t="s">
        <v>173</v>
      </c>
      <c r="M482" s="187" t="s">
        <v>175</v>
      </c>
    </row>
    <row r="483" spans="1:13" s="188" customFormat="1">
      <c r="A483" s="185" t="s">
        <v>1447</v>
      </c>
      <c r="B483" s="133" t="s">
        <v>3565</v>
      </c>
      <c r="C483" s="185" t="s">
        <v>3023</v>
      </c>
      <c r="D483" s="133" t="s">
        <v>3562</v>
      </c>
      <c r="E483" s="134">
        <v>1</v>
      </c>
      <c r="F483" s="135" t="s">
        <v>1449</v>
      </c>
      <c r="G483" s="185" t="s">
        <v>15</v>
      </c>
      <c r="H483" s="185" t="s">
        <v>15</v>
      </c>
      <c r="I483" s="185" t="s">
        <v>15</v>
      </c>
      <c r="J483" s="135" t="s">
        <v>1450</v>
      </c>
      <c r="K483" s="186">
        <v>5184</v>
      </c>
      <c r="L483" s="187" t="s">
        <v>173</v>
      </c>
      <c r="M483" s="187" t="s">
        <v>175</v>
      </c>
    </row>
    <row r="484" spans="1:13" s="188" customFormat="1">
      <c r="A484" s="185" t="s">
        <v>1447</v>
      </c>
      <c r="B484" s="133" t="s">
        <v>3566</v>
      </c>
      <c r="C484" s="185" t="s">
        <v>3023</v>
      </c>
      <c r="D484" s="133" t="s">
        <v>1926</v>
      </c>
      <c r="E484" s="134">
        <v>1</v>
      </c>
      <c r="F484" s="135" t="s">
        <v>1449</v>
      </c>
      <c r="G484" s="185" t="s">
        <v>15</v>
      </c>
      <c r="H484" s="185" t="s">
        <v>15</v>
      </c>
      <c r="I484" s="185" t="s">
        <v>15</v>
      </c>
      <c r="J484" s="135" t="s">
        <v>1450</v>
      </c>
      <c r="K484" s="186">
        <v>16812</v>
      </c>
      <c r="L484" s="187" t="s">
        <v>173</v>
      </c>
      <c r="M484" s="187" t="s">
        <v>175</v>
      </c>
    </row>
    <row r="485" spans="1:13" s="188" customFormat="1">
      <c r="A485" s="185" t="s">
        <v>1447</v>
      </c>
      <c r="B485" s="133" t="s">
        <v>3567</v>
      </c>
      <c r="C485" s="185" t="s">
        <v>3023</v>
      </c>
      <c r="D485" s="133" t="s">
        <v>1926</v>
      </c>
      <c r="E485" s="134">
        <v>1</v>
      </c>
      <c r="F485" s="135" t="s">
        <v>1449</v>
      </c>
      <c r="G485" s="185" t="s">
        <v>15</v>
      </c>
      <c r="H485" s="185" t="s">
        <v>15</v>
      </c>
      <c r="I485" s="185" t="s">
        <v>15</v>
      </c>
      <c r="J485" s="135" t="s">
        <v>1450</v>
      </c>
      <c r="K485" s="186">
        <v>11700</v>
      </c>
      <c r="L485" s="187" t="s">
        <v>173</v>
      </c>
      <c r="M485" s="187" t="s">
        <v>175</v>
      </c>
    </row>
    <row r="486" spans="1:13" s="188" customFormat="1">
      <c r="A486" s="185" t="s">
        <v>1447</v>
      </c>
      <c r="B486" s="133" t="s">
        <v>3568</v>
      </c>
      <c r="C486" s="185" t="s">
        <v>3023</v>
      </c>
      <c r="D486" s="133" t="s">
        <v>1926</v>
      </c>
      <c r="E486" s="134">
        <v>1</v>
      </c>
      <c r="F486" s="135" t="s">
        <v>1449</v>
      </c>
      <c r="G486" s="185" t="s">
        <v>15</v>
      </c>
      <c r="H486" s="185" t="s">
        <v>15</v>
      </c>
      <c r="I486" s="185" t="s">
        <v>15</v>
      </c>
      <c r="J486" s="135" t="s">
        <v>1450</v>
      </c>
      <c r="K486" s="186">
        <v>9336</v>
      </c>
      <c r="L486" s="187" t="s">
        <v>173</v>
      </c>
      <c r="M486" s="187" t="s">
        <v>175</v>
      </c>
    </row>
    <row r="487" spans="1:13" s="188" customFormat="1">
      <c r="A487" s="185" t="s">
        <v>1447</v>
      </c>
      <c r="B487" s="133" t="s">
        <v>3569</v>
      </c>
      <c r="C487" s="185" t="s">
        <v>3023</v>
      </c>
      <c r="D487" s="133" t="s">
        <v>1926</v>
      </c>
      <c r="E487" s="134">
        <v>1</v>
      </c>
      <c r="F487" s="135" t="s">
        <v>1449</v>
      </c>
      <c r="G487" s="185" t="s">
        <v>15</v>
      </c>
      <c r="H487" s="185" t="s">
        <v>15</v>
      </c>
      <c r="I487" s="185" t="s">
        <v>15</v>
      </c>
      <c r="J487" s="135" t="s">
        <v>1450</v>
      </c>
      <c r="K487" s="186">
        <v>7848</v>
      </c>
      <c r="L487" s="187" t="s">
        <v>173</v>
      </c>
      <c r="M487" s="187" t="s">
        <v>175</v>
      </c>
    </row>
    <row r="488" spans="1:13" s="188" customFormat="1">
      <c r="A488" s="185" t="s">
        <v>1447</v>
      </c>
      <c r="B488" s="133" t="s">
        <v>3570</v>
      </c>
      <c r="C488" s="185" t="s">
        <v>3023</v>
      </c>
      <c r="D488" s="133" t="s">
        <v>1926</v>
      </c>
      <c r="E488" s="134">
        <v>1</v>
      </c>
      <c r="F488" s="135" t="s">
        <v>1449</v>
      </c>
      <c r="G488" s="185" t="s">
        <v>15</v>
      </c>
      <c r="H488" s="185" t="s">
        <v>15</v>
      </c>
      <c r="I488" s="185" t="s">
        <v>15</v>
      </c>
      <c r="J488" s="135" t="s">
        <v>1450</v>
      </c>
      <c r="K488" s="186">
        <v>7272</v>
      </c>
      <c r="L488" s="187" t="s">
        <v>173</v>
      </c>
      <c r="M488" s="187" t="s">
        <v>175</v>
      </c>
    </row>
    <row r="489" spans="1:13" s="188" customFormat="1">
      <c r="A489" s="185" t="s">
        <v>1447</v>
      </c>
      <c r="B489" s="133" t="s">
        <v>3571</v>
      </c>
      <c r="C489" s="185" t="s">
        <v>3023</v>
      </c>
      <c r="D489" s="133" t="s">
        <v>1969</v>
      </c>
      <c r="E489" s="134">
        <v>1</v>
      </c>
      <c r="F489" s="135" t="s">
        <v>1449</v>
      </c>
      <c r="G489" s="185" t="s">
        <v>15</v>
      </c>
      <c r="H489" s="185" t="s">
        <v>15</v>
      </c>
      <c r="I489" s="185" t="s">
        <v>15</v>
      </c>
      <c r="J489" s="135" t="s">
        <v>1450</v>
      </c>
      <c r="K489" s="186">
        <v>27396</v>
      </c>
      <c r="L489" s="187" t="s">
        <v>173</v>
      </c>
      <c r="M489" s="187" t="s">
        <v>175</v>
      </c>
    </row>
    <row r="490" spans="1:13" s="188" customFormat="1">
      <c r="A490" s="185" t="s">
        <v>1447</v>
      </c>
      <c r="B490" s="133" t="s">
        <v>3572</v>
      </c>
      <c r="C490" s="185" t="s">
        <v>3023</v>
      </c>
      <c r="D490" s="133" t="s">
        <v>1969</v>
      </c>
      <c r="E490" s="134">
        <v>1</v>
      </c>
      <c r="F490" s="135" t="s">
        <v>1449</v>
      </c>
      <c r="G490" s="185" t="s">
        <v>15</v>
      </c>
      <c r="H490" s="185" t="s">
        <v>15</v>
      </c>
      <c r="I490" s="185" t="s">
        <v>15</v>
      </c>
      <c r="J490" s="135" t="s">
        <v>1450</v>
      </c>
      <c r="K490" s="186">
        <v>23964</v>
      </c>
      <c r="L490" s="187" t="s">
        <v>173</v>
      </c>
      <c r="M490" s="187" t="s">
        <v>175</v>
      </c>
    </row>
    <row r="491" spans="1:13" s="188" customFormat="1">
      <c r="A491" s="185" t="s">
        <v>1447</v>
      </c>
      <c r="B491" s="133" t="s">
        <v>3573</v>
      </c>
      <c r="C491" s="185" t="s">
        <v>3023</v>
      </c>
      <c r="D491" s="133" t="s">
        <v>1969</v>
      </c>
      <c r="E491" s="134">
        <v>1</v>
      </c>
      <c r="F491" s="135" t="s">
        <v>1449</v>
      </c>
      <c r="G491" s="185" t="s">
        <v>15</v>
      </c>
      <c r="H491" s="185" t="s">
        <v>15</v>
      </c>
      <c r="I491" s="185" t="s">
        <v>15</v>
      </c>
      <c r="J491" s="135" t="s">
        <v>1450</v>
      </c>
      <c r="K491" s="186">
        <v>22596</v>
      </c>
      <c r="L491" s="187" t="s">
        <v>173</v>
      </c>
      <c r="M491" s="187" t="s">
        <v>175</v>
      </c>
    </row>
    <row r="492" spans="1:13" s="188" customFormat="1">
      <c r="A492" s="185" t="s">
        <v>1447</v>
      </c>
      <c r="B492" s="133" t="s">
        <v>3574</v>
      </c>
      <c r="C492" s="185" t="s">
        <v>3023</v>
      </c>
      <c r="D492" s="133" t="s">
        <v>1969</v>
      </c>
      <c r="E492" s="134">
        <v>1</v>
      </c>
      <c r="F492" s="135" t="s">
        <v>1449</v>
      </c>
      <c r="G492" s="185" t="s">
        <v>15</v>
      </c>
      <c r="H492" s="185" t="s">
        <v>15</v>
      </c>
      <c r="I492" s="185" t="s">
        <v>15</v>
      </c>
      <c r="J492" s="135" t="s">
        <v>1450</v>
      </c>
      <c r="K492" s="186">
        <v>17124</v>
      </c>
      <c r="L492" s="187" t="s">
        <v>173</v>
      </c>
      <c r="M492" s="187" t="s">
        <v>175</v>
      </c>
    </row>
    <row r="493" spans="1:13" s="188" customFormat="1">
      <c r="A493" s="185" t="s">
        <v>1447</v>
      </c>
      <c r="B493" s="133" t="s">
        <v>3575</v>
      </c>
      <c r="C493" s="185" t="s">
        <v>3023</v>
      </c>
      <c r="D493" s="133" t="s">
        <v>1969</v>
      </c>
      <c r="E493" s="134">
        <v>1</v>
      </c>
      <c r="F493" s="135" t="s">
        <v>1449</v>
      </c>
      <c r="G493" s="185" t="s">
        <v>15</v>
      </c>
      <c r="H493" s="185" t="s">
        <v>15</v>
      </c>
      <c r="I493" s="185" t="s">
        <v>15</v>
      </c>
      <c r="J493" s="135" t="s">
        <v>1450</v>
      </c>
      <c r="K493" s="186">
        <v>13692</v>
      </c>
      <c r="L493" s="187" t="s">
        <v>173</v>
      </c>
      <c r="M493" s="187" t="s">
        <v>175</v>
      </c>
    </row>
    <row r="494" spans="1:13" s="188" customFormat="1">
      <c r="A494" s="185" t="s">
        <v>1447</v>
      </c>
      <c r="B494" s="133" t="s">
        <v>3576</v>
      </c>
      <c r="C494" s="185" t="s">
        <v>3023</v>
      </c>
      <c r="D494" s="133" t="s">
        <v>1973</v>
      </c>
      <c r="E494" s="134">
        <v>1</v>
      </c>
      <c r="F494" s="135" t="s">
        <v>1449</v>
      </c>
      <c r="G494" s="185" t="s">
        <v>15</v>
      </c>
      <c r="H494" s="185" t="s">
        <v>15</v>
      </c>
      <c r="I494" s="185" t="s">
        <v>15</v>
      </c>
      <c r="J494" s="135" t="s">
        <v>1450</v>
      </c>
      <c r="K494" s="186">
        <v>6216</v>
      </c>
      <c r="L494" s="187" t="s">
        <v>173</v>
      </c>
      <c r="M494" s="187" t="s">
        <v>175</v>
      </c>
    </row>
    <row r="495" spans="1:13" s="188" customFormat="1">
      <c r="A495" s="185" t="s">
        <v>1447</v>
      </c>
      <c r="B495" s="133" t="s">
        <v>3577</v>
      </c>
      <c r="C495" s="185" t="s">
        <v>3023</v>
      </c>
      <c r="D495" s="133" t="s">
        <v>1973</v>
      </c>
      <c r="E495" s="134">
        <v>1</v>
      </c>
      <c r="F495" s="135" t="s">
        <v>1449</v>
      </c>
      <c r="G495" s="185" t="s">
        <v>15</v>
      </c>
      <c r="H495" s="185" t="s">
        <v>15</v>
      </c>
      <c r="I495" s="185" t="s">
        <v>15</v>
      </c>
      <c r="J495" s="135" t="s">
        <v>1450</v>
      </c>
      <c r="K495" s="186">
        <v>2688</v>
      </c>
      <c r="L495" s="187" t="s">
        <v>173</v>
      </c>
      <c r="M495" s="187" t="s">
        <v>175</v>
      </c>
    </row>
    <row r="496" spans="1:13" s="188" customFormat="1">
      <c r="A496" s="185" t="s">
        <v>1447</v>
      </c>
      <c r="B496" s="133" t="s">
        <v>3578</v>
      </c>
      <c r="C496" s="185" t="s">
        <v>3023</v>
      </c>
      <c r="D496" s="133" t="s">
        <v>1973</v>
      </c>
      <c r="E496" s="134">
        <v>1</v>
      </c>
      <c r="F496" s="135" t="s">
        <v>1449</v>
      </c>
      <c r="G496" s="185" t="s">
        <v>15</v>
      </c>
      <c r="H496" s="185" t="s">
        <v>15</v>
      </c>
      <c r="I496" s="185" t="s">
        <v>15</v>
      </c>
      <c r="J496" s="135" t="s">
        <v>1450</v>
      </c>
      <c r="K496" s="186">
        <v>1344</v>
      </c>
      <c r="L496" s="187" t="s">
        <v>173</v>
      </c>
      <c r="M496" s="187" t="s">
        <v>175</v>
      </c>
    </row>
    <row r="497" spans="1:13" s="188" customFormat="1">
      <c r="A497" s="185" t="s">
        <v>1447</v>
      </c>
      <c r="B497" s="133" t="s">
        <v>3579</v>
      </c>
      <c r="C497" s="185" t="s">
        <v>3023</v>
      </c>
      <c r="D497" s="133" t="s">
        <v>1973</v>
      </c>
      <c r="E497" s="134">
        <v>1</v>
      </c>
      <c r="F497" s="135" t="s">
        <v>1449</v>
      </c>
      <c r="G497" s="185" t="s">
        <v>15</v>
      </c>
      <c r="H497" s="185" t="s">
        <v>15</v>
      </c>
      <c r="I497" s="185" t="s">
        <v>15</v>
      </c>
      <c r="J497" s="135" t="s">
        <v>1450</v>
      </c>
      <c r="K497" s="186">
        <v>744</v>
      </c>
      <c r="L497" s="187" t="s">
        <v>173</v>
      </c>
      <c r="M497" s="187" t="s">
        <v>175</v>
      </c>
    </row>
    <row r="498" spans="1:13" s="188" customFormat="1">
      <c r="A498" s="185" t="s">
        <v>1447</v>
      </c>
      <c r="B498" s="133" t="s">
        <v>3580</v>
      </c>
      <c r="C498" s="185" t="s">
        <v>3023</v>
      </c>
      <c r="D498" s="133" t="s">
        <v>1973</v>
      </c>
      <c r="E498" s="134">
        <v>1</v>
      </c>
      <c r="F498" s="135" t="s">
        <v>1449</v>
      </c>
      <c r="G498" s="185" t="s">
        <v>15</v>
      </c>
      <c r="H498" s="185" t="s">
        <v>15</v>
      </c>
      <c r="I498" s="185" t="s">
        <v>15</v>
      </c>
      <c r="J498" s="135" t="s">
        <v>1450</v>
      </c>
      <c r="K498" s="186">
        <v>504</v>
      </c>
      <c r="L498" s="187" t="s">
        <v>173</v>
      </c>
      <c r="M498" s="187" t="s">
        <v>175</v>
      </c>
    </row>
    <row r="499" spans="1:13" s="188" customFormat="1">
      <c r="A499" s="185" t="s">
        <v>1447</v>
      </c>
      <c r="B499" s="133" t="s">
        <v>3581</v>
      </c>
      <c r="C499" s="185" t="s">
        <v>3023</v>
      </c>
      <c r="D499" s="133" t="s">
        <v>1975</v>
      </c>
      <c r="E499" s="134">
        <v>1</v>
      </c>
      <c r="F499" s="135" t="s">
        <v>1449</v>
      </c>
      <c r="G499" s="185" t="s">
        <v>15</v>
      </c>
      <c r="H499" s="185" t="s">
        <v>15</v>
      </c>
      <c r="I499" s="185" t="s">
        <v>15</v>
      </c>
      <c r="J499" s="135" t="s">
        <v>1450</v>
      </c>
      <c r="K499" s="186">
        <v>8328</v>
      </c>
      <c r="L499" s="187" t="s">
        <v>173</v>
      </c>
      <c r="M499" s="187" t="s">
        <v>175</v>
      </c>
    </row>
    <row r="500" spans="1:13" s="188" customFormat="1">
      <c r="A500" s="185" t="s">
        <v>1447</v>
      </c>
      <c r="B500" s="133" t="s">
        <v>3582</v>
      </c>
      <c r="C500" s="185" t="s">
        <v>3023</v>
      </c>
      <c r="D500" s="133" t="s">
        <v>1975</v>
      </c>
      <c r="E500" s="134">
        <v>1</v>
      </c>
      <c r="F500" s="135" t="s">
        <v>1449</v>
      </c>
      <c r="G500" s="185" t="s">
        <v>15</v>
      </c>
      <c r="H500" s="185" t="s">
        <v>15</v>
      </c>
      <c r="I500" s="185" t="s">
        <v>15</v>
      </c>
      <c r="J500" s="135" t="s">
        <v>1450</v>
      </c>
      <c r="K500" s="186">
        <v>7704</v>
      </c>
      <c r="L500" s="187" t="s">
        <v>173</v>
      </c>
      <c r="M500" s="187" t="s">
        <v>175</v>
      </c>
    </row>
    <row r="501" spans="1:13" s="188" customFormat="1">
      <c r="A501" s="185" t="s">
        <v>1447</v>
      </c>
      <c r="B501" s="133" t="s">
        <v>3583</v>
      </c>
      <c r="C501" s="185" t="s">
        <v>3023</v>
      </c>
      <c r="D501" s="133" t="s">
        <v>1975</v>
      </c>
      <c r="E501" s="134">
        <v>1</v>
      </c>
      <c r="F501" s="135" t="s">
        <v>1449</v>
      </c>
      <c r="G501" s="185" t="s">
        <v>15</v>
      </c>
      <c r="H501" s="185" t="s">
        <v>15</v>
      </c>
      <c r="I501" s="185" t="s">
        <v>15</v>
      </c>
      <c r="J501" s="135" t="s">
        <v>1450</v>
      </c>
      <c r="K501" s="186">
        <v>7128</v>
      </c>
      <c r="L501" s="187" t="s">
        <v>173</v>
      </c>
      <c r="M501" s="187" t="s">
        <v>175</v>
      </c>
    </row>
    <row r="502" spans="1:13" s="188" customFormat="1">
      <c r="A502" s="185" t="s">
        <v>1447</v>
      </c>
      <c r="B502" s="133" t="s">
        <v>3584</v>
      </c>
      <c r="C502" s="185" t="s">
        <v>3023</v>
      </c>
      <c r="D502" s="133" t="s">
        <v>1975</v>
      </c>
      <c r="E502" s="134">
        <v>1</v>
      </c>
      <c r="F502" s="135" t="s">
        <v>1449</v>
      </c>
      <c r="G502" s="185" t="s">
        <v>15</v>
      </c>
      <c r="H502" s="185" t="s">
        <v>15</v>
      </c>
      <c r="I502" s="185" t="s">
        <v>15</v>
      </c>
      <c r="J502" s="135" t="s">
        <v>1450</v>
      </c>
      <c r="K502" s="186">
        <v>6576</v>
      </c>
      <c r="L502" s="187" t="s">
        <v>173</v>
      </c>
      <c r="M502" s="187" t="s">
        <v>175</v>
      </c>
    </row>
    <row r="503" spans="1:13" s="188" customFormat="1">
      <c r="A503" s="185" t="s">
        <v>1447</v>
      </c>
      <c r="B503" s="133" t="s">
        <v>3585</v>
      </c>
      <c r="C503" s="185" t="s">
        <v>3023</v>
      </c>
      <c r="D503" s="133" t="s">
        <v>1975</v>
      </c>
      <c r="E503" s="134">
        <v>1</v>
      </c>
      <c r="F503" s="135" t="s">
        <v>1449</v>
      </c>
      <c r="G503" s="185" t="s">
        <v>15</v>
      </c>
      <c r="H503" s="185" t="s">
        <v>15</v>
      </c>
      <c r="I503" s="185" t="s">
        <v>15</v>
      </c>
      <c r="J503" s="135" t="s">
        <v>1450</v>
      </c>
      <c r="K503" s="186">
        <v>6024</v>
      </c>
      <c r="L503" s="187" t="s">
        <v>173</v>
      </c>
      <c r="M503" s="187" t="s">
        <v>175</v>
      </c>
    </row>
    <row r="504" spans="1:13" s="188" customFormat="1">
      <c r="A504" s="185" t="s">
        <v>1447</v>
      </c>
      <c r="B504" s="133" t="s">
        <v>3586</v>
      </c>
      <c r="C504" s="185" t="s">
        <v>3023</v>
      </c>
      <c r="D504" s="133" t="s">
        <v>3587</v>
      </c>
      <c r="E504" s="134">
        <v>1</v>
      </c>
      <c r="F504" s="135" t="s">
        <v>1449</v>
      </c>
      <c r="G504" s="185" t="s">
        <v>15</v>
      </c>
      <c r="H504" s="185" t="s">
        <v>15</v>
      </c>
      <c r="I504" s="185" t="s">
        <v>15</v>
      </c>
      <c r="J504" s="135" t="s">
        <v>1450</v>
      </c>
      <c r="K504" s="186">
        <v>2880</v>
      </c>
      <c r="L504" s="187" t="s">
        <v>173</v>
      </c>
      <c r="M504" s="187" t="s">
        <v>175</v>
      </c>
    </row>
    <row r="505" spans="1:13" s="188" customFormat="1">
      <c r="A505" s="185" t="s">
        <v>1447</v>
      </c>
      <c r="B505" s="133" t="s">
        <v>3588</v>
      </c>
      <c r="C505" s="185" t="s">
        <v>3023</v>
      </c>
      <c r="D505" s="133" t="s">
        <v>3587</v>
      </c>
      <c r="E505" s="134">
        <v>1</v>
      </c>
      <c r="F505" s="135" t="s">
        <v>1449</v>
      </c>
      <c r="G505" s="185" t="s">
        <v>15</v>
      </c>
      <c r="H505" s="185" t="s">
        <v>15</v>
      </c>
      <c r="I505" s="185" t="s">
        <v>15</v>
      </c>
      <c r="J505" s="135" t="s">
        <v>1450</v>
      </c>
      <c r="K505" s="186">
        <v>1476</v>
      </c>
      <c r="L505" s="187" t="s">
        <v>173</v>
      </c>
      <c r="M505" s="187" t="s">
        <v>175</v>
      </c>
    </row>
    <row r="506" spans="1:13" s="188" customFormat="1">
      <c r="A506" s="185" t="s">
        <v>1447</v>
      </c>
      <c r="B506" s="133" t="s">
        <v>3589</v>
      </c>
      <c r="C506" s="185" t="s">
        <v>3023</v>
      </c>
      <c r="D506" s="133" t="s">
        <v>3587</v>
      </c>
      <c r="E506" s="134">
        <v>1</v>
      </c>
      <c r="F506" s="135" t="s">
        <v>1449</v>
      </c>
      <c r="G506" s="185" t="s">
        <v>15</v>
      </c>
      <c r="H506" s="185" t="s">
        <v>15</v>
      </c>
      <c r="I506" s="185" t="s">
        <v>15</v>
      </c>
      <c r="J506" s="135" t="s">
        <v>1450</v>
      </c>
      <c r="K506" s="186">
        <v>1260</v>
      </c>
      <c r="L506" s="187" t="s">
        <v>173</v>
      </c>
      <c r="M506" s="187" t="s">
        <v>175</v>
      </c>
    </row>
    <row r="507" spans="1:13" s="188" customFormat="1">
      <c r="A507" s="185" t="s">
        <v>1447</v>
      </c>
      <c r="B507" s="133" t="s">
        <v>3590</v>
      </c>
      <c r="C507" s="185" t="s">
        <v>3023</v>
      </c>
      <c r="D507" s="133" t="s">
        <v>1981</v>
      </c>
      <c r="E507" s="134">
        <v>1</v>
      </c>
      <c r="F507" s="135" t="s">
        <v>1449</v>
      </c>
      <c r="G507" s="185" t="s">
        <v>15</v>
      </c>
      <c r="H507" s="185" t="s">
        <v>15</v>
      </c>
      <c r="I507" s="185" t="s">
        <v>15</v>
      </c>
      <c r="J507" s="135" t="s">
        <v>1450</v>
      </c>
      <c r="K507" s="186">
        <v>71904</v>
      </c>
      <c r="L507" s="187" t="s">
        <v>173</v>
      </c>
      <c r="M507" s="187" t="s">
        <v>175</v>
      </c>
    </row>
    <row r="508" spans="1:13" s="188" customFormat="1">
      <c r="A508" s="185" t="s">
        <v>1447</v>
      </c>
      <c r="B508" s="133" t="s">
        <v>3591</v>
      </c>
      <c r="C508" s="185" t="s">
        <v>3023</v>
      </c>
      <c r="D508" s="133" t="s">
        <v>1981</v>
      </c>
      <c r="E508" s="134">
        <v>1</v>
      </c>
      <c r="F508" s="135" t="s">
        <v>1449</v>
      </c>
      <c r="G508" s="185" t="s">
        <v>15</v>
      </c>
      <c r="H508" s="185" t="s">
        <v>15</v>
      </c>
      <c r="I508" s="185" t="s">
        <v>15</v>
      </c>
      <c r="J508" s="135" t="s">
        <v>1450</v>
      </c>
      <c r="K508" s="186">
        <v>54024</v>
      </c>
      <c r="L508" s="187" t="s">
        <v>173</v>
      </c>
      <c r="M508" s="187" t="s">
        <v>175</v>
      </c>
    </row>
    <row r="509" spans="1:13" s="188" customFormat="1">
      <c r="A509" s="185" t="s">
        <v>1447</v>
      </c>
      <c r="B509" s="133" t="s">
        <v>3592</v>
      </c>
      <c r="C509" s="185" t="s">
        <v>3023</v>
      </c>
      <c r="D509" s="133" t="s">
        <v>1981</v>
      </c>
      <c r="E509" s="134">
        <v>1</v>
      </c>
      <c r="F509" s="135" t="s">
        <v>1449</v>
      </c>
      <c r="G509" s="185" t="s">
        <v>15</v>
      </c>
      <c r="H509" s="185" t="s">
        <v>15</v>
      </c>
      <c r="I509" s="185" t="s">
        <v>15</v>
      </c>
      <c r="J509" s="135" t="s">
        <v>1450</v>
      </c>
      <c r="K509" s="186">
        <v>41088</v>
      </c>
      <c r="L509" s="187" t="s">
        <v>173</v>
      </c>
      <c r="M509" s="187" t="s">
        <v>175</v>
      </c>
    </row>
    <row r="510" spans="1:13" s="188" customFormat="1">
      <c r="A510" s="185" t="s">
        <v>1447</v>
      </c>
      <c r="B510" s="133" t="s">
        <v>3593</v>
      </c>
      <c r="C510" s="185" t="s">
        <v>3023</v>
      </c>
      <c r="D510" s="133" t="s">
        <v>1981</v>
      </c>
      <c r="E510" s="134">
        <v>1</v>
      </c>
      <c r="F510" s="135" t="s">
        <v>1449</v>
      </c>
      <c r="G510" s="185" t="s">
        <v>15</v>
      </c>
      <c r="H510" s="185" t="s">
        <v>15</v>
      </c>
      <c r="I510" s="185" t="s">
        <v>15</v>
      </c>
      <c r="J510" s="135" t="s">
        <v>1450</v>
      </c>
      <c r="K510" s="186">
        <v>22596</v>
      </c>
      <c r="L510" s="187" t="s">
        <v>173</v>
      </c>
      <c r="M510" s="187" t="s">
        <v>175</v>
      </c>
    </row>
    <row r="511" spans="1:13" s="188" customFormat="1">
      <c r="A511" s="185" t="s">
        <v>1447</v>
      </c>
      <c r="B511" s="133" t="s">
        <v>3594</v>
      </c>
      <c r="C511" s="185" t="s">
        <v>3023</v>
      </c>
      <c r="D511" s="133" t="s">
        <v>1981</v>
      </c>
      <c r="E511" s="134">
        <v>1</v>
      </c>
      <c r="F511" s="135" t="s">
        <v>1449</v>
      </c>
      <c r="G511" s="185" t="s">
        <v>15</v>
      </c>
      <c r="H511" s="185" t="s">
        <v>15</v>
      </c>
      <c r="I511" s="185" t="s">
        <v>15</v>
      </c>
      <c r="J511" s="135" t="s">
        <v>1450</v>
      </c>
      <c r="K511" s="186">
        <v>20544</v>
      </c>
      <c r="L511" s="187" t="s">
        <v>173</v>
      </c>
      <c r="M511" s="187" t="s">
        <v>175</v>
      </c>
    </row>
    <row r="512" spans="1:13" s="188" customFormat="1">
      <c r="A512" s="185" t="s">
        <v>1447</v>
      </c>
      <c r="B512" s="133" t="s">
        <v>3595</v>
      </c>
      <c r="C512" s="185" t="s">
        <v>3023</v>
      </c>
      <c r="D512" s="133" t="s">
        <v>1986</v>
      </c>
      <c r="E512" s="134">
        <v>1</v>
      </c>
      <c r="F512" s="135" t="s">
        <v>1449</v>
      </c>
      <c r="G512" s="185" t="s">
        <v>15</v>
      </c>
      <c r="H512" s="185" t="s">
        <v>15</v>
      </c>
      <c r="I512" s="185" t="s">
        <v>15</v>
      </c>
      <c r="J512" s="135" t="s">
        <v>1450</v>
      </c>
      <c r="K512" s="186">
        <v>5196</v>
      </c>
      <c r="L512" s="187" t="s">
        <v>173</v>
      </c>
      <c r="M512" s="187" t="s">
        <v>175</v>
      </c>
    </row>
    <row r="513" spans="1:13" s="188" customFormat="1">
      <c r="A513" s="185" t="s">
        <v>1447</v>
      </c>
      <c r="B513" s="133" t="s">
        <v>3596</v>
      </c>
      <c r="C513" s="185" t="s">
        <v>3023</v>
      </c>
      <c r="D513" s="133" t="s">
        <v>1986</v>
      </c>
      <c r="E513" s="134">
        <v>1</v>
      </c>
      <c r="F513" s="135" t="s">
        <v>1449</v>
      </c>
      <c r="G513" s="185" t="s">
        <v>15</v>
      </c>
      <c r="H513" s="185" t="s">
        <v>15</v>
      </c>
      <c r="I513" s="185" t="s">
        <v>15</v>
      </c>
      <c r="J513" s="135" t="s">
        <v>1450</v>
      </c>
      <c r="K513" s="186">
        <v>4668</v>
      </c>
      <c r="L513" s="187" t="s">
        <v>173</v>
      </c>
      <c r="M513" s="187" t="s">
        <v>175</v>
      </c>
    </row>
    <row r="514" spans="1:13" s="188" customFormat="1">
      <c r="A514" s="185" t="s">
        <v>1447</v>
      </c>
      <c r="B514" s="133" t="s">
        <v>3597</v>
      </c>
      <c r="C514" s="185" t="s">
        <v>3023</v>
      </c>
      <c r="D514" s="133" t="s">
        <v>1986</v>
      </c>
      <c r="E514" s="134">
        <v>1</v>
      </c>
      <c r="F514" s="135" t="s">
        <v>1449</v>
      </c>
      <c r="G514" s="185" t="s">
        <v>15</v>
      </c>
      <c r="H514" s="185" t="s">
        <v>15</v>
      </c>
      <c r="I514" s="185" t="s">
        <v>15</v>
      </c>
      <c r="J514" s="135" t="s">
        <v>1450</v>
      </c>
      <c r="K514" s="186">
        <v>4452</v>
      </c>
      <c r="L514" s="187" t="s">
        <v>173</v>
      </c>
      <c r="M514" s="187" t="s">
        <v>175</v>
      </c>
    </row>
    <row r="515" spans="1:13" s="188" customFormat="1">
      <c r="A515" s="185" t="s">
        <v>1447</v>
      </c>
      <c r="B515" s="133" t="s">
        <v>3598</v>
      </c>
      <c r="C515" s="185" t="s">
        <v>3023</v>
      </c>
      <c r="D515" s="133" t="s">
        <v>1986</v>
      </c>
      <c r="E515" s="134">
        <v>1</v>
      </c>
      <c r="F515" s="135" t="s">
        <v>1449</v>
      </c>
      <c r="G515" s="185" t="s">
        <v>15</v>
      </c>
      <c r="H515" s="185" t="s">
        <v>15</v>
      </c>
      <c r="I515" s="185" t="s">
        <v>15</v>
      </c>
      <c r="J515" s="135" t="s">
        <v>1450</v>
      </c>
      <c r="K515" s="186">
        <v>4152</v>
      </c>
      <c r="L515" s="187" t="s">
        <v>173</v>
      </c>
      <c r="M515" s="187" t="s">
        <v>175</v>
      </c>
    </row>
    <row r="516" spans="1:13" s="188" customFormat="1">
      <c r="A516" s="185" t="s">
        <v>1447</v>
      </c>
      <c r="B516" s="133" t="s">
        <v>3599</v>
      </c>
      <c r="C516" s="185" t="s">
        <v>3023</v>
      </c>
      <c r="D516" s="133" t="s">
        <v>1986</v>
      </c>
      <c r="E516" s="134">
        <v>1</v>
      </c>
      <c r="F516" s="135" t="s">
        <v>1449</v>
      </c>
      <c r="G516" s="185" t="s">
        <v>15</v>
      </c>
      <c r="H516" s="185" t="s">
        <v>15</v>
      </c>
      <c r="I516" s="185" t="s">
        <v>15</v>
      </c>
      <c r="J516" s="135" t="s">
        <v>1450</v>
      </c>
      <c r="K516" s="186">
        <v>3948</v>
      </c>
      <c r="L516" s="187" t="s">
        <v>173</v>
      </c>
      <c r="M516" s="187" t="s">
        <v>175</v>
      </c>
    </row>
    <row r="517" spans="1:13" s="188" customFormat="1">
      <c r="A517" s="185" t="s">
        <v>1447</v>
      </c>
      <c r="B517" s="133" t="s">
        <v>3600</v>
      </c>
      <c r="C517" s="185" t="s">
        <v>3023</v>
      </c>
      <c r="D517" s="133" t="s">
        <v>1987</v>
      </c>
      <c r="E517" s="134">
        <v>1</v>
      </c>
      <c r="F517" s="135" t="s">
        <v>1449</v>
      </c>
      <c r="G517" s="185" t="s">
        <v>15</v>
      </c>
      <c r="H517" s="185" t="s">
        <v>15</v>
      </c>
      <c r="I517" s="185" t="s">
        <v>15</v>
      </c>
      <c r="J517" s="135" t="s">
        <v>1450</v>
      </c>
      <c r="K517" s="186">
        <v>5736</v>
      </c>
      <c r="L517" s="187" t="s">
        <v>173</v>
      </c>
      <c r="M517" s="187" t="s">
        <v>175</v>
      </c>
    </row>
    <row r="518" spans="1:13" s="188" customFormat="1">
      <c r="A518" s="185" t="s">
        <v>1447</v>
      </c>
      <c r="B518" s="133" t="s">
        <v>3601</v>
      </c>
      <c r="C518" s="185" t="s">
        <v>3023</v>
      </c>
      <c r="D518" s="133" t="s">
        <v>1987</v>
      </c>
      <c r="E518" s="134">
        <v>1</v>
      </c>
      <c r="F518" s="135" t="s">
        <v>1449</v>
      </c>
      <c r="G518" s="185" t="s">
        <v>15</v>
      </c>
      <c r="H518" s="185" t="s">
        <v>15</v>
      </c>
      <c r="I518" s="185" t="s">
        <v>15</v>
      </c>
      <c r="J518" s="135" t="s">
        <v>1450</v>
      </c>
      <c r="K518" s="186">
        <v>4668</v>
      </c>
      <c r="L518" s="187" t="s">
        <v>173</v>
      </c>
      <c r="M518" s="187" t="s">
        <v>175</v>
      </c>
    </row>
    <row r="519" spans="1:13" s="188" customFormat="1">
      <c r="A519" s="185" t="s">
        <v>1447</v>
      </c>
      <c r="B519" s="133" t="s">
        <v>3602</v>
      </c>
      <c r="C519" s="185" t="s">
        <v>3023</v>
      </c>
      <c r="D519" s="133" t="s">
        <v>1987</v>
      </c>
      <c r="E519" s="134">
        <v>1</v>
      </c>
      <c r="F519" s="135" t="s">
        <v>1449</v>
      </c>
      <c r="G519" s="185" t="s">
        <v>15</v>
      </c>
      <c r="H519" s="185" t="s">
        <v>15</v>
      </c>
      <c r="I519" s="185" t="s">
        <v>15</v>
      </c>
      <c r="J519" s="135" t="s">
        <v>1450</v>
      </c>
      <c r="K519" s="186">
        <v>3792</v>
      </c>
      <c r="L519" s="187" t="s">
        <v>173</v>
      </c>
      <c r="M519" s="187" t="s">
        <v>175</v>
      </c>
    </row>
    <row r="520" spans="1:13" s="188" customFormat="1">
      <c r="A520" s="185" t="s">
        <v>1447</v>
      </c>
      <c r="B520" s="133" t="s">
        <v>3603</v>
      </c>
      <c r="C520" s="185" t="s">
        <v>3023</v>
      </c>
      <c r="D520" s="133" t="s">
        <v>1987</v>
      </c>
      <c r="E520" s="134">
        <v>1</v>
      </c>
      <c r="F520" s="135" t="s">
        <v>1449</v>
      </c>
      <c r="G520" s="185" t="s">
        <v>15</v>
      </c>
      <c r="H520" s="185" t="s">
        <v>15</v>
      </c>
      <c r="I520" s="185" t="s">
        <v>15</v>
      </c>
      <c r="J520" s="135" t="s">
        <v>1450</v>
      </c>
      <c r="K520" s="186">
        <v>3192</v>
      </c>
      <c r="L520" s="187" t="s">
        <v>173</v>
      </c>
      <c r="M520" s="187" t="s">
        <v>175</v>
      </c>
    </row>
    <row r="521" spans="1:13" s="188" customFormat="1">
      <c r="A521" s="185" t="s">
        <v>1447</v>
      </c>
      <c r="B521" s="133" t="s">
        <v>3604</v>
      </c>
      <c r="C521" s="185" t="s">
        <v>3023</v>
      </c>
      <c r="D521" s="133" t="s">
        <v>1987</v>
      </c>
      <c r="E521" s="134">
        <v>1</v>
      </c>
      <c r="F521" s="135" t="s">
        <v>1449</v>
      </c>
      <c r="G521" s="185" t="s">
        <v>15</v>
      </c>
      <c r="H521" s="185" t="s">
        <v>15</v>
      </c>
      <c r="I521" s="185" t="s">
        <v>15</v>
      </c>
      <c r="J521" s="135" t="s">
        <v>1450</v>
      </c>
      <c r="K521" s="186">
        <v>2496</v>
      </c>
      <c r="L521" s="187" t="s">
        <v>173</v>
      </c>
      <c r="M521" s="187" t="s">
        <v>175</v>
      </c>
    </row>
    <row r="522" spans="1:13" s="188" customFormat="1">
      <c r="A522" s="185" t="s">
        <v>1447</v>
      </c>
      <c r="B522" s="133" t="s">
        <v>3605</v>
      </c>
      <c r="C522" s="185" t="s">
        <v>3023</v>
      </c>
      <c r="D522" s="133" t="s">
        <v>1987</v>
      </c>
      <c r="E522" s="134">
        <v>1</v>
      </c>
      <c r="F522" s="135" t="s">
        <v>1449</v>
      </c>
      <c r="G522" s="185" t="s">
        <v>15</v>
      </c>
      <c r="H522" s="185" t="s">
        <v>15</v>
      </c>
      <c r="I522" s="185" t="s">
        <v>15</v>
      </c>
      <c r="J522" s="135" t="s">
        <v>1450</v>
      </c>
      <c r="K522" s="186">
        <v>1644</v>
      </c>
      <c r="L522" s="187" t="s">
        <v>173</v>
      </c>
      <c r="M522" s="187" t="s">
        <v>175</v>
      </c>
    </row>
    <row r="523" spans="1:13" s="188" customFormat="1">
      <c r="A523" s="185" t="s">
        <v>1447</v>
      </c>
      <c r="B523" s="133" t="s">
        <v>3606</v>
      </c>
      <c r="C523" s="185" t="s">
        <v>3023</v>
      </c>
      <c r="D523" s="133" t="s">
        <v>1988</v>
      </c>
      <c r="E523" s="134">
        <v>1</v>
      </c>
      <c r="F523" s="135" t="s">
        <v>1449</v>
      </c>
      <c r="G523" s="185" t="s">
        <v>15</v>
      </c>
      <c r="H523" s="185" t="s">
        <v>15</v>
      </c>
      <c r="I523" s="185" t="s">
        <v>15</v>
      </c>
      <c r="J523" s="135" t="s">
        <v>1450</v>
      </c>
      <c r="K523" s="186">
        <v>4872</v>
      </c>
      <c r="L523" s="187" t="s">
        <v>173</v>
      </c>
      <c r="M523" s="187" t="s">
        <v>175</v>
      </c>
    </row>
    <row r="524" spans="1:13" s="188" customFormat="1">
      <c r="A524" s="185" t="s">
        <v>1447</v>
      </c>
      <c r="B524" s="133" t="s">
        <v>3607</v>
      </c>
      <c r="C524" s="185" t="s">
        <v>3023</v>
      </c>
      <c r="D524" s="133" t="s">
        <v>1989</v>
      </c>
      <c r="E524" s="134">
        <v>1</v>
      </c>
      <c r="F524" s="135" t="s">
        <v>1449</v>
      </c>
      <c r="G524" s="185" t="s">
        <v>15</v>
      </c>
      <c r="H524" s="185" t="s">
        <v>15</v>
      </c>
      <c r="I524" s="185" t="s">
        <v>15</v>
      </c>
      <c r="J524" s="135" t="s">
        <v>1450</v>
      </c>
      <c r="K524" s="186">
        <v>3060</v>
      </c>
      <c r="L524" s="187" t="s">
        <v>173</v>
      </c>
      <c r="M524" s="187" t="s">
        <v>175</v>
      </c>
    </row>
    <row r="525" spans="1:13" s="188" customFormat="1">
      <c r="A525" s="185" t="s">
        <v>1447</v>
      </c>
      <c r="B525" s="133" t="s">
        <v>3608</v>
      </c>
      <c r="C525" s="185" t="s">
        <v>3023</v>
      </c>
      <c r="D525" s="133" t="s">
        <v>1989</v>
      </c>
      <c r="E525" s="134">
        <v>1</v>
      </c>
      <c r="F525" s="135" t="s">
        <v>1449</v>
      </c>
      <c r="G525" s="185" t="s">
        <v>15</v>
      </c>
      <c r="H525" s="185" t="s">
        <v>15</v>
      </c>
      <c r="I525" s="185" t="s">
        <v>15</v>
      </c>
      <c r="J525" s="135" t="s">
        <v>1450</v>
      </c>
      <c r="K525" s="186">
        <v>2712</v>
      </c>
      <c r="L525" s="187" t="s">
        <v>173</v>
      </c>
      <c r="M525" s="187" t="s">
        <v>175</v>
      </c>
    </row>
    <row r="526" spans="1:13" s="188" customFormat="1">
      <c r="A526" s="185" t="s">
        <v>1447</v>
      </c>
      <c r="B526" s="133" t="s">
        <v>3609</v>
      </c>
      <c r="C526" s="185" t="s">
        <v>3023</v>
      </c>
      <c r="D526" s="133" t="s">
        <v>1989</v>
      </c>
      <c r="E526" s="134">
        <v>1</v>
      </c>
      <c r="F526" s="135" t="s">
        <v>1449</v>
      </c>
      <c r="G526" s="185" t="s">
        <v>15</v>
      </c>
      <c r="H526" s="185" t="s">
        <v>15</v>
      </c>
      <c r="I526" s="185" t="s">
        <v>15</v>
      </c>
      <c r="J526" s="135" t="s">
        <v>1450</v>
      </c>
      <c r="K526" s="186">
        <v>1872</v>
      </c>
      <c r="L526" s="187" t="s">
        <v>173</v>
      </c>
      <c r="M526" s="187" t="s">
        <v>175</v>
      </c>
    </row>
    <row r="527" spans="1:13" s="188" customFormat="1">
      <c r="A527" s="185" t="s">
        <v>1447</v>
      </c>
      <c r="B527" s="133" t="s">
        <v>3610</v>
      </c>
      <c r="C527" s="185" t="s">
        <v>3023</v>
      </c>
      <c r="D527" s="133" t="s">
        <v>1990</v>
      </c>
      <c r="E527" s="134">
        <v>1</v>
      </c>
      <c r="F527" s="135" t="s">
        <v>1449</v>
      </c>
      <c r="G527" s="185" t="s">
        <v>15</v>
      </c>
      <c r="H527" s="185" t="s">
        <v>15</v>
      </c>
      <c r="I527" s="185" t="s">
        <v>15</v>
      </c>
      <c r="J527" s="135" t="s">
        <v>1450</v>
      </c>
      <c r="K527" s="186">
        <v>3132</v>
      </c>
      <c r="L527" s="187" t="s">
        <v>173</v>
      </c>
      <c r="M527" s="187" t="s">
        <v>175</v>
      </c>
    </row>
    <row r="528" spans="1:13" s="188" customFormat="1">
      <c r="A528" s="185" t="s">
        <v>1447</v>
      </c>
      <c r="B528" s="133" t="s">
        <v>3611</v>
      </c>
      <c r="C528" s="185" t="s">
        <v>3023</v>
      </c>
      <c r="D528" s="133" t="s">
        <v>1990</v>
      </c>
      <c r="E528" s="134">
        <v>1</v>
      </c>
      <c r="F528" s="135" t="s">
        <v>1449</v>
      </c>
      <c r="G528" s="185" t="s">
        <v>15</v>
      </c>
      <c r="H528" s="185" t="s">
        <v>15</v>
      </c>
      <c r="I528" s="185" t="s">
        <v>15</v>
      </c>
      <c r="J528" s="135" t="s">
        <v>1450</v>
      </c>
      <c r="K528" s="186">
        <v>2772</v>
      </c>
      <c r="L528" s="187" t="s">
        <v>173</v>
      </c>
      <c r="M528" s="187" t="s">
        <v>175</v>
      </c>
    </row>
    <row r="529" spans="1:13" s="188" customFormat="1">
      <c r="A529" s="185" t="s">
        <v>1447</v>
      </c>
      <c r="B529" s="133" t="s">
        <v>3612</v>
      </c>
      <c r="C529" s="185" t="s">
        <v>3023</v>
      </c>
      <c r="D529" s="133" t="s">
        <v>1990</v>
      </c>
      <c r="E529" s="134">
        <v>1</v>
      </c>
      <c r="F529" s="135" t="s">
        <v>1449</v>
      </c>
      <c r="G529" s="185" t="s">
        <v>15</v>
      </c>
      <c r="H529" s="185" t="s">
        <v>15</v>
      </c>
      <c r="I529" s="185" t="s">
        <v>15</v>
      </c>
      <c r="J529" s="135" t="s">
        <v>1450</v>
      </c>
      <c r="K529" s="186">
        <v>1920</v>
      </c>
      <c r="L529" s="187" t="s">
        <v>173</v>
      </c>
      <c r="M529" s="187" t="s">
        <v>175</v>
      </c>
    </row>
    <row r="530" spans="1:13" s="188" customFormat="1">
      <c r="A530" s="185" t="s">
        <v>1447</v>
      </c>
      <c r="B530" s="133" t="s">
        <v>3613</v>
      </c>
      <c r="C530" s="185" t="s">
        <v>3023</v>
      </c>
      <c r="D530" s="133" t="s">
        <v>1991</v>
      </c>
      <c r="E530" s="134">
        <v>1</v>
      </c>
      <c r="F530" s="135" t="s">
        <v>1449</v>
      </c>
      <c r="G530" s="185" t="s">
        <v>15</v>
      </c>
      <c r="H530" s="185" t="s">
        <v>15</v>
      </c>
      <c r="I530" s="185" t="s">
        <v>15</v>
      </c>
      <c r="J530" s="135" t="s">
        <v>1450</v>
      </c>
      <c r="K530" s="186">
        <v>4152</v>
      </c>
      <c r="L530" s="187" t="s">
        <v>173</v>
      </c>
      <c r="M530" s="187" t="s">
        <v>175</v>
      </c>
    </row>
    <row r="531" spans="1:13" s="188" customFormat="1">
      <c r="A531" s="185" t="s">
        <v>1447</v>
      </c>
      <c r="B531" s="133" t="s">
        <v>3614</v>
      </c>
      <c r="C531" s="185" t="s">
        <v>3023</v>
      </c>
      <c r="D531" s="133" t="s">
        <v>1991</v>
      </c>
      <c r="E531" s="134">
        <v>1</v>
      </c>
      <c r="F531" s="135" t="s">
        <v>1449</v>
      </c>
      <c r="G531" s="185" t="s">
        <v>15</v>
      </c>
      <c r="H531" s="185" t="s">
        <v>15</v>
      </c>
      <c r="I531" s="185" t="s">
        <v>15</v>
      </c>
      <c r="J531" s="135" t="s">
        <v>1450</v>
      </c>
      <c r="K531" s="186">
        <v>2388</v>
      </c>
      <c r="L531" s="187" t="s">
        <v>173</v>
      </c>
      <c r="M531" s="187" t="s">
        <v>175</v>
      </c>
    </row>
    <row r="532" spans="1:13" s="188" customFormat="1">
      <c r="A532" s="185" t="s">
        <v>1447</v>
      </c>
      <c r="B532" s="133" t="s">
        <v>3615</v>
      </c>
      <c r="C532" s="185" t="s">
        <v>3023</v>
      </c>
      <c r="D532" s="133" t="s">
        <v>1991</v>
      </c>
      <c r="E532" s="134">
        <v>1</v>
      </c>
      <c r="F532" s="135" t="s">
        <v>1449</v>
      </c>
      <c r="G532" s="185" t="s">
        <v>15</v>
      </c>
      <c r="H532" s="185" t="s">
        <v>15</v>
      </c>
      <c r="I532" s="185" t="s">
        <v>15</v>
      </c>
      <c r="J532" s="135" t="s">
        <v>1450</v>
      </c>
      <c r="K532" s="186">
        <v>1044</v>
      </c>
      <c r="L532" s="187" t="s">
        <v>173</v>
      </c>
      <c r="M532" s="187" t="s">
        <v>175</v>
      </c>
    </row>
    <row r="533" spans="1:13" s="188" customFormat="1">
      <c r="A533" s="185" t="s">
        <v>1447</v>
      </c>
      <c r="B533" s="133" t="s">
        <v>3616</v>
      </c>
      <c r="C533" s="185" t="s">
        <v>3023</v>
      </c>
      <c r="D533" s="133" t="s">
        <v>1991</v>
      </c>
      <c r="E533" s="134">
        <v>1</v>
      </c>
      <c r="F533" s="135" t="s">
        <v>1449</v>
      </c>
      <c r="G533" s="185" t="s">
        <v>15</v>
      </c>
      <c r="H533" s="185" t="s">
        <v>15</v>
      </c>
      <c r="I533" s="185" t="s">
        <v>15</v>
      </c>
      <c r="J533" s="135" t="s">
        <v>1450</v>
      </c>
      <c r="K533" s="186">
        <v>348</v>
      </c>
      <c r="L533" s="187" t="s">
        <v>173</v>
      </c>
      <c r="M533" s="187" t="s">
        <v>175</v>
      </c>
    </row>
    <row r="534" spans="1:13" s="188" customFormat="1">
      <c r="A534" s="185" t="s">
        <v>1447</v>
      </c>
      <c r="B534" s="133" t="s">
        <v>3617</v>
      </c>
      <c r="C534" s="185" t="s">
        <v>3023</v>
      </c>
      <c r="D534" s="133" t="s">
        <v>1991</v>
      </c>
      <c r="E534" s="134">
        <v>1</v>
      </c>
      <c r="F534" s="135" t="s">
        <v>1449</v>
      </c>
      <c r="G534" s="185" t="s">
        <v>15</v>
      </c>
      <c r="H534" s="185" t="s">
        <v>15</v>
      </c>
      <c r="I534" s="185" t="s">
        <v>15</v>
      </c>
      <c r="J534" s="135" t="s">
        <v>1450</v>
      </c>
      <c r="K534" s="186">
        <v>180</v>
      </c>
      <c r="L534" s="187" t="s">
        <v>173</v>
      </c>
      <c r="M534" s="187" t="s">
        <v>175</v>
      </c>
    </row>
    <row r="535" spans="1:13" s="188" customFormat="1">
      <c r="A535" s="185" t="s">
        <v>1447</v>
      </c>
      <c r="B535" s="133" t="s">
        <v>3618</v>
      </c>
      <c r="C535" s="185" t="s">
        <v>3023</v>
      </c>
      <c r="D535" s="133" t="s">
        <v>3619</v>
      </c>
      <c r="E535" s="134">
        <v>1</v>
      </c>
      <c r="F535" s="135" t="s">
        <v>1449</v>
      </c>
      <c r="G535" s="185" t="s">
        <v>15</v>
      </c>
      <c r="H535" s="185" t="s">
        <v>15</v>
      </c>
      <c r="I535" s="185" t="s">
        <v>15</v>
      </c>
      <c r="J535" s="135" t="s">
        <v>1450</v>
      </c>
      <c r="K535" s="186">
        <v>10776</v>
      </c>
      <c r="L535" s="187" t="s">
        <v>173</v>
      </c>
      <c r="M535" s="187" t="s">
        <v>175</v>
      </c>
    </row>
    <row r="536" spans="1:13" s="188" customFormat="1">
      <c r="A536" s="185" t="s">
        <v>1447</v>
      </c>
      <c r="B536" s="133" t="s">
        <v>3620</v>
      </c>
      <c r="C536" s="185" t="s">
        <v>3023</v>
      </c>
      <c r="D536" s="133" t="s">
        <v>3619</v>
      </c>
      <c r="E536" s="134">
        <v>1</v>
      </c>
      <c r="F536" s="135" t="s">
        <v>1449</v>
      </c>
      <c r="G536" s="185" t="s">
        <v>15</v>
      </c>
      <c r="H536" s="185" t="s">
        <v>15</v>
      </c>
      <c r="I536" s="185" t="s">
        <v>15</v>
      </c>
      <c r="J536" s="135" t="s">
        <v>1450</v>
      </c>
      <c r="K536" s="186">
        <v>6420</v>
      </c>
      <c r="L536" s="187" t="s">
        <v>173</v>
      </c>
      <c r="M536" s="187" t="s">
        <v>175</v>
      </c>
    </row>
    <row r="537" spans="1:13" s="188" customFormat="1">
      <c r="A537" s="185" t="s">
        <v>1447</v>
      </c>
      <c r="B537" s="133" t="s">
        <v>3621</v>
      </c>
      <c r="C537" s="185" t="s">
        <v>3023</v>
      </c>
      <c r="D537" s="133" t="s">
        <v>3619</v>
      </c>
      <c r="E537" s="134">
        <v>1</v>
      </c>
      <c r="F537" s="135" t="s">
        <v>1449</v>
      </c>
      <c r="G537" s="185" t="s">
        <v>15</v>
      </c>
      <c r="H537" s="185" t="s">
        <v>15</v>
      </c>
      <c r="I537" s="185" t="s">
        <v>15</v>
      </c>
      <c r="J537" s="135" t="s">
        <v>1450</v>
      </c>
      <c r="K537" s="186">
        <v>4356</v>
      </c>
      <c r="L537" s="187" t="s">
        <v>173</v>
      </c>
      <c r="M537" s="187" t="s">
        <v>175</v>
      </c>
    </row>
    <row r="538" spans="1:13" s="188" customFormat="1">
      <c r="A538" s="185" t="s">
        <v>1447</v>
      </c>
      <c r="B538" s="133" t="s">
        <v>3622</v>
      </c>
      <c r="C538" s="185" t="s">
        <v>3023</v>
      </c>
      <c r="D538" s="133" t="s">
        <v>3619</v>
      </c>
      <c r="E538" s="134">
        <v>1</v>
      </c>
      <c r="F538" s="135" t="s">
        <v>1449</v>
      </c>
      <c r="G538" s="185" t="s">
        <v>15</v>
      </c>
      <c r="H538" s="185" t="s">
        <v>15</v>
      </c>
      <c r="I538" s="185" t="s">
        <v>15</v>
      </c>
      <c r="J538" s="135" t="s">
        <v>1450</v>
      </c>
      <c r="K538" s="186">
        <v>1680</v>
      </c>
      <c r="L538" s="187" t="s">
        <v>173</v>
      </c>
      <c r="M538" s="187" t="s">
        <v>175</v>
      </c>
    </row>
    <row r="539" spans="1:13" s="188" customFormat="1">
      <c r="A539" s="185" t="s">
        <v>1447</v>
      </c>
      <c r="B539" s="133" t="s">
        <v>3623</v>
      </c>
      <c r="C539" s="185" t="s">
        <v>3023</v>
      </c>
      <c r="D539" s="133" t="s">
        <v>3619</v>
      </c>
      <c r="E539" s="134">
        <v>1</v>
      </c>
      <c r="F539" s="135" t="s">
        <v>1449</v>
      </c>
      <c r="G539" s="185" t="s">
        <v>15</v>
      </c>
      <c r="H539" s="185" t="s">
        <v>15</v>
      </c>
      <c r="I539" s="185" t="s">
        <v>15</v>
      </c>
      <c r="J539" s="135" t="s">
        <v>1450</v>
      </c>
      <c r="K539" s="186">
        <v>672</v>
      </c>
      <c r="L539" s="187" t="s">
        <v>173</v>
      </c>
      <c r="M539" s="187" t="s">
        <v>175</v>
      </c>
    </row>
    <row r="540" spans="1:13" s="188" customFormat="1">
      <c r="A540" s="185" t="s">
        <v>1447</v>
      </c>
      <c r="B540" s="133" t="s">
        <v>3624</v>
      </c>
      <c r="C540" s="185" t="s">
        <v>3023</v>
      </c>
      <c r="D540" s="133" t="s">
        <v>1992</v>
      </c>
      <c r="E540" s="134">
        <v>1</v>
      </c>
      <c r="F540" s="135" t="s">
        <v>1449</v>
      </c>
      <c r="G540" s="185" t="s">
        <v>15</v>
      </c>
      <c r="H540" s="185" t="s">
        <v>15</v>
      </c>
      <c r="I540" s="185" t="s">
        <v>15</v>
      </c>
      <c r="J540" s="135" t="s">
        <v>1450</v>
      </c>
      <c r="K540" s="186">
        <v>7608</v>
      </c>
      <c r="L540" s="187" t="s">
        <v>173</v>
      </c>
      <c r="M540" s="187" t="s">
        <v>175</v>
      </c>
    </row>
    <row r="541" spans="1:13" s="188" customFormat="1">
      <c r="A541" s="185" t="s">
        <v>1447</v>
      </c>
      <c r="B541" s="133" t="s">
        <v>3625</v>
      </c>
      <c r="C541" s="185" t="s">
        <v>3023</v>
      </c>
      <c r="D541" s="133" t="s">
        <v>1992</v>
      </c>
      <c r="E541" s="134">
        <v>1</v>
      </c>
      <c r="F541" s="135" t="s">
        <v>1449</v>
      </c>
      <c r="G541" s="185" t="s">
        <v>15</v>
      </c>
      <c r="H541" s="185" t="s">
        <v>15</v>
      </c>
      <c r="I541" s="185" t="s">
        <v>15</v>
      </c>
      <c r="J541" s="135" t="s">
        <v>1450</v>
      </c>
      <c r="K541" s="186">
        <v>6252</v>
      </c>
      <c r="L541" s="187" t="s">
        <v>173</v>
      </c>
      <c r="M541" s="187" t="s">
        <v>175</v>
      </c>
    </row>
    <row r="542" spans="1:13" s="188" customFormat="1">
      <c r="A542" s="185" t="s">
        <v>1447</v>
      </c>
      <c r="B542" s="133" t="s">
        <v>3626</v>
      </c>
      <c r="C542" s="185" t="s">
        <v>3023</v>
      </c>
      <c r="D542" s="133" t="s">
        <v>1992</v>
      </c>
      <c r="E542" s="134">
        <v>1</v>
      </c>
      <c r="F542" s="135" t="s">
        <v>1449</v>
      </c>
      <c r="G542" s="185" t="s">
        <v>15</v>
      </c>
      <c r="H542" s="185" t="s">
        <v>15</v>
      </c>
      <c r="I542" s="185" t="s">
        <v>15</v>
      </c>
      <c r="J542" s="135" t="s">
        <v>1450</v>
      </c>
      <c r="K542" s="186">
        <v>4728</v>
      </c>
      <c r="L542" s="187" t="s">
        <v>173</v>
      </c>
      <c r="M542" s="187" t="s">
        <v>175</v>
      </c>
    </row>
    <row r="543" spans="1:13" s="188" customFormat="1">
      <c r="A543" s="185" t="s">
        <v>1447</v>
      </c>
      <c r="B543" s="133" t="s">
        <v>3627</v>
      </c>
      <c r="C543" s="185" t="s">
        <v>3023</v>
      </c>
      <c r="D543" s="133" t="s">
        <v>1994</v>
      </c>
      <c r="E543" s="134">
        <v>1</v>
      </c>
      <c r="F543" s="135" t="s">
        <v>1449</v>
      </c>
      <c r="G543" s="185" t="s">
        <v>15</v>
      </c>
      <c r="H543" s="185" t="s">
        <v>15</v>
      </c>
      <c r="I543" s="185" t="s">
        <v>15</v>
      </c>
      <c r="J543" s="135" t="s">
        <v>1450</v>
      </c>
      <c r="K543" s="186">
        <v>199224</v>
      </c>
      <c r="L543" s="187" t="s">
        <v>173</v>
      </c>
      <c r="M543" s="187" t="s">
        <v>175</v>
      </c>
    </row>
    <row r="544" spans="1:13" s="188" customFormat="1">
      <c r="A544" s="185" t="s">
        <v>1447</v>
      </c>
      <c r="B544" s="133" t="s">
        <v>3628</v>
      </c>
      <c r="C544" s="185" t="s">
        <v>3023</v>
      </c>
      <c r="D544" s="133" t="s">
        <v>3629</v>
      </c>
      <c r="E544" s="134">
        <v>1</v>
      </c>
      <c r="F544" s="135" t="s">
        <v>1449</v>
      </c>
      <c r="G544" s="185" t="s">
        <v>15</v>
      </c>
      <c r="H544" s="185" t="s">
        <v>15</v>
      </c>
      <c r="I544" s="185" t="s">
        <v>15</v>
      </c>
      <c r="J544" s="135" t="s">
        <v>1450</v>
      </c>
      <c r="K544" s="186">
        <v>10200</v>
      </c>
      <c r="L544" s="187" t="s">
        <v>173</v>
      </c>
      <c r="M544" s="187" t="s">
        <v>175</v>
      </c>
    </row>
    <row r="545" spans="1:13" s="188" customFormat="1">
      <c r="A545" s="185" t="s">
        <v>1447</v>
      </c>
      <c r="B545" s="133" t="s">
        <v>3630</v>
      </c>
      <c r="C545" s="185" t="s">
        <v>3023</v>
      </c>
      <c r="D545" s="133" t="s">
        <v>3629</v>
      </c>
      <c r="E545" s="134">
        <v>1</v>
      </c>
      <c r="F545" s="135" t="s">
        <v>1449</v>
      </c>
      <c r="G545" s="185" t="s">
        <v>15</v>
      </c>
      <c r="H545" s="185" t="s">
        <v>15</v>
      </c>
      <c r="I545" s="185" t="s">
        <v>15</v>
      </c>
      <c r="J545" s="135" t="s">
        <v>1450</v>
      </c>
      <c r="K545" s="186">
        <v>7200</v>
      </c>
      <c r="L545" s="187" t="s">
        <v>173</v>
      </c>
      <c r="M545" s="187" t="s">
        <v>175</v>
      </c>
    </row>
    <row r="546" spans="1:13" s="188" customFormat="1">
      <c r="A546" s="185" t="s">
        <v>1447</v>
      </c>
      <c r="B546" s="133" t="s">
        <v>3631</v>
      </c>
      <c r="C546" s="185" t="s">
        <v>3023</v>
      </c>
      <c r="D546" s="133" t="s">
        <v>3629</v>
      </c>
      <c r="E546" s="134">
        <v>1</v>
      </c>
      <c r="F546" s="135" t="s">
        <v>1449</v>
      </c>
      <c r="G546" s="185" t="s">
        <v>15</v>
      </c>
      <c r="H546" s="185" t="s">
        <v>15</v>
      </c>
      <c r="I546" s="185" t="s">
        <v>15</v>
      </c>
      <c r="J546" s="135" t="s">
        <v>1450</v>
      </c>
      <c r="K546" s="186">
        <v>6000</v>
      </c>
      <c r="L546" s="187" t="s">
        <v>173</v>
      </c>
      <c r="M546" s="187" t="s">
        <v>175</v>
      </c>
    </row>
    <row r="547" spans="1:13" s="188" customFormat="1">
      <c r="A547" s="185" t="s">
        <v>1447</v>
      </c>
      <c r="B547" s="133" t="s">
        <v>3632</v>
      </c>
      <c r="C547" s="185" t="s">
        <v>3023</v>
      </c>
      <c r="D547" s="133" t="s">
        <v>3629</v>
      </c>
      <c r="E547" s="134">
        <v>1</v>
      </c>
      <c r="F547" s="135" t="s">
        <v>1449</v>
      </c>
      <c r="G547" s="185" t="s">
        <v>15</v>
      </c>
      <c r="H547" s="185" t="s">
        <v>15</v>
      </c>
      <c r="I547" s="185" t="s">
        <v>15</v>
      </c>
      <c r="J547" s="135" t="s">
        <v>1450</v>
      </c>
      <c r="K547" s="186">
        <v>5400</v>
      </c>
      <c r="L547" s="187" t="s">
        <v>173</v>
      </c>
      <c r="M547" s="187" t="s">
        <v>175</v>
      </c>
    </row>
    <row r="548" spans="1:13" s="188" customFormat="1">
      <c r="A548" s="185" t="s">
        <v>1447</v>
      </c>
      <c r="B548" s="133" t="s">
        <v>3633</v>
      </c>
      <c r="C548" s="185" t="s">
        <v>3023</v>
      </c>
      <c r="D548" s="133" t="s">
        <v>3629</v>
      </c>
      <c r="E548" s="134">
        <v>1</v>
      </c>
      <c r="F548" s="135" t="s">
        <v>1449</v>
      </c>
      <c r="G548" s="185" t="s">
        <v>15</v>
      </c>
      <c r="H548" s="185" t="s">
        <v>15</v>
      </c>
      <c r="I548" s="185" t="s">
        <v>15</v>
      </c>
      <c r="J548" s="135" t="s">
        <v>1450</v>
      </c>
      <c r="K548" s="186">
        <v>4800</v>
      </c>
      <c r="L548" s="187" t="s">
        <v>173</v>
      </c>
      <c r="M548" s="187" t="s">
        <v>175</v>
      </c>
    </row>
    <row r="549" spans="1:13" s="188" customFormat="1">
      <c r="A549" s="185" t="s">
        <v>1447</v>
      </c>
      <c r="B549" s="133" t="s">
        <v>3634</v>
      </c>
      <c r="C549" s="185" t="s">
        <v>3023</v>
      </c>
      <c r="D549" s="133" t="s">
        <v>3635</v>
      </c>
      <c r="E549" s="134">
        <v>1</v>
      </c>
      <c r="F549" s="135" t="s">
        <v>1449</v>
      </c>
      <c r="G549" s="185" t="s">
        <v>15</v>
      </c>
      <c r="H549" s="185" t="s">
        <v>15</v>
      </c>
      <c r="I549" s="185" t="s">
        <v>15</v>
      </c>
      <c r="J549" s="135" t="s">
        <v>1450</v>
      </c>
      <c r="K549" s="186">
        <v>19200</v>
      </c>
      <c r="L549" s="187" t="s">
        <v>173</v>
      </c>
      <c r="M549" s="187" t="s">
        <v>175</v>
      </c>
    </row>
    <row r="550" spans="1:13" s="188" customFormat="1">
      <c r="A550" s="185" t="s">
        <v>1447</v>
      </c>
      <c r="B550" s="133" t="s">
        <v>3636</v>
      </c>
      <c r="C550" s="185" t="s">
        <v>3023</v>
      </c>
      <c r="D550" s="133" t="s">
        <v>3635</v>
      </c>
      <c r="E550" s="134">
        <v>1</v>
      </c>
      <c r="F550" s="135" t="s">
        <v>1449</v>
      </c>
      <c r="G550" s="185" t="s">
        <v>15</v>
      </c>
      <c r="H550" s="185" t="s">
        <v>15</v>
      </c>
      <c r="I550" s="185" t="s">
        <v>15</v>
      </c>
      <c r="J550" s="135" t="s">
        <v>1450</v>
      </c>
      <c r="K550" s="186">
        <v>18000</v>
      </c>
      <c r="L550" s="187" t="s">
        <v>173</v>
      </c>
      <c r="M550" s="187" t="s">
        <v>175</v>
      </c>
    </row>
    <row r="551" spans="1:13" s="188" customFormat="1">
      <c r="A551" s="185" t="s">
        <v>1447</v>
      </c>
      <c r="B551" s="133" t="s">
        <v>3637</v>
      </c>
      <c r="C551" s="185" t="s">
        <v>3023</v>
      </c>
      <c r="D551" s="133" t="s">
        <v>3635</v>
      </c>
      <c r="E551" s="134">
        <v>1</v>
      </c>
      <c r="F551" s="135" t="s">
        <v>1449</v>
      </c>
      <c r="G551" s="185" t="s">
        <v>15</v>
      </c>
      <c r="H551" s="185" t="s">
        <v>15</v>
      </c>
      <c r="I551" s="185" t="s">
        <v>15</v>
      </c>
      <c r="J551" s="135" t="s">
        <v>1450</v>
      </c>
      <c r="K551" s="186">
        <v>16800</v>
      </c>
      <c r="L551" s="187" t="s">
        <v>173</v>
      </c>
      <c r="M551" s="187" t="s">
        <v>175</v>
      </c>
    </row>
    <row r="552" spans="1:13" s="188" customFormat="1">
      <c r="A552" s="185" t="s">
        <v>1447</v>
      </c>
      <c r="B552" s="133" t="s">
        <v>3638</v>
      </c>
      <c r="C552" s="185" t="s">
        <v>3023</v>
      </c>
      <c r="D552" s="133" t="s">
        <v>3635</v>
      </c>
      <c r="E552" s="134">
        <v>1</v>
      </c>
      <c r="F552" s="135" t="s">
        <v>1449</v>
      </c>
      <c r="G552" s="185" t="s">
        <v>15</v>
      </c>
      <c r="H552" s="185" t="s">
        <v>15</v>
      </c>
      <c r="I552" s="185" t="s">
        <v>15</v>
      </c>
      <c r="J552" s="135" t="s">
        <v>1450</v>
      </c>
      <c r="K552" s="186">
        <v>15600</v>
      </c>
      <c r="L552" s="187" t="s">
        <v>173</v>
      </c>
      <c r="M552" s="187" t="s">
        <v>175</v>
      </c>
    </row>
    <row r="553" spans="1:13" s="188" customFormat="1">
      <c r="A553" s="185" t="s">
        <v>1447</v>
      </c>
      <c r="B553" s="133" t="s">
        <v>3639</v>
      </c>
      <c r="C553" s="185" t="s">
        <v>3023</v>
      </c>
      <c r="D553" s="133" t="s">
        <v>3635</v>
      </c>
      <c r="E553" s="134">
        <v>1</v>
      </c>
      <c r="F553" s="135" t="s">
        <v>1449</v>
      </c>
      <c r="G553" s="185" t="s">
        <v>15</v>
      </c>
      <c r="H553" s="185" t="s">
        <v>15</v>
      </c>
      <c r="I553" s="185" t="s">
        <v>15</v>
      </c>
      <c r="J553" s="135" t="s">
        <v>1450</v>
      </c>
      <c r="K553" s="186">
        <v>14400</v>
      </c>
      <c r="L553" s="187" t="s">
        <v>173</v>
      </c>
      <c r="M553" s="187" t="s">
        <v>175</v>
      </c>
    </row>
    <row r="554" spans="1:13" s="188" customFormat="1">
      <c r="A554" s="185" t="s">
        <v>1447</v>
      </c>
      <c r="B554" s="133" t="s">
        <v>3640</v>
      </c>
      <c r="C554" s="185" t="s">
        <v>3023</v>
      </c>
      <c r="D554" s="133" t="s">
        <v>2022</v>
      </c>
      <c r="E554" s="134">
        <v>1</v>
      </c>
      <c r="F554" s="135" t="s">
        <v>1449</v>
      </c>
      <c r="G554" s="185" t="s">
        <v>15</v>
      </c>
      <c r="H554" s="185" t="s">
        <v>15</v>
      </c>
      <c r="I554" s="185" t="s">
        <v>15</v>
      </c>
      <c r="J554" s="135" t="s">
        <v>1450</v>
      </c>
      <c r="K554" s="186">
        <v>3336</v>
      </c>
      <c r="L554" s="187" t="s">
        <v>173</v>
      </c>
      <c r="M554" s="187" t="s">
        <v>175</v>
      </c>
    </row>
    <row r="555" spans="1:13" s="188" customFormat="1">
      <c r="A555" s="185" t="s">
        <v>1447</v>
      </c>
      <c r="B555" s="133" t="s">
        <v>3641</v>
      </c>
      <c r="C555" s="185" t="s">
        <v>3023</v>
      </c>
      <c r="D555" s="133" t="s">
        <v>2022</v>
      </c>
      <c r="E555" s="134">
        <v>1</v>
      </c>
      <c r="F555" s="135" t="s">
        <v>1449</v>
      </c>
      <c r="G555" s="185" t="s">
        <v>15</v>
      </c>
      <c r="H555" s="185" t="s">
        <v>15</v>
      </c>
      <c r="I555" s="185" t="s">
        <v>15</v>
      </c>
      <c r="J555" s="135" t="s">
        <v>1450</v>
      </c>
      <c r="K555" s="186">
        <v>2748</v>
      </c>
      <c r="L555" s="187" t="s">
        <v>173</v>
      </c>
      <c r="M555" s="187" t="s">
        <v>175</v>
      </c>
    </row>
    <row r="556" spans="1:13" s="188" customFormat="1">
      <c r="A556" s="185" t="s">
        <v>1447</v>
      </c>
      <c r="B556" s="133" t="s">
        <v>3642</v>
      </c>
      <c r="C556" s="185" t="s">
        <v>3023</v>
      </c>
      <c r="D556" s="133" t="s">
        <v>2022</v>
      </c>
      <c r="E556" s="134">
        <v>1</v>
      </c>
      <c r="F556" s="135" t="s">
        <v>1449</v>
      </c>
      <c r="G556" s="185" t="s">
        <v>15</v>
      </c>
      <c r="H556" s="185" t="s">
        <v>15</v>
      </c>
      <c r="I556" s="185" t="s">
        <v>15</v>
      </c>
      <c r="J556" s="135" t="s">
        <v>1450</v>
      </c>
      <c r="K556" s="186">
        <v>2052</v>
      </c>
      <c r="L556" s="187" t="s">
        <v>173</v>
      </c>
      <c r="M556" s="187" t="s">
        <v>175</v>
      </c>
    </row>
    <row r="557" spans="1:13" s="188" customFormat="1">
      <c r="A557" s="185" t="s">
        <v>1447</v>
      </c>
      <c r="B557" s="133" t="s">
        <v>3643</v>
      </c>
      <c r="C557" s="185" t="s">
        <v>3023</v>
      </c>
      <c r="D557" s="133" t="s">
        <v>2022</v>
      </c>
      <c r="E557" s="134">
        <v>1</v>
      </c>
      <c r="F557" s="135" t="s">
        <v>1449</v>
      </c>
      <c r="G557" s="185" t="s">
        <v>15</v>
      </c>
      <c r="H557" s="185" t="s">
        <v>15</v>
      </c>
      <c r="I557" s="185" t="s">
        <v>15</v>
      </c>
      <c r="J557" s="135" t="s">
        <v>1450</v>
      </c>
      <c r="K557" s="186">
        <v>1836</v>
      </c>
      <c r="L557" s="187" t="s">
        <v>173</v>
      </c>
      <c r="M557" s="187" t="s">
        <v>175</v>
      </c>
    </row>
    <row r="558" spans="1:13" s="188" customFormat="1">
      <c r="A558" s="185" t="s">
        <v>1447</v>
      </c>
      <c r="B558" s="133" t="s">
        <v>3644</v>
      </c>
      <c r="C558" s="185" t="s">
        <v>3023</v>
      </c>
      <c r="D558" s="133" t="s">
        <v>1998</v>
      </c>
      <c r="E558" s="134">
        <v>1</v>
      </c>
      <c r="F558" s="135" t="s">
        <v>1449</v>
      </c>
      <c r="G558" s="185" t="s">
        <v>15</v>
      </c>
      <c r="H558" s="185" t="s">
        <v>15</v>
      </c>
      <c r="I558" s="185" t="s">
        <v>15</v>
      </c>
      <c r="J558" s="135" t="s">
        <v>1450</v>
      </c>
      <c r="K558" s="186">
        <v>8412</v>
      </c>
      <c r="L558" s="187" t="s">
        <v>173</v>
      </c>
      <c r="M558" s="187" t="s">
        <v>175</v>
      </c>
    </row>
    <row r="559" spans="1:13" s="188" customFormat="1">
      <c r="A559" s="185" t="s">
        <v>1447</v>
      </c>
      <c r="B559" s="133" t="s">
        <v>3645</v>
      </c>
      <c r="C559" s="185" t="s">
        <v>3023</v>
      </c>
      <c r="D559" s="133" t="s">
        <v>1998</v>
      </c>
      <c r="E559" s="134">
        <v>1</v>
      </c>
      <c r="F559" s="135" t="s">
        <v>1449</v>
      </c>
      <c r="G559" s="185" t="s">
        <v>15</v>
      </c>
      <c r="H559" s="185" t="s">
        <v>15</v>
      </c>
      <c r="I559" s="185" t="s">
        <v>15</v>
      </c>
      <c r="J559" s="135" t="s">
        <v>1450</v>
      </c>
      <c r="K559" s="186">
        <v>5700</v>
      </c>
      <c r="L559" s="187" t="s">
        <v>173</v>
      </c>
      <c r="M559" s="187" t="s">
        <v>175</v>
      </c>
    </row>
    <row r="560" spans="1:13" s="188" customFormat="1">
      <c r="A560" s="185" t="s">
        <v>1447</v>
      </c>
      <c r="B560" s="133" t="s">
        <v>3646</v>
      </c>
      <c r="C560" s="185" t="s">
        <v>3023</v>
      </c>
      <c r="D560" s="133" t="s">
        <v>1998</v>
      </c>
      <c r="E560" s="134">
        <v>1</v>
      </c>
      <c r="F560" s="135" t="s">
        <v>1449</v>
      </c>
      <c r="G560" s="185" t="s">
        <v>15</v>
      </c>
      <c r="H560" s="185" t="s">
        <v>15</v>
      </c>
      <c r="I560" s="185" t="s">
        <v>15</v>
      </c>
      <c r="J560" s="135" t="s">
        <v>1450</v>
      </c>
      <c r="K560" s="186">
        <v>3540</v>
      </c>
      <c r="L560" s="187" t="s">
        <v>173</v>
      </c>
      <c r="M560" s="187" t="s">
        <v>175</v>
      </c>
    </row>
    <row r="561" spans="1:13" s="188" customFormat="1">
      <c r="A561" s="185" t="s">
        <v>1447</v>
      </c>
      <c r="B561" s="133" t="s">
        <v>3647</v>
      </c>
      <c r="C561" s="185" t="s">
        <v>3023</v>
      </c>
      <c r="D561" s="133" t="s">
        <v>1998</v>
      </c>
      <c r="E561" s="134">
        <v>1</v>
      </c>
      <c r="F561" s="135" t="s">
        <v>1449</v>
      </c>
      <c r="G561" s="185" t="s">
        <v>15</v>
      </c>
      <c r="H561" s="185" t="s">
        <v>15</v>
      </c>
      <c r="I561" s="185" t="s">
        <v>15</v>
      </c>
      <c r="J561" s="135" t="s">
        <v>1450</v>
      </c>
      <c r="K561" s="186">
        <v>2724</v>
      </c>
      <c r="L561" s="187" t="s">
        <v>173</v>
      </c>
      <c r="M561" s="187" t="s">
        <v>175</v>
      </c>
    </row>
    <row r="562" spans="1:13" s="188" customFormat="1">
      <c r="A562" s="185" t="s">
        <v>1447</v>
      </c>
      <c r="B562" s="133" t="s">
        <v>3648</v>
      </c>
      <c r="C562" s="185" t="s">
        <v>3023</v>
      </c>
      <c r="D562" s="133" t="s">
        <v>1999</v>
      </c>
      <c r="E562" s="134">
        <v>1</v>
      </c>
      <c r="F562" s="135" t="s">
        <v>1449</v>
      </c>
      <c r="G562" s="185" t="s">
        <v>15</v>
      </c>
      <c r="H562" s="185" t="s">
        <v>15</v>
      </c>
      <c r="I562" s="185" t="s">
        <v>15</v>
      </c>
      <c r="J562" s="135" t="s">
        <v>1450</v>
      </c>
      <c r="K562" s="186">
        <v>128592</v>
      </c>
      <c r="L562" s="187" t="s">
        <v>173</v>
      </c>
      <c r="M562" s="187" t="s">
        <v>175</v>
      </c>
    </row>
    <row r="563" spans="1:13" s="188" customFormat="1">
      <c r="A563" s="185" t="s">
        <v>1447</v>
      </c>
      <c r="B563" s="133" t="s">
        <v>3649</v>
      </c>
      <c r="C563" s="185" t="s">
        <v>3023</v>
      </c>
      <c r="D563" s="133" t="s">
        <v>2000</v>
      </c>
      <c r="E563" s="134">
        <v>1</v>
      </c>
      <c r="F563" s="135" t="s">
        <v>1449</v>
      </c>
      <c r="G563" s="185" t="s">
        <v>15</v>
      </c>
      <c r="H563" s="185" t="s">
        <v>15</v>
      </c>
      <c r="I563" s="185" t="s">
        <v>15</v>
      </c>
      <c r="J563" s="135" t="s">
        <v>1450</v>
      </c>
      <c r="K563" s="186">
        <v>164112</v>
      </c>
      <c r="L563" s="187" t="s">
        <v>173</v>
      </c>
      <c r="M563" s="187" t="s">
        <v>175</v>
      </c>
    </row>
    <row r="564" spans="1:13" s="188" customFormat="1">
      <c r="A564" s="185" t="s">
        <v>1447</v>
      </c>
      <c r="B564" s="133" t="s">
        <v>3650</v>
      </c>
      <c r="C564" s="185" t="s">
        <v>3023</v>
      </c>
      <c r="D564" s="133" t="s">
        <v>2001</v>
      </c>
      <c r="E564" s="134">
        <v>1</v>
      </c>
      <c r="F564" s="135" t="s">
        <v>1449</v>
      </c>
      <c r="G564" s="185" t="s">
        <v>15</v>
      </c>
      <c r="H564" s="185" t="s">
        <v>15</v>
      </c>
      <c r="I564" s="185" t="s">
        <v>15</v>
      </c>
      <c r="J564" s="135" t="s">
        <v>1450</v>
      </c>
      <c r="K564" s="186">
        <v>215724</v>
      </c>
      <c r="L564" s="187" t="s">
        <v>173</v>
      </c>
      <c r="M564" s="187" t="s">
        <v>175</v>
      </c>
    </row>
    <row r="565" spans="1:13" s="188" customFormat="1">
      <c r="A565" s="185" t="s">
        <v>1447</v>
      </c>
      <c r="B565" s="133" t="s">
        <v>3651</v>
      </c>
      <c r="C565" s="185" t="s">
        <v>3023</v>
      </c>
      <c r="D565" s="133" t="s">
        <v>2002</v>
      </c>
      <c r="E565" s="134">
        <v>1</v>
      </c>
      <c r="F565" s="135" t="s">
        <v>1449</v>
      </c>
      <c r="G565" s="185" t="s">
        <v>15</v>
      </c>
      <c r="H565" s="185" t="s">
        <v>15</v>
      </c>
      <c r="I565" s="185" t="s">
        <v>15</v>
      </c>
      <c r="J565" s="135" t="s">
        <v>1450</v>
      </c>
      <c r="K565" s="186">
        <v>295428</v>
      </c>
      <c r="L565" s="187" t="s">
        <v>173</v>
      </c>
      <c r="M565" s="187" t="s">
        <v>175</v>
      </c>
    </row>
    <row r="566" spans="1:13" s="188" customFormat="1">
      <c r="A566" s="185" t="s">
        <v>1447</v>
      </c>
      <c r="B566" s="133" t="s">
        <v>3652</v>
      </c>
      <c r="C566" s="185" t="s">
        <v>3023</v>
      </c>
      <c r="D566" s="133" t="s">
        <v>2003</v>
      </c>
      <c r="E566" s="134">
        <v>1</v>
      </c>
      <c r="F566" s="135" t="s">
        <v>1449</v>
      </c>
      <c r="G566" s="185" t="s">
        <v>15</v>
      </c>
      <c r="H566" s="185" t="s">
        <v>15</v>
      </c>
      <c r="I566" s="185" t="s">
        <v>15</v>
      </c>
      <c r="J566" s="135" t="s">
        <v>1450</v>
      </c>
      <c r="K566" s="186">
        <v>480300</v>
      </c>
      <c r="L566" s="187" t="s">
        <v>173</v>
      </c>
      <c r="M566" s="187" t="s">
        <v>175</v>
      </c>
    </row>
    <row r="567" spans="1:13" s="188" customFormat="1">
      <c r="A567" s="185" t="s">
        <v>1447</v>
      </c>
      <c r="B567" s="133" t="s">
        <v>3653</v>
      </c>
      <c r="C567" s="185" t="s">
        <v>3023</v>
      </c>
      <c r="D567" s="133" t="s">
        <v>2004</v>
      </c>
      <c r="E567" s="134">
        <v>1</v>
      </c>
      <c r="F567" s="135" t="s">
        <v>1449</v>
      </c>
      <c r="G567" s="185" t="s">
        <v>15</v>
      </c>
      <c r="H567" s="185" t="s">
        <v>15</v>
      </c>
      <c r="I567" s="185" t="s">
        <v>15</v>
      </c>
      <c r="J567" s="135" t="s">
        <v>1450</v>
      </c>
      <c r="K567" s="186">
        <v>3168</v>
      </c>
      <c r="L567" s="187" t="s">
        <v>173</v>
      </c>
      <c r="M567" s="187" t="s">
        <v>175</v>
      </c>
    </row>
    <row r="568" spans="1:13" s="188" customFormat="1">
      <c r="A568" s="185" t="s">
        <v>1447</v>
      </c>
      <c r="B568" s="133" t="s">
        <v>3654</v>
      </c>
      <c r="C568" s="185" t="s">
        <v>3023</v>
      </c>
      <c r="D568" s="133" t="s">
        <v>2004</v>
      </c>
      <c r="E568" s="134">
        <v>1</v>
      </c>
      <c r="F568" s="135" t="s">
        <v>1449</v>
      </c>
      <c r="G568" s="185" t="s">
        <v>15</v>
      </c>
      <c r="H568" s="185" t="s">
        <v>15</v>
      </c>
      <c r="I568" s="185" t="s">
        <v>15</v>
      </c>
      <c r="J568" s="135" t="s">
        <v>1450</v>
      </c>
      <c r="K568" s="186">
        <v>2796</v>
      </c>
      <c r="L568" s="187" t="s">
        <v>173</v>
      </c>
      <c r="M568" s="187" t="s">
        <v>175</v>
      </c>
    </row>
    <row r="569" spans="1:13" s="188" customFormat="1">
      <c r="A569" s="185" t="s">
        <v>1447</v>
      </c>
      <c r="B569" s="133" t="s">
        <v>3655</v>
      </c>
      <c r="C569" s="185" t="s">
        <v>3023</v>
      </c>
      <c r="D569" s="133" t="s">
        <v>2004</v>
      </c>
      <c r="E569" s="134">
        <v>1</v>
      </c>
      <c r="F569" s="135" t="s">
        <v>1449</v>
      </c>
      <c r="G569" s="185" t="s">
        <v>15</v>
      </c>
      <c r="H569" s="185" t="s">
        <v>15</v>
      </c>
      <c r="I569" s="185" t="s">
        <v>15</v>
      </c>
      <c r="J569" s="135" t="s">
        <v>1450</v>
      </c>
      <c r="K569" s="186">
        <v>1932</v>
      </c>
      <c r="L569" s="187" t="s">
        <v>173</v>
      </c>
      <c r="M569" s="187" t="s">
        <v>175</v>
      </c>
    </row>
    <row r="570" spans="1:13" s="188" customFormat="1">
      <c r="A570" s="185" t="s">
        <v>1447</v>
      </c>
      <c r="B570" s="133" t="s">
        <v>3656</v>
      </c>
      <c r="C570" s="185" t="s">
        <v>3023</v>
      </c>
      <c r="D570" s="133" t="s">
        <v>2005</v>
      </c>
      <c r="E570" s="134">
        <v>1</v>
      </c>
      <c r="F570" s="135" t="s">
        <v>1449</v>
      </c>
      <c r="G570" s="185" t="s">
        <v>15</v>
      </c>
      <c r="H570" s="185" t="s">
        <v>15</v>
      </c>
      <c r="I570" s="185" t="s">
        <v>15</v>
      </c>
      <c r="J570" s="135" t="s">
        <v>1450</v>
      </c>
      <c r="K570" s="186">
        <v>3060</v>
      </c>
      <c r="L570" s="187" t="s">
        <v>173</v>
      </c>
      <c r="M570" s="187" t="s">
        <v>175</v>
      </c>
    </row>
    <row r="571" spans="1:13" s="188" customFormat="1">
      <c r="A571" s="185" t="s">
        <v>1447</v>
      </c>
      <c r="B571" s="133" t="s">
        <v>3657</v>
      </c>
      <c r="C571" s="185" t="s">
        <v>3023</v>
      </c>
      <c r="D571" s="133" t="s">
        <v>2005</v>
      </c>
      <c r="E571" s="134">
        <v>1</v>
      </c>
      <c r="F571" s="135" t="s">
        <v>1449</v>
      </c>
      <c r="G571" s="185" t="s">
        <v>15</v>
      </c>
      <c r="H571" s="185" t="s">
        <v>15</v>
      </c>
      <c r="I571" s="185" t="s">
        <v>15</v>
      </c>
      <c r="J571" s="135" t="s">
        <v>1450</v>
      </c>
      <c r="K571" s="186">
        <v>2712</v>
      </c>
      <c r="L571" s="187" t="s">
        <v>173</v>
      </c>
      <c r="M571" s="187" t="s">
        <v>175</v>
      </c>
    </row>
    <row r="572" spans="1:13" s="188" customFormat="1">
      <c r="A572" s="185" t="s">
        <v>1447</v>
      </c>
      <c r="B572" s="133" t="s">
        <v>3658</v>
      </c>
      <c r="C572" s="185" t="s">
        <v>3023</v>
      </c>
      <c r="D572" s="133" t="s">
        <v>2005</v>
      </c>
      <c r="E572" s="134">
        <v>1</v>
      </c>
      <c r="F572" s="135" t="s">
        <v>1449</v>
      </c>
      <c r="G572" s="185" t="s">
        <v>15</v>
      </c>
      <c r="H572" s="185" t="s">
        <v>15</v>
      </c>
      <c r="I572" s="185" t="s">
        <v>15</v>
      </c>
      <c r="J572" s="135" t="s">
        <v>1450</v>
      </c>
      <c r="K572" s="186">
        <v>1872</v>
      </c>
      <c r="L572" s="187" t="s">
        <v>173</v>
      </c>
      <c r="M572" s="187" t="s">
        <v>175</v>
      </c>
    </row>
    <row r="573" spans="1:13" s="188" customFormat="1">
      <c r="A573" s="185" t="s">
        <v>1447</v>
      </c>
      <c r="B573" s="133" t="s">
        <v>3659</v>
      </c>
      <c r="C573" s="185" t="s">
        <v>3023</v>
      </c>
      <c r="D573" s="133" t="s">
        <v>2007</v>
      </c>
      <c r="E573" s="134">
        <v>1</v>
      </c>
      <c r="F573" s="135" t="s">
        <v>1449</v>
      </c>
      <c r="G573" s="185" t="s">
        <v>15</v>
      </c>
      <c r="H573" s="185" t="s">
        <v>15</v>
      </c>
      <c r="I573" s="185" t="s">
        <v>15</v>
      </c>
      <c r="J573" s="135" t="s">
        <v>1450</v>
      </c>
      <c r="K573" s="186">
        <v>9816</v>
      </c>
      <c r="L573" s="187" t="s">
        <v>173</v>
      </c>
      <c r="M573" s="187" t="s">
        <v>175</v>
      </c>
    </row>
    <row r="574" spans="1:13" s="188" customFormat="1">
      <c r="A574" s="185" t="s">
        <v>1447</v>
      </c>
      <c r="B574" s="133" t="s">
        <v>3660</v>
      </c>
      <c r="C574" s="185" t="s">
        <v>3023</v>
      </c>
      <c r="D574" s="133" t="s">
        <v>2007</v>
      </c>
      <c r="E574" s="134">
        <v>1</v>
      </c>
      <c r="F574" s="135" t="s">
        <v>1449</v>
      </c>
      <c r="G574" s="185" t="s">
        <v>15</v>
      </c>
      <c r="H574" s="185" t="s">
        <v>15</v>
      </c>
      <c r="I574" s="185" t="s">
        <v>15</v>
      </c>
      <c r="J574" s="135" t="s">
        <v>1450</v>
      </c>
      <c r="K574" s="186">
        <v>6540</v>
      </c>
      <c r="L574" s="187" t="s">
        <v>173</v>
      </c>
      <c r="M574" s="187" t="s">
        <v>175</v>
      </c>
    </row>
    <row r="575" spans="1:13" s="188" customFormat="1">
      <c r="A575" s="185" t="s">
        <v>1447</v>
      </c>
      <c r="B575" s="133" t="s">
        <v>3661</v>
      </c>
      <c r="C575" s="185" t="s">
        <v>3023</v>
      </c>
      <c r="D575" s="133" t="s">
        <v>2007</v>
      </c>
      <c r="E575" s="134">
        <v>1</v>
      </c>
      <c r="F575" s="135" t="s">
        <v>1449</v>
      </c>
      <c r="G575" s="185" t="s">
        <v>15</v>
      </c>
      <c r="H575" s="185" t="s">
        <v>15</v>
      </c>
      <c r="I575" s="185" t="s">
        <v>15</v>
      </c>
      <c r="J575" s="135" t="s">
        <v>1450</v>
      </c>
      <c r="K575" s="186">
        <v>4980</v>
      </c>
      <c r="L575" s="187" t="s">
        <v>173</v>
      </c>
      <c r="M575" s="187" t="s">
        <v>175</v>
      </c>
    </row>
    <row r="576" spans="1:13" s="188" customFormat="1">
      <c r="A576" s="185" t="s">
        <v>1447</v>
      </c>
      <c r="B576" s="133" t="s">
        <v>3662</v>
      </c>
      <c r="C576" s="185" t="s">
        <v>3023</v>
      </c>
      <c r="D576" s="133" t="s">
        <v>2007</v>
      </c>
      <c r="E576" s="134">
        <v>1</v>
      </c>
      <c r="F576" s="135" t="s">
        <v>1449</v>
      </c>
      <c r="G576" s="185" t="s">
        <v>15</v>
      </c>
      <c r="H576" s="185" t="s">
        <v>15</v>
      </c>
      <c r="I576" s="185" t="s">
        <v>15</v>
      </c>
      <c r="J576" s="135" t="s">
        <v>1450</v>
      </c>
      <c r="K576" s="186">
        <v>4044</v>
      </c>
      <c r="L576" s="187" t="s">
        <v>173</v>
      </c>
      <c r="M576" s="187" t="s">
        <v>175</v>
      </c>
    </row>
    <row r="577" spans="1:13" s="188" customFormat="1">
      <c r="A577" s="185" t="s">
        <v>1447</v>
      </c>
      <c r="B577" s="133" t="s">
        <v>3663</v>
      </c>
      <c r="C577" s="185" t="s">
        <v>3023</v>
      </c>
      <c r="D577" s="133" t="s">
        <v>2007</v>
      </c>
      <c r="E577" s="134">
        <v>1</v>
      </c>
      <c r="F577" s="135" t="s">
        <v>1449</v>
      </c>
      <c r="G577" s="185" t="s">
        <v>15</v>
      </c>
      <c r="H577" s="185" t="s">
        <v>15</v>
      </c>
      <c r="I577" s="185" t="s">
        <v>15</v>
      </c>
      <c r="J577" s="135" t="s">
        <v>1450</v>
      </c>
      <c r="K577" s="186">
        <v>3420</v>
      </c>
      <c r="L577" s="187" t="s">
        <v>173</v>
      </c>
      <c r="M577" s="187" t="s">
        <v>175</v>
      </c>
    </row>
    <row r="578" spans="1:13" s="188" customFormat="1">
      <c r="A578" s="185" t="s">
        <v>1447</v>
      </c>
      <c r="B578" s="133" t="s">
        <v>3664</v>
      </c>
      <c r="C578" s="185" t="s">
        <v>3023</v>
      </c>
      <c r="D578" s="133" t="s">
        <v>1972</v>
      </c>
      <c r="E578" s="134">
        <v>1</v>
      </c>
      <c r="F578" s="135" t="s">
        <v>1449</v>
      </c>
      <c r="G578" s="185" t="s">
        <v>15</v>
      </c>
      <c r="H578" s="185" t="s">
        <v>15</v>
      </c>
      <c r="I578" s="185" t="s">
        <v>15</v>
      </c>
      <c r="J578" s="135" t="s">
        <v>1450</v>
      </c>
      <c r="K578" s="186">
        <v>8220</v>
      </c>
      <c r="L578" s="187" t="s">
        <v>173</v>
      </c>
      <c r="M578" s="187" t="s">
        <v>175</v>
      </c>
    </row>
    <row r="579" spans="1:13" s="188" customFormat="1">
      <c r="A579" s="185" t="s">
        <v>1447</v>
      </c>
      <c r="B579" s="133" t="s">
        <v>3665</v>
      </c>
      <c r="C579" s="185" t="s">
        <v>3023</v>
      </c>
      <c r="D579" s="133" t="s">
        <v>1972</v>
      </c>
      <c r="E579" s="134">
        <v>1</v>
      </c>
      <c r="F579" s="135" t="s">
        <v>1449</v>
      </c>
      <c r="G579" s="185" t="s">
        <v>15</v>
      </c>
      <c r="H579" s="185" t="s">
        <v>15</v>
      </c>
      <c r="I579" s="185" t="s">
        <v>15</v>
      </c>
      <c r="J579" s="135" t="s">
        <v>1450</v>
      </c>
      <c r="K579" s="186">
        <v>6600</v>
      </c>
      <c r="L579" s="187" t="s">
        <v>173</v>
      </c>
      <c r="M579" s="187" t="s">
        <v>175</v>
      </c>
    </row>
    <row r="580" spans="1:13" s="188" customFormat="1">
      <c r="A580" s="185" t="s">
        <v>1447</v>
      </c>
      <c r="B580" s="133" t="s">
        <v>3666</v>
      </c>
      <c r="C580" s="185" t="s">
        <v>3023</v>
      </c>
      <c r="D580" s="133" t="s">
        <v>1972</v>
      </c>
      <c r="E580" s="134">
        <v>1</v>
      </c>
      <c r="F580" s="135" t="s">
        <v>1449</v>
      </c>
      <c r="G580" s="185" t="s">
        <v>15</v>
      </c>
      <c r="H580" s="185" t="s">
        <v>15</v>
      </c>
      <c r="I580" s="185" t="s">
        <v>15</v>
      </c>
      <c r="J580" s="135" t="s">
        <v>1450</v>
      </c>
      <c r="K580" s="186">
        <v>5856</v>
      </c>
      <c r="L580" s="187" t="s">
        <v>173</v>
      </c>
      <c r="M580" s="187" t="s">
        <v>175</v>
      </c>
    </row>
    <row r="581" spans="1:13" s="188" customFormat="1">
      <c r="A581" s="185" t="s">
        <v>1447</v>
      </c>
      <c r="B581" s="133" t="s">
        <v>3667</v>
      </c>
      <c r="C581" s="185" t="s">
        <v>3023</v>
      </c>
      <c r="D581" s="133" t="s">
        <v>1972</v>
      </c>
      <c r="E581" s="134">
        <v>1</v>
      </c>
      <c r="F581" s="135" t="s">
        <v>1449</v>
      </c>
      <c r="G581" s="185" t="s">
        <v>15</v>
      </c>
      <c r="H581" s="185" t="s">
        <v>15</v>
      </c>
      <c r="I581" s="185" t="s">
        <v>15</v>
      </c>
      <c r="J581" s="135" t="s">
        <v>1450</v>
      </c>
      <c r="K581" s="186">
        <v>4236</v>
      </c>
      <c r="L581" s="187" t="s">
        <v>173</v>
      </c>
      <c r="M581" s="187" t="s">
        <v>175</v>
      </c>
    </row>
    <row r="582" spans="1:13" s="188" customFormat="1">
      <c r="A582" s="185" t="s">
        <v>1447</v>
      </c>
      <c r="B582" s="133" t="s">
        <v>3668</v>
      </c>
      <c r="C582" s="185" t="s">
        <v>3023</v>
      </c>
      <c r="D582" s="133" t="s">
        <v>1972</v>
      </c>
      <c r="E582" s="134">
        <v>1</v>
      </c>
      <c r="F582" s="135" t="s">
        <v>1449</v>
      </c>
      <c r="G582" s="185" t="s">
        <v>15</v>
      </c>
      <c r="H582" s="185" t="s">
        <v>15</v>
      </c>
      <c r="I582" s="185" t="s">
        <v>15</v>
      </c>
      <c r="J582" s="135" t="s">
        <v>1450</v>
      </c>
      <c r="K582" s="186">
        <v>2988</v>
      </c>
      <c r="L582" s="187" t="s">
        <v>173</v>
      </c>
      <c r="M582" s="187" t="s">
        <v>175</v>
      </c>
    </row>
    <row r="583" spans="1:13" s="188" customFormat="1">
      <c r="A583" s="185" t="s">
        <v>1447</v>
      </c>
      <c r="B583" s="133" t="s">
        <v>3669</v>
      </c>
      <c r="C583" s="185" t="s">
        <v>3023</v>
      </c>
      <c r="D583" s="133" t="s">
        <v>1972</v>
      </c>
      <c r="E583" s="134">
        <v>1</v>
      </c>
      <c r="F583" s="135" t="s">
        <v>1449</v>
      </c>
      <c r="G583" s="185" t="s">
        <v>15</v>
      </c>
      <c r="H583" s="185" t="s">
        <v>15</v>
      </c>
      <c r="I583" s="185" t="s">
        <v>15</v>
      </c>
      <c r="J583" s="135" t="s">
        <v>1450</v>
      </c>
      <c r="K583" s="186">
        <v>1992</v>
      </c>
      <c r="L583" s="187" t="s">
        <v>173</v>
      </c>
      <c r="M583" s="187" t="s">
        <v>175</v>
      </c>
    </row>
    <row r="584" spans="1:13" s="188" customFormat="1">
      <c r="A584" s="185" t="s">
        <v>1447</v>
      </c>
      <c r="B584" s="133" t="s">
        <v>3670</v>
      </c>
      <c r="C584" s="185" t="s">
        <v>3023</v>
      </c>
      <c r="D584" s="133" t="s">
        <v>1980</v>
      </c>
      <c r="E584" s="134">
        <v>1</v>
      </c>
      <c r="F584" s="135" t="s">
        <v>1449</v>
      </c>
      <c r="G584" s="185" t="s">
        <v>15</v>
      </c>
      <c r="H584" s="185" t="s">
        <v>15</v>
      </c>
      <c r="I584" s="185" t="s">
        <v>15</v>
      </c>
      <c r="J584" s="135" t="s">
        <v>1450</v>
      </c>
      <c r="K584" s="186">
        <v>8220</v>
      </c>
      <c r="L584" s="187" t="s">
        <v>173</v>
      </c>
      <c r="M584" s="187" t="s">
        <v>175</v>
      </c>
    </row>
    <row r="585" spans="1:13" s="188" customFormat="1">
      <c r="A585" s="185" t="s">
        <v>1447</v>
      </c>
      <c r="B585" s="133" t="s">
        <v>3671</v>
      </c>
      <c r="C585" s="185" t="s">
        <v>3023</v>
      </c>
      <c r="D585" s="133" t="s">
        <v>1980</v>
      </c>
      <c r="E585" s="134">
        <v>1</v>
      </c>
      <c r="F585" s="135" t="s">
        <v>1449</v>
      </c>
      <c r="G585" s="185" t="s">
        <v>15</v>
      </c>
      <c r="H585" s="185" t="s">
        <v>15</v>
      </c>
      <c r="I585" s="185" t="s">
        <v>15</v>
      </c>
      <c r="J585" s="135" t="s">
        <v>1450</v>
      </c>
      <c r="K585" s="186">
        <v>6600</v>
      </c>
      <c r="L585" s="187" t="s">
        <v>173</v>
      </c>
      <c r="M585" s="187" t="s">
        <v>175</v>
      </c>
    </row>
    <row r="586" spans="1:13" s="188" customFormat="1">
      <c r="A586" s="185" t="s">
        <v>1447</v>
      </c>
      <c r="B586" s="133" t="s">
        <v>3672</v>
      </c>
      <c r="C586" s="185" t="s">
        <v>3023</v>
      </c>
      <c r="D586" s="133" t="s">
        <v>1980</v>
      </c>
      <c r="E586" s="134">
        <v>1</v>
      </c>
      <c r="F586" s="135" t="s">
        <v>1449</v>
      </c>
      <c r="G586" s="185" t="s">
        <v>15</v>
      </c>
      <c r="H586" s="185" t="s">
        <v>15</v>
      </c>
      <c r="I586" s="185" t="s">
        <v>15</v>
      </c>
      <c r="J586" s="135" t="s">
        <v>1450</v>
      </c>
      <c r="K586" s="186">
        <v>5856</v>
      </c>
      <c r="L586" s="187" t="s">
        <v>173</v>
      </c>
      <c r="M586" s="187" t="s">
        <v>175</v>
      </c>
    </row>
    <row r="587" spans="1:13" s="188" customFormat="1">
      <c r="A587" s="185" t="s">
        <v>1447</v>
      </c>
      <c r="B587" s="133" t="s">
        <v>3673</v>
      </c>
      <c r="C587" s="185" t="s">
        <v>3023</v>
      </c>
      <c r="D587" s="133" t="s">
        <v>1980</v>
      </c>
      <c r="E587" s="134">
        <v>1</v>
      </c>
      <c r="F587" s="135" t="s">
        <v>1449</v>
      </c>
      <c r="G587" s="185" t="s">
        <v>15</v>
      </c>
      <c r="H587" s="185" t="s">
        <v>15</v>
      </c>
      <c r="I587" s="185" t="s">
        <v>15</v>
      </c>
      <c r="J587" s="135" t="s">
        <v>1450</v>
      </c>
      <c r="K587" s="186">
        <v>4236</v>
      </c>
      <c r="L587" s="187" t="s">
        <v>173</v>
      </c>
      <c r="M587" s="187" t="s">
        <v>175</v>
      </c>
    </row>
    <row r="588" spans="1:13" s="188" customFormat="1">
      <c r="A588" s="185" t="s">
        <v>1447</v>
      </c>
      <c r="B588" s="133" t="s">
        <v>3674</v>
      </c>
      <c r="C588" s="185" t="s">
        <v>3023</v>
      </c>
      <c r="D588" s="133" t="s">
        <v>1980</v>
      </c>
      <c r="E588" s="134">
        <v>1</v>
      </c>
      <c r="F588" s="135" t="s">
        <v>1449</v>
      </c>
      <c r="G588" s="185" t="s">
        <v>15</v>
      </c>
      <c r="H588" s="185" t="s">
        <v>15</v>
      </c>
      <c r="I588" s="185" t="s">
        <v>15</v>
      </c>
      <c r="J588" s="135" t="s">
        <v>1450</v>
      </c>
      <c r="K588" s="186">
        <v>2988</v>
      </c>
      <c r="L588" s="187" t="s">
        <v>173</v>
      </c>
      <c r="M588" s="187" t="s">
        <v>175</v>
      </c>
    </row>
    <row r="589" spans="1:13" s="188" customFormat="1">
      <c r="A589" s="185" t="s">
        <v>1447</v>
      </c>
      <c r="B589" s="133" t="s">
        <v>3675</v>
      </c>
      <c r="C589" s="185" t="s">
        <v>3023</v>
      </c>
      <c r="D589" s="133" t="s">
        <v>1980</v>
      </c>
      <c r="E589" s="134">
        <v>1</v>
      </c>
      <c r="F589" s="135" t="s">
        <v>1449</v>
      </c>
      <c r="G589" s="185" t="s">
        <v>15</v>
      </c>
      <c r="H589" s="185" t="s">
        <v>15</v>
      </c>
      <c r="I589" s="185" t="s">
        <v>15</v>
      </c>
      <c r="J589" s="135" t="s">
        <v>1450</v>
      </c>
      <c r="K589" s="186">
        <v>1992</v>
      </c>
      <c r="L589" s="187" t="s">
        <v>173</v>
      </c>
      <c r="M589" s="187" t="s">
        <v>175</v>
      </c>
    </row>
    <row r="590" spans="1:13" s="188" customFormat="1">
      <c r="A590" s="185" t="s">
        <v>1447</v>
      </c>
      <c r="B590" s="133" t="s">
        <v>3676</v>
      </c>
      <c r="C590" s="185" t="s">
        <v>3023</v>
      </c>
      <c r="D590" s="133" t="s">
        <v>1970</v>
      </c>
      <c r="E590" s="134">
        <v>1</v>
      </c>
      <c r="F590" s="135" t="s">
        <v>1449</v>
      </c>
      <c r="G590" s="185" t="s">
        <v>15</v>
      </c>
      <c r="H590" s="185" t="s">
        <v>15</v>
      </c>
      <c r="I590" s="185" t="s">
        <v>15</v>
      </c>
      <c r="J590" s="135" t="s">
        <v>1450</v>
      </c>
      <c r="K590" s="186">
        <v>24900</v>
      </c>
      <c r="L590" s="187" t="s">
        <v>173</v>
      </c>
      <c r="M590" s="187" t="s">
        <v>175</v>
      </c>
    </row>
    <row r="591" spans="1:13" s="188" customFormat="1">
      <c r="A591" s="185" t="s">
        <v>1447</v>
      </c>
      <c r="B591" s="133" t="s">
        <v>3677</v>
      </c>
      <c r="C591" s="185" t="s">
        <v>3023</v>
      </c>
      <c r="D591" s="133" t="s">
        <v>1979</v>
      </c>
      <c r="E591" s="134">
        <v>1</v>
      </c>
      <c r="F591" s="135" t="s">
        <v>1449</v>
      </c>
      <c r="G591" s="185" t="s">
        <v>15</v>
      </c>
      <c r="H591" s="185" t="s">
        <v>15</v>
      </c>
      <c r="I591" s="185" t="s">
        <v>15</v>
      </c>
      <c r="J591" s="135" t="s">
        <v>1450</v>
      </c>
      <c r="K591" s="186">
        <v>35364</v>
      </c>
      <c r="L591" s="187" t="s">
        <v>173</v>
      </c>
      <c r="M591" s="187" t="s">
        <v>175</v>
      </c>
    </row>
    <row r="592" spans="1:13" s="188" customFormat="1">
      <c r="A592" s="185" t="s">
        <v>1447</v>
      </c>
      <c r="B592" s="133" t="s">
        <v>3678</v>
      </c>
      <c r="C592" s="185" t="s">
        <v>3023</v>
      </c>
      <c r="D592" s="133" t="s">
        <v>1979</v>
      </c>
      <c r="E592" s="134">
        <v>1</v>
      </c>
      <c r="F592" s="135" t="s">
        <v>1449</v>
      </c>
      <c r="G592" s="185" t="s">
        <v>15</v>
      </c>
      <c r="H592" s="185" t="s">
        <v>15</v>
      </c>
      <c r="I592" s="185" t="s">
        <v>15</v>
      </c>
      <c r="J592" s="135" t="s">
        <v>1450</v>
      </c>
      <c r="K592" s="186">
        <v>21804</v>
      </c>
      <c r="L592" s="187" t="s">
        <v>173</v>
      </c>
      <c r="M592" s="187" t="s">
        <v>175</v>
      </c>
    </row>
    <row r="593" spans="1:13" s="188" customFormat="1">
      <c r="A593" s="185" t="s">
        <v>1447</v>
      </c>
      <c r="B593" s="133" t="s">
        <v>3679</v>
      </c>
      <c r="C593" s="185" t="s">
        <v>3023</v>
      </c>
      <c r="D593" s="133" t="s">
        <v>1979</v>
      </c>
      <c r="E593" s="134">
        <v>1</v>
      </c>
      <c r="F593" s="135" t="s">
        <v>1449</v>
      </c>
      <c r="G593" s="185" t="s">
        <v>15</v>
      </c>
      <c r="H593" s="185" t="s">
        <v>15</v>
      </c>
      <c r="I593" s="185" t="s">
        <v>15</v>
      </c>
      <c r="J593" s="135" t="s">
        <v>1450</v>
      </c>
      <c r="K593" s="186">
        <v>17724</v>
      </c>
      <c r="L593" s="187" t="s">
        <v>173</v>
      </c>
      <c r="M593" s="187" t="s">
        <v>175</v>
      </c>
    </row>
    <row r="594" spans="1:13" s="188" customFormat="1">
      <c r="A594" s="185" t="s">
        <v>1447</v>
      </c>
      <c r="B594" s="133" t="s">
        <v>3680</v>
      </c>
      <c r="C594" s="185" t="s">
        <v>3023</v>
      </c>
      <c r="D594" s="133" t="s">
        <v>1974</v>
      </c>
      <c r="E594" s="134">
        <v>1</v>
      </c>
      <c r="F594" s="135" t="s">
        <v>1449</v>
      </c>
      <c r="G594" s="185" t="s">
        <v>15</v>
      </c>
      <c r="H594" s="185" t="s">
        <v>15</v>
      </c>
      <c r="I594" s="185" t="s">
        <v>15</v>
      </c>
      <c r="J594" s="135" t="s">
        <v>1450</v>
      </c>
      <c r="K594" s="186">
        <v>4176</v>
      </c>
      <c r="L594" s="187" t="s">
        <v>173</v>
      </c>
      <c r="M594" s="187" t="s">
        <v>175</v>
      </c>
    </row>
    <row r="595" spans="1:13" s="188" customFormat="1">
      <c r="A595" s="185" t="s">
        <v>1447</v>
      </c>
      <c r="B595" s="133" t="s">
        <v>3681</v>
      </c>
      <c r="C595" s="185" t="s">
        <v>3023</v>
      </c>
      <c r="D595" s="133" t="s">
        <v>1974</v>
      </c>
      <c r="E595" s="134">
        <v>1</v>
      </c>
      <c r="F595" s="135" t="s">
        <v>1449</v>
      </c>
      <c r="G595" s="185" t="s">
        <v>15</v>
      </c>
      <c r="H595" s="185" t="s">
        <v>15</v>
      </c>
      <c r="I595" s="185" t="s">
        <v>15</v>
      </c>
      <c r="J595" s="135" t="s">
        <v>1450</v>
      </c>
      <c r="K595" s="186">
        <v>3108</v>
      </c>
      <c r="L595" s="187" t="s">
        <v>173</v>
      </c>
      <c r="M595" s="187" t="s">
        <v>175</v>
      </c>
    </row>
    <row r="596" spans="1:13" s="188" customFormat="1">
      <c r="A596" s="185" t="s">
        <v>1447</v>
      </c>
      <c r="B596" s="133" t="s">
        <v>3682</v>
      </c>
      <c r="C596" s="185" t="s">
        <v>3023</v>
      </c>
      <c r="D596" s="133" t="s">
        <v>1974</v>
      </c>
      <c r="E596" s="134">
        <v>1</v>
      </c>
      <c r="F596" s="135" t="s">
        <v>1449</v>
      </c>
      <c r="G596" s="185" t="s">
        <v>15</v>
      </c>
      <c r="H596" s="185" t="s">
        <v>15</v>
      </c>
      <c r="I596" s="185" t="s">
        <v>15</v>
      </c>
      <c r="J596" s="135" t="s">
        <v>1450</v>
      </c>
      <c r="K596" s="186">
        <v>2496</v>
      </c>
      <c r="L596" s="187" t="s">
        <v>173</v>
      </c>
      <c r="M596" s="187" t="s">
        <v>175</v>
      </c>
    </row>
    <row r="597" spans="1:13" s="188" customFormat="1">
      <c r="A597" s="185" t="s">
        <v>1447</v>
      </c>
      <c r="B597" s="133" t="s">
        <v>3683</v>
      </c>
      <c r="C597" s="185" t="s">
        <v>3023</v>
      </c>
      <c r="D597" s="133" t="s">
        <v>1974</v>
      </c>
      <c r="E597" s="134">
        <v>1</v>
      </c>
      <c r="F597" s="135" t="s">
        <v>1449</v>
      </c>
      <c r="G597" s="185" t="s">
        <v>15</v>
      </c>
      <c r="H597" s="185" t="s">
        <v>15</v>
      </c>
      <c r="I597" s="185" t="s">
        <v>15</v>
      </c>
      <c r="J597" s="135" t="s">
        <v>1450</v>
      </c>
      <c r="K597" s="186">
        <v>1992</v>
      </c>
      <c r="L597" s="187" t="s">
        <v>173</v>
      </c>
      <c r="M597" s="187" t="s">
        <v>175</v>
      </c>
    </row>
    <row r="598" spans="1:13" s="188" customFormat="1">
      <c r="A598" s="185" t="s">
        <v>1447</v>
      </c>
      <c r="B598" s="133" t="s">
        <v>3684</v>
      </c>
      <c r="C598" s="185" t="s">
        <v>3023</v>
      </c>
      <c r="D598" s="133" t="s">
        <v>1974</v>
      </c>
      <c r="E598" s="134">
        <v>1</v>
      </c>
      <c r="F598" s="135" t="s">
        <v>1449</v>
      </c>
      <c r="G598" s="185" t="s">
        <v>15</v>
      </c>
      <c r="H598" s="185" t="s">
        <v>15</v>
      </c>
      <c r="I598" s="185" t="s">
        <v>15</v>
      </c>
      <c r="J598" s="135" t="s">
        <v>1450</v>
      </c>
      <c r="K598" s="186">
        <v>1680</v>
      </c>
      <c r="L598" s="187" t="s">
        <v>173</v>
      </c>
      <c r="M598" s="187" t="s">
        <v>175</v>
      </c>
    </row>
    <row r="599" spans="1:13" s="188" customFormat="1">
      <c r="A599" s="185" t="s">
        <v>1447</v>
      </c>
      <c r="B599" s="133" t="s">
        <v>3685</v>
      </c>
      <c r="C599" s="185" t="s">
        <v>3023</v>
      </c>
      <c r="D599" s="133" t="s">
        <v>3686</v>
      </c>
      <c r="E599" s="134">
        <v>1</v>
      </c>
      <c r="F599" s="135" t="s">
        <v>1449</v>
      </c>
      <c r="G599" s="185" t="s">
        <v>15</v>
      </c>
      <c r="H599" s="185" t="s">
        <v>15</v>
      </c>
      <c r="I599" s="185" t="s">
        <v>15</v>
      </c>
      <c r="J599" s="135" t="s">
        <v>1450</v>
      </c>
      <c r="K599" s="186">
        <v>8652</v>
      </c>
      <c r="L599" s="187" t="s">
        <v>173</v>
      </c>
      <c r="M599" s="187" t="s">
        <v>175</v>
      </c>
    </row>
    <row r="600" spans="1:13" s="188" customFormat="1">
      <c r="A600" s="185" t="s">
        <v>1447</v>
      </c>
      <c r="B600" s="133" t="s">
        <v>3687</v>
      </c>
      <c r="C600" s="185" t="s">
        <v>3023</v>
      </c>
      <c r="D600" s="133" t="s">
        <v>3686</v>
      </c>
      <c r="E600" s="134">
        <v>1</v>
      </c>
      <c r="F600" s="135" t="s">
        <v>1449</v>
      </c>
      <c r="G600" s="185" t="s">
        <v>15</v>
      </c>
      <c r="H600" s="185" t="s">
        <v>15</v>
      </c>
      <c r="I600" s="185" t="s">
        <v>15</v>
      </c>
      <c r="J600" s="135" t="s">
        <v>1450</v>
      </c>
      <c r="K600" s="186">
        <v>4116</v>
      </c>
      <c r="L600" s="187" t="s">
        <v>173</v>
      </c>
      <c r="M600" s="187" t="s">
        <v>175</v>
      </c>
    </row>
    <row r="601" spans="1:13" s="188" customFormat="1">
      <c r="A601" s="185" t="s">
        <v>1447</v>
      </c>
      <c r="B601" s="133" t="s">
        <v>3688</v>
      </c>
      <c r="C601" s="185" t="s">
        <v>3023</v>
      </c>
      <c r="D601" s="133" t="s">
        <v>3686</v>
      </c>
      <c r="E601" s="134">
        <v>1</v>
      </c>
      <c r="F601" s="135" t="s">
        <v>1449</v>
      </c>
      <c r="G601" s="185" t="s">
        <v>15</v>
      </c>
      <c r="H601" s="185" t="s">
        <v>15</v>
      </c>
      <c r="I601" s="185" t="s">
        <v>15</v>
      </c>
      <c r="J601" s="135" t="s">
        <v>1450</v>
      </c>
      <c r="K601" s="186">
        <v>2508</v>
      </c>
      <c r="L601" s="187" t="s">
        <v>173</v>
      </c>
      <c r="M601" s="187" t="s">
        <v>175</v>
      </c>
    </row>
    <row r="602" spans="1:13" s="188" customFormat="1">
      <c r="A602" s="185" t="s">
        <v>1447</v>
      </c>
      <c r="B602" s="133" t="s">
        <v>3689</v>
      </c>
      <c r="C602" s="185" t="s">
        <v>3023</v>
      </c>
      <c r="D602" s="133" t="s">
        <v>3686</v>
      </c>
      <c r="E602" s="134">
        <v>1</v>
      </c>
      <c r="F602" s="135" t="s">
        <v>1449</v>
      </c>
      <c r="G602" s="185" t="s">
        <v>15</v>
      </c>
      <c r="H602" s="185" t="s">
        <v>15</v>
      </c>
      <c r="I602" s="185" t="s">
        <v>15</v>
      </c>
      <c r="J602" s="135" t="s">
        <v>1450</v>
      </c>
      <c r="K602" s="186">
        <v>1452</v>
      </c>
      <c r="L602" s="187" t="s">
        <v>173</v>
      </c>
      <c r="M602" s="187" t="s">
        <v>175</v>
      </c>
    </row>
    <row r="603" spans="1:13" s="188" customFormat="1">
      <c r="A603" s="185" t="s">
        <v>1447</v>
      </c>
      <c r="B603" s="133" t="s">
        <v>3690</v>
      </c>
      <c r="C603" s="185" t="s">
        <v>3023</v>
      </c>
      <c r="D603" s="133" t="s">
        <v>3686</v>
      </c>
      <c r="E603" s="134">
        <v>1</v>
      </c>
      <c r="F603" s="135" t="s">
        <v>1449</v>
      </c>
      <c r="G603" s="185" t="s">
        <v>15</v>
      </c>
      <c r="H603" s="185" t="s">
        <v>15</v>
      </c>
      <c r="I603" s="185" t="s">
        <v>15</v>
      </c>
      <c r="J603" s="135" t="s">
        <v>1450</v>
      </c>
      <c r="K603" s="186">
        <v>648</v>
      </c>
      <c r="L603" s="187" t="s">
        <v>173</v>
      </c>
      <c r="M603" s="187" t="s">
        <v>175</v>
      </c>
    </row>
    <row r="604" spans="1:13" s="188" customFormat="1">
      <c r="A604" s="185" t="s">
        <v>1447</v>
      </c>
      <c r="B604" s="133" t="s">
        <v>3691</v>
      </c>
      <c r="C604" s="185" t="s">
        <v>3023</v>
      </c>
      <c r="D604" s="133" t="s">
        <v>1996</v>
      </c>
      <c r="E604" s="134">
        <v>1</v>
      </c>
      <c r="F604" s="135" t="s">
        <v>1449</v>
      </c>
      <c r="G604" s="185" t="s">
        <v>15</v>
      </c>
      <c r="H604" s="185" t="s">
        <v>15</v>
      </c>
      <c r="I604" s="185" t="s">
        <v>15</v>
      </c>
      <c r="J604" s="135" t="s">
        <v>1450</v>
      </c>
      <c r="K604" s="186">
        <v>9564</v>
      </c>
      <c r="L604" s="187" t="s">
        <v>173</v>
      </c>
      <c r="M604" s="187" t="s">
        <v>175</v>
      </c>
    </row>
    <row r="605" spans="1:13" s="188" customFormat="1">
      <c r="A605" s="185" t="s">
        <v>1447</v>
      </c>
      <c r="B605" s="133" t="s">
        <v>3692</v>
      </c>
      <c r="C605" s="185" t="s">
        <v>3023</v>
      </c>
      <c r="D605" s="133" t="s">
        <v>1996</v>
      </c>
      <c r="E605" s="134">
        <v>1</v>
      </c>
      <c r="F605" s="135" t="s">
        <v>1449</v>
      </c>
      <c r="G605" s="185" t="s">
        <v>15</v>
      </c>
      <c r="H605" s="185" t="s">
        <v>15</v>
      </c>
      <c r="I605" s="185" t="s">
        <v>15</v>
      </c>
      <c r="J605" s="135" t="s">
        <v>1450</v>
      </c>
      <c r="K605" s="186">
        <v>5148</v>
      </c>
      <c r="L605" s="187" t="s">
        <v>173</v>
      </c>
      <c r="M605" s="187" t="s">
        <v>175</v>
      </c>
    </row>
    <row r="606" spans="1:13" s="188" customFormat="1">
      <c r="A606" s="185" t="s">
        <v>1447</v>
      </c>
      <c r="B606" s="133" t="s">
        <v>3693</v>
      </c>
      <c r="C606" s="185" t="s">
        <v>3023</v>
      </c>
      <c r="D606" s="133" t="s">
        <v>1996</v>
      </c>
      <c r="E606" s="134">
        <v>1</v>
      </c>
      <c r="F606" s="135" t="s">
        <v>1449</v>
      </c>
      <c r="G606" s="185" t="s">
        <v>15</v>
      </c>
      <c r="H606" s="185" t="s">
        <v>15</v>
      </c>
      <c r="I606" s="185" t="s">
        <v>15</v>
      </c>
      <c r="J606" s="135" t="s">
        <v>1450</v>
      </c>
      <c r="K606" s="186">
        <v>3228</v>
      </c>
      <c r="L606" s="187" t="s">
        <v>173</v>
      </c>
      <c r="M606" s="187" t="s">
        <v>175</v>
      </c>
    </row>
    <row r="607" spans="1:13" s="188" customFormat="1">
      <c r="A607" s="185" t="s">
        <v>1447</v>
      </c>
      <c r="B607" s="133" t="s">
        <v>3694</v>
      </c>
      <c r="C607" s="185" t="s">
        <v>3023</v>
      </c>
      <c r="D607" s="133" t="s">
        <v>1996</v>
      </c>
      <c r="E607" s="134">
        <v>1</v>
      </c>
      <c r="F607" s="135" t="s">
        <v>1449</v>
      </c>
      <c r="G607" s="185" t="s">
        <v>15</v>
      </c>
      <c r="H607" s="185" t="s">
        <v>15</v>
      </c>
      <c r="I607" s="185" t="s">
        <v>15</v>
      </c>
      <c r="J607" s="135" t="s">
        <v>1450</v>
      </c>
      <c r="K607" s="186">
        <v>1716</v>
      </c>
      <c r="L607" s="187" t="s">
        <v>173</v>
      </c>
      <c r="M607" s="187" t="s">
        <v>175</v>
      </c>
    </row>
    <row r="608" spans="1:13" s="188" customFormat="1">
      <c r="A608" s="185" t="s">
        <v>1447</v>
      </c>
      <c r="B608" s="133" t="s">
        <v>3695</v>
      </c>
      <c r="C608" s="185" t="s">
        <v>3023</v>
      </c>
      <c r="D608" s="133" t="s">
        <v>1996</v>
      </c>
      <c r="E608" s="134">
        <v>1</v>
      </c>
      <c r="F608" s="135" t="s">
        <v>1449</v>
      </c>
      <c r="G608" s="185" t="s">
        <v>15</v>
      </c>
      <c r="H608" s="185" t="s">
        <v>15</v>
      </c>
      <c r="I608" s="185" t="s">
        <v>15</v>
      </c>
      <c r="J608" s="135" t="s">
        <v>1450</v>
      </c>
      <c r="K608" s="186">
        <v>648</v>
      </c>
      <c r="L608" s="187" t="s">
        <v>173</v>
      </c>
      <c r="M608" s="187" t="s">
        <v>175</v>
      </c>
    </row>
    <row r="609" spans="1:13" s="188" customFormat="1">
      <c r="A609" s="185" t="s">
        <v>1447</v>
      </c>
      <c r="B609" s="133" t="s">
        <v>3696</v>
      </c>
      <c r="C609" s="185" t="s">
        <v>3023</v>
      </c>
      <c r="D609" s="133" t="s">
        <v>1976</v>
      </c>
      <c r="E609" s="134">
        <v>1</v>
      </c>
      <c r="F609" s="135" t="s">
        <v>1449</v>
      </c>
      <c r="G609" s="185" t="s">
        <v>15</v>
      </c>
      <c r="H609" s="185" t="s">
        <v>15</v>
      </c>
      <c r="I609" s="185" t="s">
        <v>15</v>
      </c>
      <c r="J609" s="135" t="s">
        <v>1450</v>
      </c>
      <c r="K609" s="186">
        <v>10476</v>
      </c>
      <c r="L609" s="187" t="s">
        <v>173</v>
      </c>
      <c r="M609" s="187" t="s">
        <v>175</v>
      </c>
    </row>
    <row r="610" spans="1:13" s="188" customFormat="1">
      <c r="A610" s="185" t="s">
        <v>1447</v>
      </c>
      <c r="B610" s="133" t="s">
        <v>3697</v>
      </c>
      <c r="C610" s="185" t="s">
        <v>3023</v>
      </c>
      <c r="D610" s="133" t="s">
        <v>1976</v>
      </c>
      <c r="E610" s="134">
        <v>1</v>
      </c>
      <c r="F610" s="135" t="s">
        <v>1449</v>
      </c>
      <c r="G610" s="185" t="s">
        <v>15</v>
      </c>
      <c r="H610" s="185" t="s">
        <v>15</v>
      </c>
      <c r="I610" s="185" t="s">
        <v>15</v>
      </c>
      <c r="J610" s="135" t="s">
        <v>1450</v>
      </c>
      <c r="K610" s="186">
        <v>6720</v>
      </c>
      <c r="L610" s="187" t="s">
        <v>173</v>
      </c>
      <c r="M610" s="187" t="s">
        <v>175</v>
      </c>
    </row>
    <row r="611" spans="1:13" s="188" customFormat="1">
      <c r="A611" s="185" t="s">
        <v>1447</v>
      </c>
      <c r="B611" s="133" t="s">
        <v>3698</v>
      </c>
      <c r="C611" s="185" t="s">
        <v>3023</v>
      </c>
      <c r="D611" s="133" t="s">
        <v>1976</v>
      </c>
      <c r="E611" s="134">
        <v>1</v>
      </c>
      <c r="F611" s="135" t="s">
        <v>1449</v>
      </c>
      <c r="G611" s="185" t="s">
        <v>15</v>
      </c>
      <c r="H611" s="185" t="s">
        <v>15</v>
      </c>
      <c r="I611" s="185" t="s">
        <v>15</v>
      </c>
      <c r="J611" s="135" t="s">
        <v>1450</v>
      </c>
      <c r="K611" s="186">
        <v>6228</v>
      </c>
      <c r="L611" s="187" t="s">
        <v>173</v>
      </c>
      <c r="M611" s="187" t="s">
        <v>175</v>
      </c>
    </row>
    <row r="612" spans="1:13" s="188" customFormat="1">
      <c r="A612" s="185" t="s">
        <v>1447</v>
      </c>
      <c r="B612" s="133" t="s">
        <v>3699</v>
      </c>
      <c r="C612" s="185" t="s">
        <v>3023</v>
      </c>
      <c r="D612" s="133" t="s">
        <v>1976</v>
      </c>
      <c r="E612" s="134">
        <v>1</v>
      </c>
      <c r="F612" s="135" t="s">
        <v>1449</v>
      </c>
      <c r="G612" s="185" t="s">
        <v>15</v>
      </c>
      <c r="H612" s="185" t="s">
        <v>15</v>
      </c>
      <c r="I612" s="185" t="s">
        <v>15</v>
      </c>
      <c r="J612" s="135" t="s">
        <v>1450</v>
      </c>
      <c r="K612" s="186">
        <v>5040</v>
      </c>
      <c r="L612" s="187" t="s">
        <v>173</v>
      </c>
      <c r="M612" s="187" t="s">
        <v>175</v>
      </c>
    </row>
    <row r="613" spans="1:13" s="188" customFormat="1">
      <c r="A613" s="185" t="s">
        <v>1447</v>
      </c>
      <c r="B613" s="133" t="s">
        <v>3700</v>
      </c>
      <c r="C613" s="185" t="s">
        <v>3023</v>
      </c>
      <c r="D613" s="133" t="s">
        <v>1976</v>
      </c>
      <c r="E613" s="134">
        <v>1</v>
      </c>
      <c r="F613" s="135" t="s">
        <v>1449</v>
      </c>
      <c r="G613" s="185" t="s">
        <v>15</v>
      </c>
      <c r="H613" s="185" t="s">
        <v>15</v>
      </c>
      <c r="I613" s="185" t="s">
        <v>15</v>
      </c>
      <c r="J613" s="135" t="s">
        <v>1450</v>
      </c>
      <c r="K613" s="186">
        <v>3360</v>
      </c>
      <c r="L613" s="187" t="s">
        <v>173</v>
      </c>
      <c r="M613" s="187" t="s">
        <v>175</v>
      </c>
    </row>
    <row r="614" spans="1:13" s="188" customFormat="1">
      <c r="A614" s="185" t="s">
        <v>1447</v>
      </c>
      <c r="B614" s="133" t="s">
        <v>3701</v>
      </c>
      <c r="C614" s="185" t="s">
        <v>3023</v>
      </c>
      <c r="D614" s="133" t="s">
        <v>3702</v>
      </c>
      <c r="E614" s="134">
        <v>1</v>
      </c>
      <c r="F614" s="135" t="s">
        <v>1449</v>
      </c>
      <c r="G614" s="185" t="s">
        <v>15</v>
      </c>
      <c r="H614" s="185" t="s">
        <v>15</v>
      </c>
      <c r="I614" s="185" t="s">
        <v>15</v>
      </c>
      <c r="J614" s="135" t="s">
        <v>1450</v>
      </c>
      <c r="K614" s="186">
        <v>46248</v>
      </c>
      <c r="L614" s="187" t="s">
        <v>173</v>
      </c>
      <c r="M614" s="187" t="s">
        <v>175</v>
      </c>
    </row>
    <row r="615" spans="1:13" s="188" customFormat="1">
      <c r="A615" s="185" t="s">
        <v>1447</v>
      </c>
      <c r="B615" s="133" t="s">
        <v>3703</v>
      </c>
      <c r="C615" s="185" t="s">
        <v>3023</v>
      </c>
      <c r="D615" s="133" t="s">
        <v>3702</v>
      </c>
      <c r="E615" s="134">
        <v>1</v>
      </c>
      <c r="F615" s="135" t="s">
        <v>1449</v>
      </c>
      <c r="G615" s="185" t="s">
        <v>15</v>
      </c>
      <c r="H615" s="185" t="s">
        <v>15</v>
      </c>
      <c r="I615" s="185" t="s">
        <v>15</v>
      </c>
      <c r="J615" s="135" t="s">
        <v>1450</v>
      </c>
      <c r="K615" s="186">
        <v>30480</v>
      </c>
      <c r="L615" s="187" t="s">
        <v>173</v>
      </c>
      <c r="M615" s="187" t="s">
        <v>175</v>
      </c>
    </row>
    <row r="616" spans="1:13" s="188" customFormat="1">
      <c r="A616" s="185" t="s">
        <v>1447</v>
      </c>
      <c r="B616" s="133" t="s">
        <v>3704</v>
      </c>
      <c r="C616" s="185" t="s">
        <v>3023</v>
      </c>
      <c r="D616" s="133" t="s">
        <v>3702</v>
      </c>
      <c r="E616" s="134">
        <v>1</v>
      </c>
      <c r="F616" s="135" t="s">
        <v>1449</v>
      </c>
      <c r="G616" s="185" t="s">
        <v>15</v>
      </c>
      <c r="H616" s="185" t="s">
        <v>15</v>
      </c>
      <c r="I616" s="185" t="s">
        <v>15</v>
      </c>
      <c r="J616" s="135" t="s">
        <v>1450</v>
      </c>
      <c r="K616" s="186">
        <v>20100</v>
      </c>
      <c r="L616" s="187" t="s">
        <v>173</v>
      </c>
      <c r="M616" s="187" t="s">
        <v>175</v>
      </c>
    </row>
    <row r="617" spans="1:13" s="188" customFormat="1">
      <c r="A617" s="185" t="s">
        <v>1447</v>
      </c>
      <c r="B617" s="133" t="s">
        <v>3705</v>
      </c>
      <c r="C617" s="185" t="s">
        <v>3023</v>
      </c>
      <c r="D617" s="133" t="s">
        <v>3702</v>
      </c>
      <c r="E617" s="134">
        <v>1</v>
      </c>
      <c r="F617" s="135" t="s">
        <v>1449</v>
      </c>
      <c r="G617" s="185" t="s">
        <v>15</v>
      </c>
      <c r="H617" s="185" t="s">
        <v>15</v>
      </c>
      <c r="I617" s="185" t="s">
        <v>15</v>
      </c>
      <c r="J617" s="135" t="s">
        <v>1450</v>
      </c>
      <c r="K617" s="186">
        <v>14004</v>
      </c>
      <c r="L617" s="187" t="s">
        <v>173</v>
      </c>
      <c r="M617" s="187" t="s">
        <v>175</v>
      </c>
    </row>
    <row r="618" spans="1:13" s="188" customFormat="1">
      <c r="A618" s="185" t="s">
        <v>1447</v>
      </c>
      <c r="B618" s="133" t="s">
        <v>3706</v>
      </c>
      <c r="C618" s="185" t="s">
        <v>3023</v>
      </c>
      <c r="D618" s="133" t="s">
        <v>3702</v>
      </c>
      <c r="E618" s="134">
        <v>1</v>
      </c>
      <c r="F618" s="135" t="s">
        <v>1449</v>
      </c>
      <c r="G618" s="185" t="s">
        <v>15</v>
      </c>
      <c r="H618" s="185" t="s">
        <v>15</v>
      </c>
      <c r="I618" s="185" t="s">
        <v>15</v>
      </c>
      <c r="J618" s="135" t="s">
        <v>1450</v>
      </c>
      <c r="K618" s="186">
        <v>11412</v>
      </c>
      <c r="L618" s="187" t="s">
        <v>173</v>
      </c>
      <c r="M618" s="187" t="s">
        <v>175</v>
      </c>
    </row>
    <row r="619" spans="1:13" s="188" customFormat="1">
      <c r="A619" s="185" t="s">
        <v>1447</v>
      </c>
      <c r="B619" s="133" t="s">
        <v>3707</v>
      </c>
      <c r="C619" s="185" t="s">
        <v>3023</v>
      </c>
      <c r="D619" s="133" t="s">
        <v>3708</v>
      </c>
      <c r="E619" s="134">
        <v>1</v>
      </c>
      <c r="F619" s="135" t="s">
        <v>1449</v>
      </c>
      <c r="G619" s="185" t="s">
        <v>15</v>
      </c>
      <c r="H619" s="185" t="s">
        <v>15</v>
      </c>
      <c r="I619" s="185" t="s">
        <v>15</v>
      </c>
      <c r="J619" s="135" t="s">
        <v>1450</v>
      </c>
      <c r="K619" s="186">
        <v>135060</v>
      </c>
      <c r="L619" s="187" t="s">
        <v>173</v>
      </c>
      <c r="M619" s="187" t="s">
        <v>175</v>
      </c>
    </row>
    <row r="620" spans="1:13" s="188" customFormat="1">
      <c r="A620" s="185" t="s">
        <v>1447</v>
      </c>
      <c r="B620" s="133" t="s">
        <v>3709</v>
      </c>
      <c r="C620" s="185" t="s">
        <v>3023</v>
      </c>
      <c r="D620" s="133" t="s">
        <v>3708</v>
      </c>
      <c r="E620" s="134">
        <v>1</v>
      </c>
      <c r="F620" s="135" t="s">
        <v>1449</v>
      </c>
      <c r="G620" s="185" t="s">
        <v>15</v>
      </c>
      <c r="H620" s="185" t="s">
        <v>15</v>
      </c>
      <c r="I620" s="185" t="s">
        <v>15</v>
      </c>
      <c r="J620" s="135" t="s">
        <v>1450</v>
      </c>
      <c r="K620" s="186">
        <v>101292</v>
      </c>
      <c r="L620" s="187" t="s">
        <v>173</v>
      </c>
      <c r="M620" s="187" t="s">
        <v>175</v>
      </c>
    </row>
    <row r="621" spans="1:13" s="188" customFormat="1">
      <c r="A621" s="185" t="s">
        <v>1447</v>
      </c>
      <c r="B621" s="133" t="s">
        <v>3710</v>
      </c>
      <c r="C621" s="185" t="s">
        <v>3023</v>
      </c>
      <c r="D621" s="133" t="s">
        <v>3708</v>
      </c>
      <c r="E621" s="134">
        <v>1</v>
      </c>
      <c r="F621" s="135" t="s">
        <v>1449</v>
      </c>
      <c r="G621" s="185" t="s">
        <v>15</v>
      </c>
      <c r="H621" s="185" t="s">
        <v>15</v>
      </c>
      <c r="I621" s="185" t="s">
        <v>15</v>
      </c>
      <c r="J621" s="135" t="s">
        <v>1450</v>
      </c>
      <c r="K621" s="186">
        <v>67536</v>
      </c>
      <c r="L621" s="187" t="s">
        <v>173</v>
      </c>
      <c r="M621" s="187" t="s">
        <v>175</v>
      </c>
    </row>
    <row r="622" spans="1:13" s="188" customFormat="1">
      <c r="A622" s="185" t="s">
        <v>1447</v>
      </c>
      <c r="B622" s="133" t="s">
        <v>3711</v>
      </c>
      <c r="C622" s="185" t="s">
        <v>3023</v>
      </c>
      <c r="D622" s="133" t="s">
        <v>3708</v>
      </c>
      <c r="E622" s="134">
        <v>1</v>
      </c>
      <c r="F622" s="135" t="s">
        <v>1449</v>
      </c>
      <c r="G622" s="185" t="s">
        <v>15</v>
      </c>
      <c r="H622" s="185" t="s">
        <v>15</v>
      </c>
      <c r="I622" s="185" t="s">
        <v>15</v>
      </c>
      <c r="J622" s="135" t="s">
        <v>1450</v>
      </c>
      <c r="K622" s="186">
        <v>50652</v>
      </c>
      <c r="L622" s="187" t="s">
        <v>173</v>
      </c>
      <c r="M622" s="187" t="s">
        <v>175</v>
      </c>
    </row>
    <row r="623" spans="1:13" s="188" customFormat="1">
      <c r="A623" s="185" t="s">
        <v>1447</v>
      </c>
      <c r="B623" s="133" t="s">
        <v>3712</v>
      </c>
      <c r="C623" s="185" t="s">
        <v>3023</v>
      </c>
      <c r="D623" s="133" t="s">
        <v>3708</v>
      </c>
      <c r="E623" s="134">
        <v>1</v>
      </c>
      <c r="F623" s="135" t="s">
        <v>1449</v>
      </c>
      <c r="G623" s="185" t="s">
        <v>15</v>
      </c>
      <c r="H623" s="185" t="s">
        <v>15</v>
      </c>
      <c r="I623" s="185" t="s">
        <v>15</v>
      </c>
      <c r="J623" s="135" t="s">
        <v>1450</v>
      </c>
      <c r="K623" s="186">
        <v>33768</v>
      </c>
      <c r="L623" s="187" t="s">
        <v>173</v>
      </c>
      <c r="M623" s="187" t="s">
        <v>175</v>
      </c>
    </row>
    <row r="624" spans="1:13" s="188" customFormat="1">
      <c r="A624" s="185" t="s">
        <v>1447</v>
      </c>
      <c r="B624" s="133" t="s">
        <v>3713</v>
      </c>
      <c r="C624" s="185" t="s">
        <v>3023</v>
      </c>
      <c r="D624" s="133" t="s">
        <v>1984</v>
      </c>
      <c r="E624" s="134">
        <v>1</v>
      </c>
      <c r="F624" s="135" t="s">
        <v>1449</v>
      </c>
      <c r="G624" s="185" t="s">
        <v>15</v>
      </c>
      <c r="H624" s="185" t="s">
        <v>15</v>
      </c>
      <c r="I624" s="185" t="s">
        <v>15</v>
      </c>
      <c r="J624" s="135" t="s">
        <v>1450</v>
      </c>
      <c r="K624" s="186">
        <v>2304</v>
      </c>
      <c r="L624" s="187" t="s">
        <v>173</v>
      </c>
      <c r="M624" s="187" t="s">
        <v>175</v>
      </c>
    </row>
    <row r="625" spans="1:13" s="188" customFormat="1">
      <c r="A625" s="185" t="s">
        <v>1447</v>
      </c>
      <c r="B625" s="133" t="s">
        <v>3714</v>
      </c>
      <c r="C625" s="185" t="s">
        <v>3023</v>
      </c>
      <c r="D625" s="133" t="s">
        <v>1984</v>
      </c>
      <c r="E625" s="134">
        <v>1</v>
      </c>
      <c r="F625" s="135" t="s">
        <v>1449</v>
      </c>
      <c r="G625" s="185" t="s">
        <v>15</v>
      </c>
      <c r="H625" s="185" t="s">
        <v>15</v>
      </c>
      <c r="I625" s="185" t="s">
        <v>15</v>
      </c>
      <c r="J625" s="135" t="s">
        <v>1450</v>
      </c>
      <c r="K625" s="186">
        <v>1500</v>
      </c>
      <c r="L625" s="187" t="s">
        <v>173</v>
      </c>
      <c r="M625" s="187" t="s">
        <v>175</v>
      </c>
    </row>
    <row r="626" spans="1:13" s="188" customFormat="1">
      <c r="A626" s="185" t="s">
        <v>1447</v>
      </c>
      <c r="B626" s="133" t="s">
        <v>3715</v>
      </c>
      <c r="C626" s="185" t="s">
        <v>3023</v>
      </c>
      <c r="D626" s="133" t="s">
        <v>1984</v>
      </c>
      <c r="E626" s="134">
        <v>1</v>
      </c>
      <c r="F626" s="135" t="s">
        <v>1449</v>
      </c>
      <c r="G626" s="185" t="s">
        <v>15</v>
      </c>
      <c r="H626" s="185" t="s">
        <v>15</v>
      </c>
      <c r="I626" s="185" t="s">
        <v>15</v>
      </c>
      <c r="J626" s="135" t="s">
        <v>1450</v>
      </c>
      <c r="K626" s="186">
        <v>1260</v>
      </c>
      <c r="L626" s="187" t="s">
        <v>173</v>
      </c>
      <c r="M626" s="187" t="s">
        <v>175</v>
      </c>
    </row>
    <row r="627" spans="1:13" s="188" customFormat="1">
      <c r="A627" s="185" t="s">
        <v>1447</v>
      </c>
      <c r="B627" s="133" t="s">
        <v>3716</v>
      </c>
      <c r="C627" s="185" t="s">
        <v>3023</v>
      </c>
      <c r="D627" s="133" t="s">
        <v>1978</v>
      </c>
      <c r="E627" s="134">
        <v>1</v>
      </c>
      <c r="F627" s="135" t="s">
        <v>1449</v>
      </c>
      <c r="G627" s="185" t="s">
        <v>15</v>
      </c>
      <c r="H627" s="185" t="s">
        <v>15</v>
      </c>
      <c r="I627" s="185" t="s">
        <v>15</v>
      </c>
      <c r="J627" s="135" t="s">
        <v>1450</v>
      </c>
      <c r="K627" s="186">
        <v>95952</v>
      </c>
      <c r="L627" s="187" t="s">
        <v>173</v>
      </c>
      <c r="M627" s="187" t="s">
        <v>175</v>
      </c>
    </row>
    <row r="628" spans="1:13" s="188" customFormat="1">
      <c r="A628" s="185" t="s">
        <v>1447</v>
      </c>
      <c r="B628" s="133" t="s">
        <v>3717</v>
      </c>
      <c r="C628" s="185" t="s">
        <v>3023</v>
      </c>
      <c r="D628" s="133" t="s">
        <v>1978</v>
      </c>
      <c r="E628" s="134">
        <v>1</v>
      </c>
      <c r="F628" s="135" t="s">
        <v>1449</v>
      </c>
      <c r="G628" s="185" t="s">
        <v>15</v>
      </c>
      <c r="H628" s="185" t="s">
        <v>15</v>
      </c>
      <c r="I628" s="185" t="s">
        <v>15</v>
      </c>
      <c r="J628" s="135" t="s">
        <v>1450</v>
      </c>
      <c r="K628" s="186">
        <v>74280</v>
      </c>
      <c r="L628" s="187" t="s">
        <v>173</v>
      </c>
      <c r="M628" s="187" t="s">
        <v>175</v>
      </c>
    </row>
    <row r="629" spans="1:13" s="188" customFormat="1">
      <c r="A629" s="185" t="s">
        <v>1447</v>
      </c>
      <c r="B629" s="133" t="s">
        <v>3718</v>
      </c>
      <c r="C629" s="185" t="s">
        <v>3023</v>
      </c>
      <c r="D629" s="133" t="s">
        <v>1978</v>
      </c>
      <c r="E629" s="134">
        <v>1</v>
      </c>
      <c r="F629" s="135" t="s">
        <v>1449</v>
      </c>
      <c r="G629" s="185" t="s">
        <v>15</v>
      </c>
      <c r="H629" s="185" t="s">
        <v>15</v>
      </c>
      <c r="I629" s="185" t="s">
        <v>15</v>
      </c>
      <c r="J629" s="135" t="s">
        <v>1450</v>
      </c>
      <c r="K629" s="186">
        <v>49620</v>
      </c>
      <c r="L629" s="187" t="s">
        <v>173</v>
      </c>
      <c r="M629" s="187" t="s">
        <v>175</v>
      </c>
    </row>
    <row r="630" spans="1:13" s="188" customFormat="1">
      <c r="A630" s="185" t="s">
        <v>1447</v>
      </c>
      <c r="B630" s="133" t="s">
        <v>3719</v>
      </c>
      <c r="C630" s="185" t="s">
        <v>3023</v>
      </c>
      <c r="D630" s="133" t="s">
        <v>1978</v>
      </c>
      <c r="E630" s="134">
        <v>1</v>
      </c>
      <c r="F630" s="135" t="s">
        <v>1449</v>
      </c>
      <c r="G630" s="185" t="s">
        <v>15</v>
      </c>
      <c r="H630" s="185" t="s">
        <v>15</v>
      </c>
      <c r="I630" s="185" t="s">
        <v>15</v>
      </c>
      <c r="J630" s="135" t="s">
        <v>1450</v>
      </c>
      <c r="K630" s="186">
        <v>37344</v>
      </c>
      <c r="L630" s="187" t="s">
        <v>173</v>
      </c>
      <c r="M630" s="187" t="s">
        <v>175</v>
      </c>
    </row>
    <row r="631" spans="1:13" s="188" customFormat="1">
      <c r="A631" s="185" t="s">
        <v>1447</v>
      </c>
      <c r="B631" s="133" t="s">
        <v>3720</v>
      </c>
      <c r="C631" s="185" t="s">
        <v>3023</v>
      </c>
      <c r="D631" s="133" t="s">
        <v>1978</v>
      </c>
      <c r="E631" s="134">
        <v>1</v>
      </c>
      <c r="F631" s="135" t="s">
        <v>1449</v>
      </c>
      <c r="G631" s="185" t="s">
        <v>15</v>
      </c>
      <c r="H631" s="185" t="s">
        <v>15</v>
      </c>
      <c r="I631" s="185" t="s">
        <v>15</v>
      </c>
      <c r="J631" s="135" t="s">
        <v>1450</v>
      </c>
      <c r="K631" s="186">
        <v>25104</v>
      </c>
      <c r="L631" s="187" t="s">
        <v>173</v>
      </c>
      <c r="M631" s="187" t="s">
        <v>175</v>
      </c>
    </row>
    <row r="632" spans="1:13" s="188" customFormat="1">
      <c r="A632" s="185" t="s">
        <v>1447</v>
      </c>
      <c r="B632" s="133" t="s">
        <v>3721</v>
      </c>
      <c r="C632" s="185" t="s">
        <v>3023</v>
      </c>
      <c r="D632" s="133" t="s">
        <v>1971</v>
      </c>
      <c r="E632" s="134">
        <v>1</v>
      </c>
      <c r="F632" s="135" t="s">
        <v>1449</v>
      </c>
      <c r="G632" s="185" t="s">
        <v>15</v>
      </c>
      <c r="H632" s="185" t="s">
        <v>15</v>
      </c>
      <c r="I632" s="185" t="s">
        <v>15</v>
      </c>
      <c r="J632" s="135" t="s">
        <v>1450</v>
      </c>
      <c r="K632" s="186">
        <v>51876</v>
      </c>
      <c r="L632" s="187" t="s">
        <v>173</v>
      </c>
      <c r="M632" s="187" t="s">
        <v>175</v>
      </c>
    </row>
    <row r="633" spans="1:13" s="188" customFormat="1">
      <c r="A633" s="185" t="s">
        <v>1447</v>
      </c>
      <c r="B633" s="133" t="s">
        <v>3722</v>
      </c>
      <c r="C633" s="185" t="s">
        <v>3023</v>
      </c>
      <c r="D633" s="133" t="s">
        <v>1971</v>
      </c>
      <c r="E633" s="134">
        <v>1</v>
      </c>
      <c r="F633" s="135" t="s">
        <v>1449</v>
      </c>
      <c r="G633" s="185" t="s">
        <v>15</v>
      </c>
      <c r="H633" s="185" t="s">
        <v>15</v>
      </c>
      <c r="I633" s="185" t="s">
        <v>15</v>
      </c>
      <c r="J633" s="135" t="s">
        <v>1450</v>
      </c>
      <c r="K633" s="186">
        <v>33636</v>
      </c>
      <c r="L633" s="187" t="s">
        <v>173</v>
      </c>
      <c r="M633" s="187" t="s">
        <v>175</v>
      </c>
    </row>
    <row r="634" spans="1:13" s="188" customFormat="1">
      <c r="A634" s="185" t="s">
        <v>1447</v>
      </c>
      <c r="B634" s="133" t="s">
        <v>3723</v>
      </c>
      <c r="C634" s="185" t="s">
        <v>3023</v>
      </c>
      <c r="D634" s="133" t="s">
        <v>1971</v>
      </c>
      <c r="E634" s="134">
        <v>1</v>
      </c>
      <c r="F634" s="135" t="s">
        <v>1449</v>
      </c>
      <c r="G634" s="185" t="s">
        <v>15</v>
      </c>
      <c r="H634" s="185" t="s">
        <v>15</v>
      </c>
      <c r="I634" s="185" t="s">
        <v>15</v>
      </c>
      <c r="J634" s="135" t="s">
        <v>1450</v>
      </c>
      <c r="K634" s="186">
        <v>28584</v>
      </c>
      <c r="L634" s="187" t="s">
        <v>173</v>
      </c>
      <c r="M634" s="187" t="s">
        <v>175</v>
      </c>
    </row>
    <row r="635" spans="1:13" s="188" customFormat="1">
      <c r="A635" s="185" t="s">
        <v>1447</v>
      </c>
      <c r="B635" s="133" t="s">
        <v>3724</v>
      </c>
      <c r="C635" s="185" t="s">
        <v>3023</v>
      </c>
      <c r="D635" s="133" t="s">
        <v>1971</v>
      </c>
      <c r="E635" s="134">
        <v>1</v>
      </c>
      <c r="F635" s="135" t="s">
        <v>1449</v>
      </c>
      <c r="G635" s="185" t="s">
        <v>15</v>
      </c>
      <c r="H635" s="185" t="s">
        <v>15</v>
      </c>
      <c r="I635" s="185" t="s">
        <v>15</v>
      </c>
      <c r="J635" s="135" t="s">
        <v>1450</v>
      </c>
      <c r="K635" s="186">
        <v>25224</v>
      </c>
      <c r="L635" s="187" t="s">
        <v>173</v>
      </c>
      <c r="M635" s="187" t="s">
        <v>175</v>
      </c>
    </row>
    <row r="636" spans="1:13" s="188" customFormat="1">
      <c r="A636" s="185" t="s">
        <v>1447</v>
      </c>
      <c r="B636" s="133" t="s">
        <v>3725</v>
      </c>
      <c r="C636" s="185" t="s">
        <v>3023</v>
      </c>
      <c r="D636" s="133" t="s">
        <v>1971</v>
      </c>
      <c r="E636" s="134">
        <v>1</v>
      </c>
      <c r="F636" s="135" t="s">
        <v>1449</v>
      </c>
      <c r="G636" s="185" t="s">
        <v>15</v>
      </c>
      <c r="H636" s="185" t="s">
        <v>15</v>
      </c>
      <c r="I636" s="185" t="s">
        <v>15</v>
      </c>
      <c r="J636" s="135" t="s">
        <v>1450</v>
      </c>
      <c r="K636" s="186">
        <v>21864</v>
      </c>
      <c r="L636" s="187" t="s">
        <v>173</v>
      </c>
      <c r="M636" s="187" t="s">
        <v>175</v>
      </c>
    </row>
    <row r="637" spans="1:13" s="188" customFormat="1">
      <c r="A637" s="185" t="s">
        <v>1447</v>
      </c>
      <c r="B637" s="133" t="s">
        <v>3726</v>
      </c>
      <c r="C637" s="185" t="s">
        <v>3023</v>
      </c>
      <c r="D637" s="133" t="s">
        <v>1997</v>
      </c>
      <c r="E637" s="134">
        <v>1</v>
      </c>
      <c r="F637" s="135" t="s">
        <v>1449</v>
      </c>
      <c r="G637" s="185" t="s">
        <v>15</v>
      </c>
      <c r="H637" s="185" t="s">
        <v>15</v>
      </c>
      <c r="I637" s="185" t="s">
        <v>15</v>
      </c>
      <c r="J637" s="135" t="s">
        <v>1450</v>
      </c>
      <c r="K637" s="186">
        <v>39396</v>
      </c>
      <c r="L637" s="187" t="s">
        <v>173</v>
      </c>
      <c r="M637" s="187" t="s">
        <v>175</v>
      </c>
    </row>
    <row r="638" spans="1:13" s="188" customFormat="1">
      <c r="A638" s="185" t="s">
        <v>1447</v>
      </c>
      <c r="B638" s="133" t="s">
        <v>3727</v>
      </c>
      <c r="C638" s="185" t="s">
        <v>3023</v>
      </c>
      <c r="D638" s="133" t="s">
        <v>1997</v>
      </c>
      <c r="E638" s="134">
        <v>1</v>
      </c>
      <c r="F638" s="135" t="s">
        <v>1449</v>
      </c>
      <c r="G638" s="185" t="s">
        <v>15</v>
      </c>
      <c r="H638" s="185" t="s">
        <v>15</v>
      </c>
      <c r="I638" s="185" t="s">
        <v>15</v>
      </c>
      <c r="J638" s="135" t="s">
        <v>1450</v>
      </c>
      <c r="K638" s="186">
        <v>25692</v>
      </c>
      <c r="L638" s="187" t="s">
        <v>173</v>
      </c>
      <c r="M638" s="187" t="s">
        <v>175</v>
      </c>
    </row>
    <row r="639" spans="1:13" s="188" customFormat="1">
      <c r="A639" s="185" t="s">
        <v>1447</v>
      </c>
      <c r="B639" s="133" t="s">
        <v>3728</v>
      </c>
      <c r="C639" s="185" t="s">
        <v>3023</v>
      </c>
      <c r="D639" s="133" t="s">
        <v>1997</v>
      </c>
      <c r="E639" s="134">
        <v>1</v>
      </c>
      <c r="F639" s="135" t="s">
        <v>1449</v>
      </c>
      <c r="G639" s="185" t="s">
        <v>15</v>
      </c>
      <c r="H639" s="185" t="s">
        <v>15</v>
      </c>
      <c r="I639" s="185" t="s">
        <v>15</v>
      </c>
      <c r="J639" s="135" t="s">
        <v>1450</v>
      </c>
      <c r="K639" s="186">
        <v>15696</v>
      </c>
      <c r="L639" s="187" t="s">
        <v>173</v>
      </c>
      <c r="M639" s="187" t="s">
        <v>175</v>
      </c>
    </row>
    <row r="640" spans="1:13" s="188" customFormat="1">
      <c r="A640" s="185" t="s">
        <v>1447</v>
      </c>
      <c r="B640" s="133" t="s">
        <v>3729</v>
      </c>
      <c r="C640" s="185" t="s">
        <v>3023</v>
      </c>
      <c r="D640" s="133" t="s">
        <v>1993</v>
      </c>
      <c r="E640" s="134">
        <v>1</v>
      </c>
      <c r="F640" s="135" t="s">
        <v>1449</v>
      </c>
      <c r="G640" s="185" t="s">
        <v>15</v>
      </c>
      <c r="H640" s="185" t="s">
        <v>15</v>
      </c>
      <c r="I640" s="185" t="s">
        <v>15</v>
      </c>
      <c r="J640" s="135" t="s">
        <v>1450</v>
      </c>
      <c r="K640" s="186">
        <v>4356</v>
      </c>
      <c r="L640" s="187" t="s">
        <v>173</v>
      </c>
      <c r="M640" s="187" t="s">
        <v>175</v>
      </c>
    </row>
    <row r="641" spans="1:13" s="188" customFormat="1">
      <c r="A641" s="185" t="s">
        <v>1447</v>
      </c>
      <c r="B641" s="133" t="s">
        <v>3730</v>
      </c>
      <c r="C641" s="185" t="s">
        <v>3023</v>
      </c>
      <c r="D641" s="133" t="s">
        <v>1993</v>
      </c>
      <c r="E641" s="134">
        <v>1</v>
      </c>
      <c r="F641" s="135" t="s">
        <v>1449</v>
      </c>
      <c r="G641" s="185" t="s">
        <v>15</v>
      </c>
      <c r="H641" s="185" t="s">
        <v>15</v>
      </c>
      <c r="I641" s="185" t="s">
        <v>15</v>
      </c>
      <c r="J641" s="135" t="s">
        <v>1450</v>
      </c>
      <c r="K641" s="186">
        <v>2184</v>
      </c>
      <c r="L641" s="187" t="s">
        <v>173</v>
      </c>
      <c r="M641" s="187" t="s">
        <v>175</v>
      </c>
    </row>
    <row r="642" spans="1:13" s="188" customFormat="1">
      <c r="A642" s="185" t="s">
        <v>1447</v>
      </c>
      <c r="B642" s="133" t="s">
        <v>3731</v>
      </c>
      <c r="C642" s="185" t="s">
        <v>3023</v>
      </c>
      <c r="D642" s="133" t="s">
        <v>1993</v>
      </c>
      <c r="E642" s="134">
        <v>1</v>
      </c>
      <c r="F642" s="135" t="s">
        <v>1449</v>
      </c>
      <c r="G642" s="185" t="s">
        <v>15</v>
      </c>
      <c r="H642" s="185" t="s">
        <v>15</v>
      </c>
      <c r="I642" s="185" t="s">
        <v>15</v>
      </c>
      <c r="J642" s="135" t="s">
        <v>1450</v>
      </c>
      <c r="K642" s="186">
        <v>1668</v>
      </c>
      <c r="L642" s="187" t="s">
        <v>173</v>
      </c>
      <c r="M642" s="187" t="s">
        <v>175</v>
      </c>
    </row>
    <row r="643" spans="1:13" s="188" customFormat="1">
      <c r="A643" s="185" t="s">
        <v>1447</v>
      </c>
      <c r="B643" s="133" t="s">
        <v>3732</v>
      </c>
      <c r="C643" s="185" t="s">
        <v>3023</v>
      </c>
      <c r="D643" s="133" t="s">
        <v>1993</v>
      </c>
      <c r="E643" s="134">
        <v>1</v>
      </c>
      <c r="F643" s="135" t="s">
        <v>1449</v>
      </c>
      <c r="G643" s="185" t="s">
        <v>15</v>
      </c>
      <c r="H643" s="185" t="s">
        <v>15</v>
      </c>
      <c r="I643" s="185" t="s">
        <v>15</v>
      </c>
      <c r="J643" s="135" t="s">
        <v>1450</v>
      </c>
      <c r="K643" s="186">
        <v>1248</v>
      </c>
      <c r="L643" s="187" t="s">
        <v>173</v>
      </c>
      <c r="M643" s="187" t="s">
        <v>175</v>
      </c>
    </row>
    <row r="644" spans="1:13" s="188" customFormat="1">
      <c r="A644" s="185" t="s">
        <v>1447</v>
      </c>
      <c r="B644" s="133" t="s">
        <v>3733</v>
      </c>
      <c r="C644" s="185" t="s">
        <v>3023</v>
      </c>
      <c r="D644" s="133" t="s">
        <v>1993</v>
      </c>
      <c r="E644" s="134">
        <v>1</v>
      </c>
      <c r="F644" s="135" t="s">
        <v>1449</v>
      </c>
      <c r="G644" s="185" t="s">
        <v>15</v>
      </c>
      <c r="H644" s="185" t="s">
        <v>15</v>
      </c>
      <c r="I644" s="185" t="s">
        <v>15</v>
      </c>
      <c r="J644" s="135" t="s">
        <v>1450</v>
      </c>
      <c r="K644" s="186">
        <v>840</v>
      </c>
      <c r="L644" s="187" t="s">
        <v>173</v>
      </c>
      <c r="M644" s="187" t="s">
        <v>175</v>
      </c>
    </row>
    <row r="645" spans="1:13" s="188" customFormat="1">
      <c r="A645" s="185" t="s">
        <v>1447</v>
      </c>
      <c r="B645" s="133" t="s">
        <v>3734</v>
      </c>
      <c r="C645" s="185" t="s">
        <v>3023</v>
      </c>
      <c r="D645" s="133" t="s">
        <v>1995</v>
      </c>
      <c r="E645" s="134">
        <v>1</v>
      </c>
      <c r="F645" s="135" t="s">
        <v>1449</v>
      </c>
      <c r="G645" s="185" t="s">
        <v>15</v>
      </c>
      <c r="H645" s="185" t="s">
        <v>15</v>
      </c>
      <c r="I645" s="185" t="s">
        <v>15</v>
      </c>
      <c r="J645" s="135" t="s">
        <v>1450</v>
      </c>
      <c r="K645" s="186">
        <v>9228</v>
      </c>
      <c r="L645" s="187" t="s">
        <v>173</v>
      </c>
      <c r="M645" s="187" t="s">
        <v>175</v>
      </c>
    </row>
    <row r="646" spans="1:13" s="188" customFormat="1">
      <c r="A646" s="185" t="s">
        <v>1447</v>
      </c>
      <c r="B646" s="133" t="s">
        <v>3735</v>
      </c>
      <c r="C646" s="185" t="s">
        <v>3023</v>
      </c>
      <c r="D646" s="133" t="s">
        <v>1995</v>
      </c>
      <c r="E646" s="134">
        <v>1</v>
      </c>
      <c r="F646" s="135" t="s">
        <v>1449</v>
      </c>
      <c r="G646" s="185" t="s">
        <v>15</v>
      </c>
      <c r="H646" s="185" t="s">
        <v>15</v>
      </c>
      <c r="I646" s="185" t="s">
        <v>15</v>
      </c>
      <c r="J646" s="135" t="s">
        <v>1450</v>
      </c>
      <c r="K646" s="186">
        <v>7572</v>
      </c>
      <c r="L646" s="187" t="s">
        <v>173</v>
      </c>
      <c r="M646" s="187" t="s">
        <v>175</v>
      </c>
    </row>
    <row r="647" spans="1:13" s="188" customFormat="1">
      <c r="A647" s="185" t="s">
        <v>1447</v>
      </c>
      <c r="B647" s="133" t="s">
        <v>3736</v>
      </c>
      <c r="C647" s="185" t="s">
        <v>3023</v>
      </c>
      <c r="D647" s="133" t="s">
        <v>1995</v>
      </c>
      <c r="E647" s="134">
        <v>1</v>
      </c>
      <c r="F647" s="135" t="s">
        <v>1449</v>
      </c>
      <c r="G647" s="185" t="s">
        <v>15</v>
      </c>
      <c r="H647" s="185" t="s">
        <v>15</v>
      </c>
      <c r="I647" s="185" t="s">
        <v>15</v>
      </c>
      <c r="J647" s="135" t="s">
        <v>1450</v>
      </c>
      <c r="K647" s="186">
        <v>5736</v>
      </c>
      <c r="L647" s="187" t="s">
        <v>173</v>
      </c>
      <c r="M647" s="187" t="s">
        <v>175</v>
      </c>
    </row>
    <row r="648" spans="1:13" s="188" customFormat="1">
      <c r="A648" s="185" t="s">
        <v>1447</v>
      </c>
      <c r="B648" s="133" t="s">
        <v>3737</v>
      </c>
      <c r="C648" s="185" t="s">
        <v>3023</v>
      </c>
      <c r="D648" s="133" t="s">
        <v>1982</v>
      </c>
      <c r="E648" s="134">
        <v>1</v>
      </c>
      <c r="F648" s="135" t="s">
        <v>1449</v>
      </c>
      <c r="G648" s="185" t="s">
        <v>15</v>
      </c>
      <c r="H648" s="185" t="s">
        <v>15</v>
      </c>
      <c r="I648" s="185" t="s">
        <v>15</v>
      </c>
      <c r="J648" s="135" t="s">
        <v>1450</v>
      </c>
      <c r="K648" s="186">
        <v>4356</v>
      </c>
      <c r="L648" s="187" t="s">
        <v>173</v>
      </c>
      <c r="M648" s="187" t="s">
        <v>175</v>
      </c>
    </row>
    <row r="649" spans="1:13" s="188" customFormat="1">
      <c r="A649" s="185" t="s">
        <v>1447</v>
      </c>
      <c r="B649" s="133" t="s">
        <v>3738</v>
      </c>
      <c r="C649" s="185" t="s">
        <v>3023</v>
      </c>
      <c r="D649" s="133" t="s">
        <v>1982</v>
      </c>
      <c r="E649" s="134">
        <v>1</v>
      </c>
      <c r="F649" s="135" t="s">
        <v>1449</v>
      </c>
      <c r="G649" s="185" t="s">
        <v>15</v>
      </c>
      <c r="H649" s="185" t="s">
        <v>15</v>
      </c>
      <c r="I649" s="185" t="s">
        <v>15</v>
      </c>
      <c r="J649" s="135" t="s">
        <v>1450</v>
      </c>
      <c r="K649" s="186">
        <v>2184</v>
      </c>
      <c r="L649" s="187" t="s">
        <v>173</v>
      </c>
      <c r="M649" s="187" t="s">
        <v>175</v>
      </c>
    </row>
    <row r="650" spans="1:13" s="188" customFormat="1">
      <c r="A650" s="185" t="s">
        <v>1447</v>
      </c>
      <c r="B650" s="133" t="s">
        <v>3739</v>
      </c>
      <c r="C650" s="185" t="s">
        <v>3023</v>
      </c>
      <c r="D650" s="133" t="s">
        <v>1982</v>
      </c>
      <c r="E650" s="134">
        <v>1</v>
      </c>
      <c r="F650" s="135" t="s">
        <v>1449</v>
      </c>
      <c r="G650" s="185" t="s">
        <v>15</v>
      </c>
      <c r="H650" s="185" t="s">
        <v>15</v>
      </c>
      <c r="I650" s="185" t="s">
        <v>15</v>
      </c>
      <c r="J650" s="135" t="s">
        <v>1450</v>
      </c>
      <c r="K650" s="186">
        <v>1668</v>
      </c>
      <c r="L650" s="187" t="s">
        <v>173</v>
      </c>
      <c r="M650" s="187" t="s">
        <v>175</v>
      </c>
    </row>
    <row r="651" spans="1:13" s="188" customFormat="1">
      <c r="A651" s="185" t="s">
        <v>1447</v>
      </c>
      <c r="B651" s="133" t="s">
        <v>3740</v>
      </c>
      <c r="C651" s="185" t="s">
        <v>3023</v>
      </c>
      <c r="D651" s="133" t="s">
        <v>1982</v>
      </c>
      <c r="E651" s="134">
        <v>1</v>
      </c>
      <c r="F651" s="135" t="s">
        <v>1449</v>
      </c>
      <c r="G651" s="185" t="s">
        <v>15</v>
      </c>
      <c r="H651" s="185" t="s">
        <v>15</v>
      </c>
      <c r="I651" s="185" t="s">
        <v>15</v>
      </c>
      <c r="J651" s="135" t="s">
        <v>1450</v>
      </c>
      <c r="K651" s="186">
        <v>1248</v>
      </c>
      <c r="L651" s="187" t="s">
        <v>173</v>
      </c>
      <c r="M651" s="187" t="s">
        <v>175</v>
      </c>
    </row>
    <row r="652" spans="1:13" s="188" customFormat="1">
      <c r="A652" s="185" t="s">
        <v>1447</v>
      </c>
      <c r="B652" s="133" t="s">
        <v>3741</v>
      </c>
      <c r="C652" s="185" t="s">
        <v>3023</v>
      </c>
      <c r="D652" s="133" t="s">
        <v>1982</v>
      </c>
      <c r="E652" s="134">
        <v>1</v>
      </c>
      <c r="F652" s="135" t="s">
        <v>1449</v>
      </c>
      <c r="G652" s="185" t="s">
        <v>15</v>
      </c>
      <c r="H652" s="185" t="s">
        <v>15</v>
      </c>
      <c r="I652" s="185" t="s">
        <v>15</v>
      </c>
      <c r="J652" s="135" t="s">
        <v>1450</v>
      </c>
      <c r="K652" s="186">
        <v>840</v>
      </c>
      <c r="L652" s="187" t="s">
        <v>173</v>
      </c>
      <c r="M652" s="187" t="s">
        <v>175</v>
      </c>
    </row>
    <row r="653" spans="1:13" s="188" customFormat="1">
      <c r="A653" s="185" t="s">
        <v>1447</v>
      </c>
      <c r="B653" s="133" t="s">
        <v>3742</v>
      </c>
      <c r="C653" s="185" t="s">
        <v>3023</v>
      </c>
      <c r="D653" s="133" t="s">
        <v>1977</v>
      </c>
      <c r="E653" s="134">
        <v>1</v>
      </c>
      <c r="F653" s="135" t="s">
        <v>1449</v>
      </c>
      <c r="G653" s="185" t="s">
        <v>15</v>
      </c>
      <c r="H653" s="185" t="s">
        <v>15</v>
      </c>
      <c r="I653" s="185" t="s">
        <v>15</v>
      </c>
      <c r="J653" s="135" t="s">
        <v>1450</v>
      </c>
      <c r="K653" s="186">
        <v>7380</v>
      </c>
      <c r="L653" s="187" t="s">
        <v>173</v>
      </c>
      <c r="M653" s="187" t="s">
        <v>175</v>
      </c>
    </row>
    <row r="654" spans="1:13" s="188" customFormat="1">
      <c r="A654" s="185" t="s">
        <v>1447</v>
      </c>
      <c r="B654" s="133" t="s">
        <v>3743</v>
      </c>
      <c r="C654" s="185" t="s">
        <v>3023</v>
      </c>
      <c r="D654" s="133" t="s">
        <v>1977</v>
      </c>
      <c r="E654" s="134">
        <v>1</v>
      </c>
      <c r="F654" s="135" t="s">
        <v>1449</v>
      </c>
      <c r="G654" s="185" t="s">
        <v>15</v>
      </c>
      <c r="H654" s="185" t="s">
        <v>15</v>
      </c>
      <c r="I654" s="185" t="s">
        <v>15</v>
      </c>
      <c r="J654" s="135" t="s">
        <v>1450</v>
      </c>
      <c r="K654" s="186">
        <v>6060</v>
      </c>
      <c r="L654" s="187" t="s">
        <v>173</v>
      </c>
      <c r="M654" s="187" t="s">
        <v>175</v>
      </c>
    </row>
    <row r="655" spans="1:13" s="188" customFormat="1">
      <c r="A655" s="185" t="s">
        <v>1447</v>
      </c>
      <c r="B655" s="133" t="s">
        <v>3744</v>
      </c>
      <c r="C655" s="185" t="s">
        <v>3023</v>
      </c>
      <c r="D655" s="133" t="s">
        <v>1977</v>
      </c>
      <c r="E655" s="134">
        <v>1</v>
      </c>
      <c r="F655" s="135" t="s">
        <v>1449</v>
      </c>
      <c r="G655" s="185" t="s">
        <v>15</v>
      </c>
      <c r="H655" s="185" t="s">
        <v>15</v>
      </c>
      <c r="I655" s="185" t="s">
        <v>15</v>
      </c>
      <c r="J655" s="135" t="s">
        <v>1450</v>
      </c>
      <c r="K655" s="186">
        <v>4596</v>
      </c>
      <c r="L655" s="187" t="s">
        <v>173</v>
      </c>
      <c r="M655" s="187" t="s">
        <v>175</v>
      </c>
    </row>
    <row r="656" spans="1:13" s="188" customFormat="1">
      <c r="A656" s="185" t="s">
        <v>1447</v>
      </c>
      <c r="B656" s="133" t="s">
        <v>3745</v>
      </c>
      <c r="C656" s="185" t="s">
        <v>3023</v>
      </c>
      <c r="D656" s="133" t="s">
        <v>2006</v>
      </c>
      <c r="E656" s="134">
        <v>1</v>
      </c>
      <c r="F656" s="135" t="s">
        <v>1449</v>
      </c>
      <c r="G656" s="185" t="s">
        <v>15</v>
      </c>
      <c r="H656" s="185" t="s">
        <v>15</v>
      </c>
      <c r="I656" s="185" t="s">
        <v>15</v>
      </c>
      <c r="J656" s="135" t="s">
        <v>1450</v>
      </c>
      <c r="K656" s="186">
        <v>468</v>
      </c>
      <c r="L656" s="187" t="s">
        <v>173</v>
      </c>
      <c r="M656" s="187" t="s">
        <v>175</v>
      </c>
    </row>
    <row r="657" spans="1:13" s="188" customFormat="1">
      <c r="A657" s="185" t="s">
        <v>1447</v>
      </c>
      <c r="B657" s="133" t="s">
        <v>3746</v>
      </c>
      <c r="C657" s="185" t="s">
        <v>3023</v>
      </c>
      <c r="D657" s="133" t="s">
        <v>2006</v>
      </c>
      <c r="E657" s="134">
        <v>1</v>
      </c>
      <c r="F657" s="135" t="s">
        <v>1449</v>
      </c>
      <c r="G657" s="185" t="s">
        <v>15</v>
      </c>
      <c r="H657" s="185" t="s">
        <v>15</v>
      </c>
      <c r="I657" s="185" t="s">
        <v>15</v>
      </c>
      <c r="J657" s="135" t="s">
        <v>1450</v>
      </c>
      <c r="K657" s="186">
        <v>396</v>
      </c>
      <c r="L657" s="187" t="s">
        <v>173</v>
      </c>
      <c r="M657" s="187" t="s">
        <v>175</v>
      </c>
    </row>
    <row r="658" spans="1:13" s="188" customFormat="1">
      <c r="A658" s="185" t="s">
        <v>1447</v>
      </c>
      <c r="B658" s="133" t="s">
        <v>3747</v>
      </c>
      <c r="C658" s="185" t="s">
        <v>3023</v>
      </c>
      <c r="D658" s="133" t="s">
        <v>2006</v>
      </c>
      <c r="E658" s="134">
        <v>1</v>
      </c>
      <c r="F658" s="135" t="s">
        <v>1449</v>
      </c>
      <c r="G658" s="185" t="s">
        <v>15</v>
      </c>
      <c r="H658" s="185" t="s">
        <v>15</v>
      </c>
      <c r="I658" s="185" t="s">
        <v>15</v>
      </c>
      <c r="J658" s="135" t="s">
        <v>1450</v>
      </c>
      <c r="K658" s="186">
        <v>336</v>
      </c>
      <c r="L658" s="187" t="s">
        <v>173</v>
      </c>
      <c r="M658" s="187" t="s">
        <v>175</v>
      </c>
    </row>
    <row r="659" spans="1:13" s="188" customFormat="1">
      <c r="A659" s="185" t="s">
        <v>1447</v>
      </c>
      <c r="B659" s="133" t="s">
        <v>3748</v>
      </c>
      <c r="C659" s="185" t="s">
        <v>3023</v>
      </c>
      <c r="D659" s="133" t="s">
        <v>2006</v>
      </c>
      <c r="E659" s="134">
        <v>1</v>
      </c>
      <c r="F659" s="135" t="s">
        <v>1449</v>
      </c>
      <c r="G659" s="185" t="s">
        <v>15</v>
      </c>
      <c r="H659" s="185" t="s">
        <v>15</v>
      </c>
      <c r="I659" s="185" t="s">
        <v>15</v>
      </c>
      <c r="J659" s="135" t="s">
        <v>1450</v>
      </c>
      <c r="K659" s="186">
        <v>276</v>
      </c>
      <c r="L659" s="187" t="s">
        <v>173</v>
      </c>
      <c r="M659" s="187" t="s">
        <v>175</v>
      </c>
    </row>
    <row r="660" spans="1:13" s="188" customFormat="1">
      <c r="A660" s="185" t="s">
        <v>1447</v>
      </c>
      <c r="B660" s="133" t="s">
        <v>3749</v>
      </c>
      <c r="C660" s="185" t="s">
        <v>3023</v>
      </c>
      <c r="D660" s="133" t="s">
        <v>2006</v>
      </c>
      <c r="E660" s="134">
        <v>1</v>
      </c>
      <c r="F660" s="135" t="s">
        <v>1449</v>
      </c>
      <c r="G660" s="185" t="s">
        <v>15</v>
      </c>
      <c r="H660" s="185" t="s">
        <v>15</v>
      </c>
      <c r="I660" s="185" t="s">
        <v>15</v>
      </c>
      <c r="J660" s="135" t="s">
        <v>1450</v>
      </c>
      <c r="K660" s="186">
        <v>216</v>
      </c>
      <c r="L660" s="187" t="s">
        <v>173</v>
      </c>
      <c r="M660" s="187" t="s">
        <v>175</v>
      </c>
    </row>
    <row r="661" spans="1:13" s="188" customFormat="1">
      <c r="A661" s="185" t="s">
        <v>1447</v>
      </c>
      <c r="B661" s="133" t="s">
        <v>3750</v>
      </c>
      <c r="C661" s="185" t="s">
        <v>3023</v>
      </c>
      <c r="D661" s="133" t="s">
        <v>1985</v>
      </c>
      <c r="E661" s="134">
        <v>1</v>
      </c>
      <c r="F661" s="135" t="s">
        <v>1449</v>
      </c>
      <c r="G661" s="185" t="s">
        <v>15</v>
      </c>
      <c r="H661" s="185" t="s">
        <v>15</v>
      </c>
      <c r="I661" s="185" t="s">
        <v>15</v>
      </c>
      <c r="J661" s="135" t="s">
        <v>1450</v>
      </c>
      <c r="K661" s="186">
        <v>233460</v>
      </c>
      <c r="L661" s="187" t="s">
        <v>173</v>
      </c>
      <c r="M661" s="187" t="s">
        <v>175</v>
      </c>
    </row>
    <row r="662" spans="1:13" s="188" customFormat="1">
      <c r="A662" s="185" t="s">
        <v>1447</v>
      </c>
      <c r="B662" s="133" t="s">
        <v>3751</v>
      </c>
      <c r="C662" s="185" t="s">
        <v>3023</v>
      </c>
      <c r="D662" s="133" t="s">
        <v>1985</v>
      </c>
      <c r="E662" s="134">
        <v>1</v>
      </c>
      <c r="F662" s="135" t="s">
        <v>1449</v>
      </c>
      <c r="G662" s="185" t="s">
        <v>15</v>
      </c>
      <c r="H662" s="185" t="s">
        <v>15</v>
      </c>
      <c r="I662" s="185" t="s">
        <v>15</v>
      </c>
      <c r="J662" s="135" t="s">
        <v>1450</v>
      </c>
      <c r="K662" s="186">
        <v>141072</v>
      </c>
      <c r="L662" s="187" t="s">
        <v>173</v>
      </c>
      <c r="M662" s="187" t="s">
        <v>175</v>
      </c>
    </row>
    <row r="663" spans="1:13" s="188" customFormat="1">
      <c r="A663" s="185" t="s">
        <v>1447</v>
      </c>
      <c r="B663" s="133" t="s">
        <v>3752</v>
      </c>
      <c r="C663" s="185" t="s">
        <v>3023</v>
      </c>
      <c r="D663" s="133" t="s">
        <v>1985</v>
      </c>
      <c r="E663" s="134">
        <v>1</v>
      </c>
      <c r="F663" s="135" t="s">
        <v>1449</v>
      </c>
      <c r="G663" s="185" t="s">
        <v>15</v>
      </c>
      <c r="H663" s="185" t="s">
        <v>15</v>
      </c>
      <c r="I663" s="185" t="s">
        <v>15</v>
      </c>
      <c r="J663" s="135" t="s">
        <v>1450</v>
      </c>
      <c r="K663" s="186">
        <v>72588</v>
      </c>
      <c r="L663" s="187" t="s">
        <v>173</v>
      </c>
      <c r="M663" s="187" t="s">
        <v>175</v>
      </c>
    </row>
    <row r="664" spans="1:13" s="188" customFormat="1">
      <c r="A664" s="185" t="s">
        <v>1447</v>
      </c>
      <c r="B664" s="133" t="s">
        <v>3753</v>
      </c>
      <c r="C664" s="185" t="s">
        <v>3023</v>
      </c>
      <c r="D664" s="133" t="s">
        <v>1985</v>
      </c>
      <c r="E664" s="134">
        <v>1</v>
      </c>
      <c r="F664" s="135" t="s">
        <v>1449</v>
      </c>
      <c r="G664" s="185" t="s">
        <v>15</v>
      </c>
      <c r="H664" s="185" t="s">
        <v>15</v>
      </c>
      <c r="I664" s="185" t="s">
        <v>15</v>
      </c>
      <c r="J664" s="135" t="s">
        <v>1450</v>
      </c>
      <c r="K664" s="186">
        <v>53916</v>
      </c>
      <c r="L664" s="187" t="s">
        <v>173</v>
      </c>
      <c r="M664" s="187" t="s">
        <v>175</v>
      </c>
    </row>
    <row r="665" spans="1:13" s="188" customFormat="1">
      <c r="A665" s="185" t="s">
        <v>1447</v>
      </c>
      <c r="B665" s="133" t="s">
        <v>3754</v>
      </c>
      <c r="C665" s="185" t="s">
        <v>3023</v>
      </c>
      <c r="D665" s="133" t="s">
        <v>1985</v>
      </c>
      <c r="E665" s="134">
        <v>1</v>
      </c>
      <c r="F665" s="135" t="s">
        <v>1449</v>
      </c>
      <c r="G665" s="185" t="s">
        <v>15</v>
      </c>
      <c r="H665" s="185" t="s">
        <v>15</v>
      </c>
      <c r="I665" s="185" t="s">
        <v>15</v>
      </c>
      <c r="J665" s="135" t="s">
        <v>1450</v>
      </c>
      <c r="K665" s="186">
        <v>37356</v>
      </c>
      <c r="L665" s="187" t="s">
        <v>173</v>
      </c>
      <c r="M665" s="187" t="s">
        <v>175</v>
      </c>
    </row>
    <row r="666" spans="1:13" s="188" customFormat="1">
      <c r="A666" s="185" t="s">
        <v>1447</v>
      </c>
      <c r="B666" s="133" t="s">
        <v>3755</v>
      </c>
      <c r="C666" s="185" t="s">
        <v>3023</v>
      </c>
      <c r="D666" s="133" t="s">
        <v>3756</v>
      </c>
      <c r="E666" s="134">
        <v>1</v>
      </c>
      <c r="F666" s="135" t="s">
        <v>1449</v>
      </c>
      <c r="G666" s="185" t="s">
        <v>15</v>
      </c>
      <c r="H666" s="185" t="s">
        <v>15</v>
      </c>
      <c r="I666" s="185" t="s">
        <v>15</v>
      </c>
      <c r="J666" s="135" t="s">
        <v>1450</v>
      </c>
      <c r="K666" s="186">
        <v>124512</v>
      </c>
      <c r="L666" s="187" t="s">
        <v>173</v>
      </c>
      <c r="M666" s="187" t="s">
        <v>175</v>
      </c>
    </row>
    <row r="667" spans="1:13" s="188" customFormat="1">
      <c r="A667" s="185" t="s">
        <v>1447</v>
      </c>
      <c r="B667" s="133" t="s">
        <v>3757</v>
      </c>
      <c r="C667" s="185" t="s">
        <v>3023</v>
      </c>
      <c r="D667" s="133" t="s">
        <v>3756</v>
      </c>
      <c r="E667" s="134">
        <v>1</v>
      </c>
      <c r="F667" s="135" t="s">
        <v>1449</v>
      </c>
      <c r="G667" s="185" t="s">
        <v>15</v>
      </c>
      <c r="H667" s="185" t="s">
        <v>15</v>
      </c>
      <c r="I667" s="185" t="s">
        <v>15</v>
      </c>
      <c r="J667" s="135" t="s">
        <v>1450</v>
      </c>
      <c r="K667" s="186">
        <v>74712</v>
      </c>
      <c r="L667" s="187" t="s">
        <v>173</v>
      </c>
      <c r="M667" s="187" t="s">
        <v>175</v>
      </c>
    </row>
    <row r="668" spans="1:13" s="188" customFormat="1">
      <c r="A668" s="185" t="s">
        <v>1447</v>
      </c>
      <c r="B668" s="133" t="s">
        <v>3758</v>
      </c>
      <c r="C668" s="185" t="s">
        <v>3023</v>
      </c>
      <c r="D668" s="133" t="s">
        <v>3756</v>
      </c>
      <c r="E668" s="134">
        <v>1</v>
      </c>
      <c r="F668" s="135" t="s">
        <v>1449</v>
      </c>
      <c r="G668" s="185" t="s">
        <v>15</v>
      </c>
      <c r="H668" s="185" t="s">
        <v>15</v>
      </c>
      <c r="I668" s="185" t="s">
        <v>15</v>
      </c>
      <c r="J668" s="135" t="s">
        <v>1450</v>
      </c>
      <c r="K668" s="186">
        <v>56028</v>
      </c>
      <c r="L668" s="187" t="s">
        <v>173</v>
      </c>
      <c r="M668" s="187" t="s">
        <v>175</v>
      </c>
    </row>
    <row r="669" spans="1:13" s="188" customFormat="1">
      <c r="A669" s="185" t="s">
        <v>1447</v>
      </c>
      <c r="B669" s="133" t="s">
        <v>3759</v>
      </c>
      <c r="C669" s="185" t="s">
        <v>3023</v>
      </c>
      <c r="D669" s="133" t="s">
        <v>3756</v>
      </c>
      <c r="E669" s="134">
        <v>1</v>
      </c>
      <c r="F669" s="135" t="s">
        <v>1449</v>
      </c>
      <c r="G669" s="185" t="s">
        <v>15</v>
      </c>
      <c r="H669" s="185" t="s">
        <v>15</v>
      </c>
      <c r="I669" s="185" t="s">
        <v>15</v>
      </c>
      <c r="J669" s="135" t="s">
        <v>1450</v>
      </c>
      <c r="K669" s="186">
        <v>42336</v>
      </c>
      <c r="L669" s="187" t="s">
        <v>173</v>
      </c>
      <c r="M669" s="187" t="s">
        <v>175</v>
      </c>
    </row>
    <row r="670" spans="1:13" s="188" customFormat="1">
      <c r="A670" s="185" t="s">
        <v>1447</v>
      </c>
      <c r="B670" s="133" t="s">
        <v>3760</v>
      </c>
      <c r="C670" s="185" t="s">
        <v>3023</v>
      </c>
      <c r="D670" s="133" t="s">
        <v>3761</v>
      </c>
      <c r="E670" s="134">
        <v>1</v>
      </c>
      <c r="F670" s="135" t="s">
        <v>1449</v>
      </c>
      <c r="G670" s="185" t="s">
        <v>15</v>
      </c>
      <c r="H670" s="185" t="s">
        <v>15</v>
      </c>
      <c r="I670" s="185" t="s">
        <v>15</v>
      </c>
      <c r="J670" s="135" t="s">
        <v>1450</v>
      </c>
      <c r="K670" s="186">
        <v>5736</v>
      </c>
      <c r="L670" s="187" t="s">
        <v>173</v>
      </c>
      <c r="M670" s="187" t="s">
        <v>175</v>
      </c>
    </row>
    <row r="671" spans="1:13" s="188" customFormat="1">
      <c r="A671" s="185" t="s">
        <v>1447</v>
      </c>
      <c r="B671" s="133" t="s">
        <v>3762</v>
      </c>
      <c r="C671" s="185" t="s">
        <v>3023</v>
      </c>
      <c r="D671" s="133" t="s">
        <v>3761</v>
      </c>
      <c r="E671" s="134">
        <v>1</v>
      </c>
      <c r="F671" s="135" t="s">
        <v>1449</v>
      </c>
      <c r="G671" s="185" t="s">
        <v>15</v>
      </c>
      <c r="H671" s="185" t="s">
        <v>15</v>
      </c>
      <c r="I671" s="185" t="s">
        <v>15</v>
      </c>
      <c r="J671" s="135" t="s">
        <v>1450</v>
      </c>
      <c r="K671" s="186">
        <v>4668</v>
      </c>
      <c r="L671" s="187" t="s">
        <v>173</v>
      </c>
      <c r="M671" s="187" t="s">
        <v>175</v>
      </c>
    </row>
    <row r="672" spans="1:13" s="188" customFormat="1">
      <c r="A672" s="185" t="s">
        <v>1447</v>
      </c>
      <c r="B672" s="133" t="s">
        <v>3763</v>
      </c>
      <c r="C672" s="185" t="s">
        <v>3023</v>
      </c>
      <c r="D672" s="133" t="s">
        <v>3761</v>
      </c>
      <c r="E672" s="134">
        <v>1</v>
      </c>
      <c r="F672" s="135" t="s">
        <v>1449</v>
      </c>
      <c r="G672" s="185" t="s">
        <v>15</v>
      </c>
      <c r="H672" s="185" t="s">
        <v>15</v>
      </c>
      <c r="I672" s="185" t="s">
        <v>15</v>
      </c>
      <c r="J672" s="135" t="s">
        <v>1450</v>
      </c>
      <c r="K672" s="186">
        <v>3792</v>
      </c>
      <c r="L672" s="187" t="s">
        <v>173</v>
      </c>
      <c r="M672" s="187" t="s">
        <v>175</v>
      </c>
    </row>
    <row r="673" spans="1:13" s="188" customFormat="1">
      <c r="A673" s="185" t="s">
        <v>1447</v>
      </c>
      <c r="B673" s="133" t="s">
        <v>3764</v>
      </c>
      <c r="C673" s="185" t="s">
        <v>3023</v>
      </c>
      <c r="D673" s="133" t="s">
        <v>3761</v>
      </c>
      <c r="E673" s="134">
        <v>1</v>
      </c>
      <c r="F673" s="135" t="s">
        <v>1449</v>
      </c>
      <c r="G673" s="185" t="s">
        <v>15</v>
      </c>
      <c r="H673" s="185" t="s">
        <v>15</v>
      </c>
      <c r="I673" s="185" t="s">
        <v>15</v>
      </c>
      <c r="J673" s="135" t="s">
        <v>1450</v>
      </c>
      <c r="K673" s="186">
        <v>3192</v>
      </c>
      <c r="L673" s="187" t="s">
        <v>173</v>
      </c>
      <c r="M673" s="187" t="s">
        <v>175</v>
      </c>
    </row>
    <row r="674" spans="1:13" s="188" customFormat="1">
      <c r="A674" s="185" t="s">
        <v>1447</v>
      </c>
      <c r="B674" s="133" t="s">
        <v>3765</v>
      </c>
      <c r="C674" s="185" t="s">
        <v>3023</v>
      </c>
      <c r="D674" s="133" t="s">
        <v>3761</v>
      </c>
      <c r="E674" s="134">
        <v>1</v>
      </c>
      <c r="F674" s="135" t="s">
        <v>1449</v>
      </c>
      <c r="G674" s="185" t="s">
        <v>15</v>
      </c>
      <c r="H674" s="185" t="s">
        <v>15</v>
      </c>
      <c r="I674" s="185" t="s">
        <v>15</v>
      </c>
      <c r="J674" s="135" t="s">
        <v>1450</v>
      </c>
      <c r="K674" s="186">
        <v>2496</v>
      </c>
      <c r="L674" s="187" t="s">
        <v>173</v>
      </c>
      <c r="M674" s="187" t="s">
        <v>175</v>
      </c>
    </row>
    <row r="675" spans="1:13" s="188" customFormat="1">
      <c r="A675" s="185" t="s">
        <v>1447</v>
      </c>
      <c r="B675" s="133" t="s">
        <v>3766</v>
      </c>
      <c r="C675" s="185" t="s">
        <v>3023</v>
      </c>
      <c r="D675" s="133" t="s">
        <v>3761</v>
      </c>
      <c r="E675" s="134">
        <v>1</v>
      </c>
      <c r="F675" s="135" t="s">
        <v>1449</v>
      </c>
      <c r="G675" s="185" t="s">
        <v>15</v>
      </c>
      <c r="H675" s="185" t="s">
        <v>15</v>
      </c>
      <c r="I675" s="185" t="s">
        <v>15</v>
      </c>
      <c r="J675" s="135" t="s">
        <v>1450</v>
      </c>
      <c r="K675" s="186">
        <v>1644</v>
      </c>
      <c r="L675" s="187" t="s">
        <v>173</v>
      </c>
      <c r="M675" s="187" t="s">
        <v>175</v>
      </c>
    </row>
    <row r="676" spans="1:13" s="188" customFormat="1">
      <c r="A676" s="185" t="s">
        <v>1447</v>
      </c>
      <c r="B676" s="133" t="s">
        <v>3767</v>
      </c>
      <c r="C676" s="185" t="s">
        <v>3023</v>
      </c>
      <c r="D676" s="133" t="s">
        <v>3768</v>
      </c>
      <c r="E676" s="134">
        <v>1</v>
      </c>
      <c r="F676" s="135" t="s">
        <v>1449</v>
      </c>
      <c r="G676" s="185" t="s">
        <v>15</v>
      </c>
      <c r="H676" s="185" t="s">
        <v>15</v>
      </c>
      <c r="I676" s="185" t="s">
        <v>15</v>
      </c>
      <c r="J676" s="135" t="s">
        <v>1450</v>
      </c>
      <c r="K676" s="186">
        <v>1812</v>
      </c>
      <c r="L676" s="187" t="s">
        <v>173</v>
      </c>
      <c r="M676" s="187" t="s">
        <v>175</v>
      </c>
    </row>
    <row r="677" spans="1:13" s="188" customFormat="1">
      <c r="A677" s="185" t="s">
        <v>1447</v>
      </c>
      <c r="B677" s="133" t="s">
        <v>3769</v>
      </c>
      <c r="C677" s="185" t="s">
        <v>3023</v>
      </c>
      <c r="D677" s="133" t="s">
        <v>3768</v>
      </c>
      <c r="E677" s="134">
        <v>1</v>
      </c>
      <c r="F677" s="135" t="s">
        <v>1449</v>
      </c>
      <c r="G677" s="185" t="s">
        <v>15</v>
      </c>
      <c r="H677" s="185" t="s">
        <v>15</v>
      </c>
      <c r="I677" s="185" t="s">
        <v>15</v>
      </c>
      <c r="J677" s="135" t="s">
        <v>1450</v>
      </c>
      <c r="K677" s="186">
        <v>1248</v>
      </c>
      <c r="L677" s="187" t="s">
        <v>173</v>
      </c>
      <c r="M677" s="187" t="s">
        <v>175</v>
      </c>
    </row>
    <row r="678" spans="1:13" s="188" customFormat="1">
      <c r="A678" s="185" t="s">
        <v>1447</v>
      </c>
      <c r="B678" s="133" t="s">
        <v>3770</v>
      </c>
      <c r="C678" s="185" t="s">
        <v>3023</v>
      </c>
      <c r="D678" s="133" t="s">
        <v>3768</v>
      </c>
      <c r="E678" s="134">
        <v>1</v>
      </c>
      <c r="F678" s="135" t="s">
        <v>1449</v>
      </c>
      <c r="G678" s="185" t="s">
        <v>15</v>
      </c>
      <c r="H678" s="185" t="s">
        <v>15</v>
      </c>
      <c r="I678" s="185" t="s">
        <v>15</v>
      </c>
      <c r="J678" s="135" t="s">
        <v>1450</v>
      </c>
      <c r="K678" s="186">
        <v>984</v>
      </c>
      <c r="L678" s="187" t="s">
        <v>173</v>
      </c>
      <c r="M678" s="187" t="s">
        <v>175</v>
      </c>
    </row>
    <row r="679" spans="1:13" s="188" customFormat="1">
      <c r="A679" s="185" t="s">
        <v>1447</v>
      </c>
      <c r="B679" s="133" t="s">
        <v>3771</v>
      </c>
      <c r="C679" s="185" t="s">
        <v>3023</v>
      </c>
      <c r="D679" s="133" t="s">
        <v>1983</v>
      </c>
      <c r="E679" s="134">
        <v>1</v>
      </c>
      <c r="F679" s="135" t="s">
        <v>1449</v>
      </c>
      <c r="G679" s="185" t="s">
        <v>15</v>
      </c>
      <c r="H679" s="185" t="s">
        <v>15</v>
      </c>
      <c r="I679" s="185" t="s">
        <v>15</v>
      </c>
      <c r="J679" s="135" t="s">
        <v>1450</v>
      </c>
      <c r="K679" s="186">
        <v>3636</v>
      </c>
      <c r="L679" s="187" t="s">
        <v>173</v>
      </c>
      <c r="M679" s="187" t="s">
        <v>175</v>
      </c>
    </row>
    <row r="680" spans="1:13" s="188" customFormat="1">
      <c r="A680" s="185" t="s">
        <v>1447</v>
      </c>
      <c r="B680" s="133" t="s">
        <v>3772</v>
      </c>
      <c r="C680" s="185" t="s">
        <v>3023</v>
      </c>
      <c r="D680" s="133" t="s">
        <v>1983</v>
      </c>
      <c r="E680" s="134">
        <v>1</v>
      </c>
      <c r="F680" s="135" t="s">
        <v>1449</v>
      </c>
      <c r="G680" s="185" t="s">
        <v>15</v>
      </c>
      <c r="H680" s="185" t="s">
        <v>15</v>
      </c>
      <c r="I680" s="185" t="s">
        <v>15</v>
      </c>
      <c r="J680" s="135" t="s">
        <v>1450</v>
      </c>
      <c r="K680" s="186">
        <v>2796</v>
      </c>
      <c r="L680" s="187" t="s">
        <v>173</v>
      </c>
      <c r="M680" s="187" t="s">
        <v>175</v>
      </c>
    </row>
    <row r="681" spans="1:13" s="188" customFormat="1">
      <c r="A681" s="185" t="s">
        <v>1447</v>
      </c>
      <c r="B681" s="133" t="s">
        <v>3773</v>
      </c>
      <c r="C681" s="185" t="s">
        <v>3023</v>
      </c>
      <c r="D681" s="133" t="s">
        <v>1983</v>
      </c>
      <c r="E681" s="134">
        <v>1</v>
      </c>
      <c r="F681" s="135" t="s">
        <v>1449</v>
      </c>
      <c r="G681" s="185" t="s">
        <v>15</v>
      </c>
      <c r="H681" s="185" t="s">
        <v>15</v>
      </c>
      <c r="I681" s="185" t="s">
        <v>15</v>
      </c>
      <c r="J681" s="135" t="s">
        <v>1450</v>
      </c>
      <c r="K681" s="186">
        <v>2424</v>
      </c>
      <c r="L681" s="187" t="s">
        <v>173</v>
      </c>
      <c r="M681" s="187" t="s">
        <v>175</v>
      </c>
    </row>
    <row r="682" spans="1:13" s="188" customFormat="1">
      <c r="A682" s="185" t="s">
        <v>1447</v>
      </c>
      <c r="B682" s="133" t="s">
        <v>3774</v>
      </c>
      <c r="C682" s="185" t="s">
        <v>3023</v>
      </c>
      <c r="D682" s="133" t="s">
        <v>1983</v>
      </c>
      <c r="E682" s="134">
        <v>1</v>
      </c>
      <c r="F682" s="135" t="s">
        <v>1449</v>
      </c>
      <c r="G682" s="185" t="s">
        <v>15</v>
      </c>
      <c r="H682" s="185" t="s">
        <v>15</v>
      </c>
      <c r="I682" s="185" t="s">
        <v>15</v>
      </c>
      <c r="J682" s="135" t="s">
        <v>1450</v>
      </c>
      <c r="K682" s="186">
        <v>2052</v>
      </c>
      <c r="L682" s="187" t="s">
        <v>173</v>
      </c>
      <c r="M682" s="187" t="s">
        <v>175</v>
      </c>
    </row>
    <row r="683" spans="1:13" s="188" customFormat="1">
      <c r="A683" s="185" t="s">
        <v>1447</v>
      </c>
      <c r="B683" s="133" t="s">
        <v>3775</v>
      </c>
      <c r="C683" s="185" t="s">
        <v>3023</v>
      </c>
      <c r="D683" s="133" t="s">
        <v>2008</v>
      </c>
      <c r="E683" s="134">
        <v>1</v>
      </c>
      <c r="F683" s="135" t="s">
        <v>1449</v>
      </c>
      <c r="G683" s="185" t="s">
        <v>15</v>
      </c>
      <c r="H683" s="185" t="s">
        <v>15</v>
      </c>
      <c r="I683" s="185" t="s">
        <v>15</v>
      </c>
      <c r="J683" s="135" t="s">
        <v>1450</v>
      </c>
      <c r="K683" s="186">
        <v>67.44</v>
      </c>
      <c r="L683" s="187" t="s">
        <v>173</v>
      </c>
      <c r="M683" s="187" t="s">
        <v>175</v>
      </c>
    </row>
    <row r="684" spans="1:13" s="188" customFormat="1">
      <c r="A684" s="185" t="s">
        <v>1447</v>
      </c>
      <c r="B684" s="133" t="s">
        <v>3776</v>
      </c>
      <c r="C684" s="185" t="s">
        <v>3023</v>
      </c>
      <c r="D684" s="133" t="s">
        <v>2008</v>
      </c>
      <c r="E684" s="134">
        <v>1</v>
      </c>
      <c r="F684" s="135" t="s">
        <v>1449</v>
      </c>
      <c r="G684" s="185" t="s">
        <v>15</v>
      </c>
      <c r="H684" s="185" t="s">
        <v>15</v>
      </c>
      <c r="I684" s="185" t="s">
        <v>15</v>
      </c>
      <c r="J684" s="135" t="s">
        <v>1450</v>
      </c>
      <c r="K684" s="186">
        <v>51.480000000000004</v>
      </c>
      <c r="L684" s="187" t="s">
        <v>173</v>
      </c>
      <c r="M684" s="187" t="s">
        <v>175</v>
      </c>
    </row>
    <row r="685" spans="1:13" s="188" customFormat="1">
      <c r="A685" s="185" t="s">
        <v>1447</v>
      </c>
      <c r="B685" s="133" t="s">
        <v>3777</v>
      </c>
      <c r="C685" s="185" t="s">
        <v>3023</v>
      </c>
      <c r="D685" s="133" t="s">
        <v>2008</v>
      </c>
      <c r="E685" s="134">
        <v>1</v>
      </c>
      <c r="F685" s="135" t="s">
        <v>1449</v>
      </c>
      <c r="G685" s="185" t="s">
        <v>15</v>
      </c>
      <c r="H685" s="185" t="s">
        <v>15</v>
      </c>
      <c r="I685" s="185" t="s">
        <v>15</v>
      </c>
      <c r="J685" s="135" t="s">
        <v>1450</v>
      </c>
      <c r="K685" s="186">
        <v>30.48</v>
      </c>
      <c r="L685" s="187" t="s">
        <v>173</v>
      </c>
      <c r="M685" s="187" t="s">
        <v>175</v>
      </c>
    </row>
    <row r="686" spans="1:13" s="188" customFormat="1">
      <c r="A686" s="185" t="s">
        <v>1447</v>
      </c>
      <c r="B686" s="133" t="s">
        <v>3778</v>
      </c>
      <c r="C686" s="185" t="s">
        <v>3023</v>
      </c>
      <c r="D686" s="133" t="s">
        <v>2008</v>
      </c>
      <c r="E686" s="134">
        <v>1</v>
      </c>
      <c r="F686" s="135" t="s">
        <v>1449</v>
      </c>
      <c r="G686" s="185" t="s">
        <v>15</v>
      </c>
      <c r="H686" s="185" t="s">
        <v>15</v>
      </c>
      <c r="I686" s="185" t="s">
        <v>15</v>
      </c>
      <c r="J686" s="135" t="s">
        <v>1450</v>
      </c>
      <c r="K686" s="186">
        <v>18.84</v>
      </c>
      <c r="L686" s="187" t="s">
        <v>173</v>
      </c>
      <c r="M686" s="187" t="s">
        <v>175</v>
      </c>
    </row>
    <row r="687" spans="1:13" s="188" customFormat="1">
      <c r="A687" s="185" t="s">
        <v>1447</v>
      </c>
      <c r="B687" s="133" t="s">
        <v>3779</v>
      </c>
      <c r="C687" s="185" t="s">
        <v>3023</v>
      </c>
      <c r="D687" s="133" t="s">
        <v>2008</v>
      </c>
      <c r="E687" s="134">
        <v>1</v>
      </c>
      <c r="F687" s="135" t="s">
        <v>1449</v>
      </c>
      <c r="G687" s="185" t="s">
        <v>15</v>
      </c>
      <c r="H687" s="185" t="s">
        <v>15</v>
      </c>
      <c r="I687" s="185" t="s">
        <v>15</v>
      </c>
      <c r="J687" s="135" t="s">
        <v>1450</v>
      </c>
      <c r="K687" s="186">
        <v>13.32</v>
      </c>
      <c r="L687" s="187" t="s">
        <v>173</v>
      </c>
      <c r="M687" s="187" t="s">
        <v>175</v>
      </c>
    </row>
    <row r="688" spans="1:13" s="188" customFormat="1">
      <c r="A688" s="185" t="s">
        <v>1447</v>
      </c>
      <c r="B688" s="133" t="s">
        <v>3780</v>
      </c>
      <c r="C688" s="185" t="s">
        <v>3023</v>
      </c>
      <c r="D688" s="133" t="s">
        <v>2008</v>
      </c>
      <c r="E688" s="134">
        <v>1</v>
      </c>
      <c r="F688" s="135" t="s">
        <v>1449</v>
      </c>
      <c r="G688" s="185" t="s">
        <v>15</v>
      </c>
      <c r="H688" s="185" t="s">
        <v>15</v>
      </c>
      <c r="I688" s="185" t="s">
        <v>15</v>
      </c>
      <c r="J688" s="135" t="s">
        <v>1450</v>
      </c>
      <c r="K688" s="186">
        <v>9.24</v>
      </c>
      <c r="L688" s="187" t="s">
        <v>173</v>
      </c>
      <c r="M688" s="187" t="s">
        <v>175</v>
      </c>
    </row>
    <row r="689" spans="1:13" s="188" customFormat="1">
      <c r="A689" s="185" t="s">
        <v>1447</v>
      </c>
      <c r="B689" s="133" t="s">
        <v>3781</v>
      </c>
      <c r="C689" s="185" t="s">
        <v>3023</v>
      </c>
      <c r="D689" s="133" t="s">
        <v>2008</v>
      </c>
      <c r="E689" s="134">
        <v>1</v>
      </c>
      <c r="F689" s="135" t="s">
        <v>1449</v>
      </c>
      <c r="G689" s="185" t="s">
        <v>15</v>
      </c>
      <c r="H689" s="185" t="s">
        <v>15</v>
      </c>
      <c r="I689" s="185" t="s">
        <v>15</v>
      </c>
      <c r="J689" s="135" t="s">
        <v>1450</v>
      </c>
      <c r="K689" s="186">
        <v>8.16</v>
      </c>
      <c r="L689" s="187" t="s">
        <v>173</v>
      </c>
      <c r="M689" s="187" t="s">
        <v>175</v>
      </c>
    </row>
    <row r="690" spans="1:13" s="188" customFormat="1">
      <c r="A690" s="185" t="s">
        <v>1447</v>
      </c>
      <c r="B690" s="133" t="s">
        <v>3782</v>
      </c>
      <c r="C690" s="185" t="s">
        <v>3023</v>
      </c>
      <c r="D690" s="133" t="s">
        <v>2008</v>
      </c>
      <c r="E690" s="134">
        <v>1</v>
      </c>
      <c r="F690" s="135" t="s">
        <v>1449</v>
      </c>
      <c r="G690" s="185" t="s">
        <v>15</v>
      </c>
      <c r="H690" s="185" t="s">
        <v>15</v>
      </c>
      <c r="I690" s="185" t="s">
        <v>15</v>
      </c>
      <c r="J690" s="135" t="s">
        <v>1450</v>
      </c>
      <c r="K690" s="186">
        <v>7.8000000000000007</v>
      </c>
      <c r="L690" s="187" t="s">
        <v>173</v>
      </c>
      <c r="M690" s="187" t="s">
        <v>175</v>
      </c>
    </row>
    <row r="691" spans="1:13" s="188" customFormat="1">
      <c r="A691" s="185" t="s">
        <v>1447</v>
      </c>
      <c r="B691" s="133" t="s">
        <v>3783</v>
      </c>
      <c r="C691" s="185" t="s">
        <v>3023</v>
      </c>
      <c r="D691" s="133" t="s">
        <v>2008</v>
      </c>
      <c r="E691" s="134">
        <v>1</v>
      </c>
      <c r="F691" s="135" t="s">
        <v>1449</v>
      </c>
      <c r="G691" s="185" t="s">
        <v>15</v>
      </c>
      <c r="H691" s="185" t="s">
        <v>15</v>
      </c>
      <c r="I691" s="185" t="s">
        <v>15</v>
      </c>
      <c r="J691" s="135" t="s">
        <v>1450</v>
      </c>
      <c r="K691" s="186">
        <v>6.48</v>
      </c>
      <c r="L691" s="187" t="s">
        <v>173</v>
      </c>
      <c r="M691" s="187" t="s">
        <v>175</v>
      </c>
    </row>
    <row r="692" spans="1:13" s="188" customFormat="1">
      <c r="A692" s="185" t="s">
        <v>1447</v>
      </c>
      <c r="B692" s="133" t="s">
        <v>3784</v>
      </c>
      <c r="C692" s="185" t="s">
        <v>3023</v>
      </c>
      <c r="D692" s="133" t="s">
        <v>2009</v>
      </c>
      <c r="E692" s="134">
        <v>1</v>
      </c>
      <c r="F692" s="135" t="s">
        <v>1449</v>
      </c>
      <c r="G692" s="185" t="s">
        <v>15</v>
      </c>
      <c r="H692" s="185" t="s">
        <v>15</v>
      </c>
      <c r="I692" s="185" t="s">
        <v>15</v>
      </c>
      <c r="J692" s="135" t="s">
        <v>1450</v>
      </c>
      <c r="K692" s="186">
        <v>32.64</v>
      </c>
      <c r="L692" s="187" t="s">
        <v>173</v>
      </c>
      <c r="M692" s="187" t="s">
        <v>175</v>
      </c>
    </row>
    <row r="693" spans="1:13" s="188" customFormat="1">
      <c r="A693" s="185" t="s">
        <v>1447</v>
      </c>
      <c r="B693" s="133" t="s">
        <v>3785</v>
      </c>
      <c r="C693" s="185" t="s">
        <v>3023</v>
      </c>
      <c r="D693" s="133" t="s">
        <v>2009</v>
      </c>
      <c r="E693" s="134">
        <v>1</v>
      </c>
      <c r="F693" s="135" t="s">
        <v>1449</v>
      </c>
      <c r="G693" s="185" t="s">
        <v>15</v>
      </c>
      <c r="H693" s="185" t="s">
        <v>15</v>
      </c>
      <c r="I693" s="185" t="s">
        <v>15</v>
      </c>
      <c r="J693" s="135" t="s">
        <v>1450</v>
      </c>
      <c r="K693" s="186">
        <v>22.32</v>
      </c>
      <c r="L693" s="187" t="s">
        <v>173</v>
      </c>
      <c r="M693" s="187" t="s">
        <v>175</v>
      </c>
    </row>
    <row r="694" spans="1:13" s="188" customFormat="1">
      <c r="A694" s="185" t="s">
        <v>1447</v>
      </c>
      <c r="B694" s="133" t="s">
        <v>3786</v>
      </c>
      <c r="C694" s="185" t="s">
        <v>3023</v>
      </c>
      <c r="D694" s="133" t="s">
        <v>2009</v>
      </c>
      <c r="E694" s="134">
        <v>1</v>
      </c>
      <c r="F694" s="135" t="s">
        <v>1449</v>
      </c>
      <c r="G694" s="185" t="s">
        <v>15</v>
      </c>
      <c r="H694" s="185" t="s">
        <v>15</v>
      </c>
      <c r="I694" s="185" t="s">
        <v>15</v>
      </c>
      <c r="J694" s="135" t="s">
        <v>1450</v>
      </c>
      <c r="K694" s="186">
        <v>21.240000000000002</v>
      </c>
      <c r="L694" s="187" t="s">
        <v>173</v>
      </c>
      <c r="M694" s="187" t="s">
        <v>175</v>
      </c>
    </row>
    <row r="695" spans="1:13" s="188" customFormat="1">
      <c r="A695" s="185" t="s">
        <v>1447</v>
      </c>
      <c r="B695" s="133" t="s">
        <v>3787</v>
      </c>
      <c r="C695" s="185" t="s">
        <v>3023</v>
      </c>
      <c r="D695" s="133" t="s">
        <v>2009</v>
      </c>
      <c r="E695" s="134">
        <v>1</v>
      </c>
      <c r="F695" s="135" t="s">
        <v>1449</v>
      </c>
      <c r="G695" s="185" t="s">
        <v>15</v>
      </c>
      <c r="H695" s="185" t="s">
        <v>15</v>
      </c>
      <c r="I695" s="185" t="s">
        <v>15</v>
      </c>
      <c r="J695" s="135" t="s">
        <v>1450</v>
      </c>
      <c r="K695" s="186">
        <v>19.919999999999998</v>
      </c>
      <c r="L695" s="187" t="s">
        <v>173</v>
      </c>
      <c r="M695" s="187" t="s">
        <v>175</v>
      </c>
    </row>
    <row r="696" spans="1:13" s="188" customFormat="1">
      <c r="A696" s="185" t="s">
        <v>1447</v>
      </c>
      <c r="B696" s="133" t="s">
        <v>3788</v>
      </c>
      <c r="C696" s="185" t="s">
        <v>3023</v>
      </c>
      <c r="D696" s="133" t="s">
        <v>2009</v>
      </c>
      <c r="E696" s="134">
        <v>1</v>
      </c>
      <c r="F696" s="135" t="s">
        <v>1449</v>
      </c>
      <c r="G696" s="185" t="s">
        <v>15</v>
      </c>
      <c r="H696" s="185" t="s">
        <v>15</v>
      </c>
      <c r="I696" s="185" t="s">
        <v>15</v>
      </c>
      <c r="J696" s="135" t="s">
        <v>1450</v>
      </c>
      <c r="K696" s="186">
        <v>19.200000000000003</v>
      </c>
      <c r="L696" s="187" t="s">
        <v>173</v>
      </c>
      <c r="M696" s="187" t="s">
        <v>175</v>
      </c>
    </row>
    <row r="697" spans="1:13" s="188" customFormat="1">
      <c r="A697" s="185" t="s">
        <v>1447</v>
      </c>
      <c r="B697" s="133" t="s">
        <v>3789</v>
      </c>
      <c r="C697" s="185" t="s">
        <v>3023</v>
      </c>
      <c r="D697" s="133" t="s">
        <v>2009</v>
      </c>
      <c r="E697" s="134">
        <v>1</v>
      </c>
      <c r="F697" s="135" t="s">
        <v>1449</v>
      </c>
      <c r="G697" s="185" t="s">
        <v>15</v>
      </c>
      <c r="H697" s="185" t="s">
        <v>15</v>
      </c>
      <c r="I697" s="185" t="s">
        <v>15</v>
      </c>
      <c r="J697" s="135" t="s">
        <v>1450</v>
      </c>
      <c r="K697" s="186">
        <v>18.600000000000001</v>
      </c>
      <c r="L697" s="187" t="s">
        <v>173</v>
      </c>
      <c r="M697" s="187" t="s">
        <v>175</v>
      </c>
    </row>
    <row r="698" spans="1:13" s="188" customFormat="1">
      <c r="A698" s="185" t="s">
        <v>1447</v>
      </c>
      <c r="B698" s="133" t="s">
        <v>3790</v>
      </c>
      <c r="C698" s="185" t="s">
        <v>3023</v>
      </c>
      <c r="D698" s="133" t="s">
        <v>2009</v>
      </c>
      <c r="E698" s="134">
        <v>1</v>
      </c>
      <c r="F698" s="135" t="s">
        <v>1449</v>
      </c>
      <c r="G698" s="185" t="s">
        <v>15</v>
      </c>
      <c r="H698" s="185" t="s">
        <v>15</v>
      </c>
      <c r="I698" s="185" t="s">
        <v>15</v>
      </c>
      <c r="J698" s="135" t="s">
        <v>1450</v>
      </c>
      <c r="K698" s="186">
        <v>14.399999999999999</v>
      </c>
      <c r="L698" s="187" t="s">
        <v>173</v>
      </c>
      <c r="M698" s="187" t="s">
        <v>175</v>
      </c>
    </row>
    <row r="699" spans="1:13" s="188" customFormat="1">
      <c r="A699" s="185" t="s">
        <v>1447</v>
      </c>
      <c r="B699" s="133" t="s">
        <v>3791</v>
      </c>
      <c r="C699" s="185" t="s">
        <v>3023</v>
      </c>
      <c r="D699" s="133" t="s">
        <v>2009</v>
      </c>
      <c r="E699" s="134">
        <v>1</v>
      </c>
      <c r="F699" s="135" t="s">
        <v>1449</v>
      </c>
      <c r="G699" s="185" t="s">
        <v>15</v>
      </c>
      <c r="H699" s="185" t="s">
        <v>15</v>
      </c>
      <c r="I699" s="185" t="s">
        <v>15</v>
      </c>
      <c r="J699" s="135" t="s">
        <v>1450</v>
      </c>
      <c r="K699" s="186">
        <v>13.440000000000001</v>
      </c>
      <c r="L699" s="187" t="s">
        <v>173</v>
      </c>
      <c r="M699" s="187" t="s">
        <v>175</v>
      </c>
    </row>
    <row r="700" spans="1:13" s="188" customFormat="1">
      <c r="A700" s="185" t="s">
        <v>1447</v>
      </c>
      <c r="B700" s="133" t="s">
        <v>3792</v>
      </c>
      <c r="C700" s="185" t="s">
        <v>3023</v>
      </c>
      <c r="D700" s="133" t="s">
        <v>2009</v>
      </c>
      <c r="E700" s="134">
        <v>1</v>
      </c>
      <c r="F700" s="135" t="s">
        <v>1449</v>
      </c>
      <c r="G700" s="185" t="s">
        <v>15</v>
      </c>
      <c r="H700" s="185" t="s">
        <v>15</v>
      </c>
      <c r="I700" s="185" t="s">
        <v>15</v>
      </c>
      <c r="J700" s="135" t="s">
        <v>1450</v>
      </c>
      <c r="K700" s="186">
        <v>12.84</v>
      </c>
      <c r="L700" s="187" t="s">
        <v>173</v>
      </c>
      <c r="M700" s="187" t="s">
        <v>175</v>
      </c>
    </row>
    <row r="701" spans="1:13" s="188" customFormat="1">
      <c r="A701" s="185" t="s">
        <v>1447</v>
      </c>
      <c r="B701" s="133" t="s">
        <v>3793</v>
      </c>
      <c r="C701" s="185" t="s">
        <v>3023</v>
      </c>
      <c r="D701" s="133" t="s">
        <v>2010</v>
      </c>
      <c r="E701" s="134">
        <v>1</v>
      </c>
      <c r="F701" s="135" t="s">
        <v>1449</v>
      </c>
      <c r="G701" s="185" t="s">
        <v>15</v>
      </c>
      <c r="H701" s="185" t="s">
        <v>15</v>
      </c>
      <c r="I701" s="185" t="s">
        <v>15</v>
      </c>
      <c r="J701" s="135" t="s">
        <v>1450</v>
      </c>
      <c r="K701" s="186">
        <v>31.92</v>
      </c>
      <c r="L701" s="187" t="s">
        <v>173</v>
      </c>
      <c r="M701" s="187" t="s">
        <v>175</v>
      </c>
    </row>
    <row r="702" spans="1:13" s="188" customFormat="1">
      <c r="A702" s="185" t="s">
        <v>1447</v>
      </c>
      <c r="B702" s="133" t="s">
        <v>3794</v>
      </c>
      <c r="C702" s="185" t="s">
        <v>3023</v>
      </c>
      <c r="D702" s="133" t="s">
        <v>2010</v>
      </c>
      <c r="E702" s="134">
        <v>1</v>
      </c>
      <c r="F702" s="135" t="s">
        <v>1449</v>
      </c>
      <c r="G702" s="185" t="s">
        <v>15</v>
      </c>
      <c r="H702" s="185" t="s">
        <v>15</v>
      </c>
      <c r="I702" s="185" t="s">
        <v>15</v>
      </c>
      <c r="J702" s="135" t="s">
        <v>1450</v>
      </c>
      <c r="K702" s="186">
        <v>20.52</v>
      </c>
      <c r="L702" s="187" t="s">
        <v>173</v>
      </c>
      <c r="M702" s="187" t="s">
        <v>175</v>
      </c>
    </row>
    <row r="703" spans="1:13" s="188" customFormat="1">
      <c r="A703" s="185" t="s">
        <v>1447</v>
      </c>
      <c r="B703" s="133" t="s">
        <v>3795</v>
      </c>
      <c r="C703" s="185" t="s">
        <v>3023</v>
      </c>
      <c r="D703" s="133" t="s">
        <v>2010</v>
      </c>
      <c r="E703" s="134">
        <v>1</v>
      </c>
      <c r="F703" s="135" t="s">
        <v>1449</v>
      </c>
      <c r="G703" s="185" t="s">
        <v>15</v>
      </c>
      <c r="H703" s="185" t="s">
        <v>15</v>
      </c>
      <c r="I703" s="185" t="s">
        <v>15</v>
      </c>
      <c r="J703" s="135" t="s">
        <v>1450</v>
      </c>
      <c r="K703" s="186">
        <v>18.84</v>
      </c>
      <c r="L703" s="187" t="s">
        <v>173</v>
      </c>
      <c r="M703" s="187" t="s">
        <v>175</v>
      </c>
    </row>
    <row r="704" spans="1:13" s="188" customFormat="1">
      <c r="A704" s="185" t="s">
        <v>1447</v>
      </c>
      <c r="B704" s="133" t="s">
        <v>3796</v>
      </c>
      <c r="C704" s="185" t="s">
        <v>3023</v>
      </c>
      <c r="D704" s="133" t="s">
        <v>2010</v>
      </c>
      <c r="E704" s="134">
        <v>1</v>
      </c>
      <c r="F704" s="135" t="s">
        <v>1449</v>
      </c>
      <c r="G704" s="185" t="s">
        <v>15</v>
      </c>
      <c r="H704" s="185" t="s">
        <v>15</v>
      </c>
      <c r="I704" s="185" t="s">
        <v>15</v>
      </c>
      <c r="J704" s="135" t="s">
        <v>1450</v>
      </c>
      <c r="K704" s="186">
        <v>17.759999999999998</v>
      </c>
      <c r="L704" s="187" t="s">
        <v>173</v>
      </c>
      <c r="M704" s="187" t="s">
        <v>175</v>
      </c>
    </row>
    <row r="705" spans="1:13" s="188" customFormat="1">
      <c r="A705" s="185" t="s">
        <v>1447</v>
      </c>
      <c r="B705" s="133" t="s">
        <v>3797</v>
      </c>
      <c r="C705" s="185" t="s">
        <v>3023</v>
      </c>
      <c r="D705" s="133" t="s">
        <v>2010</v>
      </c>
      <c r="E705" s="134">
        <v>1</v>
      </c>
      <c r="F705" s="135" t="s">
        <v>1449</v>
      </c>
      <c r="G705" s="185" t="s">
        <v>15</v>
      </c>
      <c r="H705" s="185" t="s">
        <v>15</v>
      </c>
      <c r="I705" s="185" t="s">
        <v>15</v>
      </c>
      <c r="J705" s="135" t="s">
        <v>1450</v>
      </c>
      <c r="K705" s="186">
        <v>17.16</v>
      </c>
      <c r="L705" s="187" t="s">
        <v>173</v>
      </c>
      <c r="M705" s="187" t="s">
        <v>175</v>
      </c>
    </row>
    <row r="706" spans="1:13" s="188" customFormat="1">
      <c r="A706" s="185" t="s">
        <v>1447</v>
      </c>
      <c r="B706" s="133" t="s">
        <v>3798</v>
      </c>
      <c r="C706" s="185" t="s">
        <v>3023</v>
      </c>
      <c r="D706" s="133" t="s">
        <v>2010</v>
      </c>
      <c r="E706" s="134">
        <v>1</v>
      </c>
      <c r="F706" s="135" t="s">
        <v>1449</v>
      </c>
      <c r="G706" s="185" t="s">
        <v>15</v>
      </c>
      <c r="H706" s="185" t="s">
        <v>15</v>
      </c>
      <c r="I706" s="185" t="s">
        <v>15</v>
      </c>
      <c r="J706" s="135" t="s">
        <v>1450</v>
      </c>
      <c r="K706" s="186">
        <v>16.440000000000001</v>
      </c>
      <c r="L706" s="187" t="s">
        <v>173</v>
      </c>
      <c r="M706" s="187" t="s">
        <v>175</v>
      </c>
    </row>
    <row r="707" spans="1:13" s="188" customFormat="1">
      <c r="A707" s="185" t="s">
        <v>1447</v>
      </c>
      <c r="B707" s="133" t="s">
        <v>3799</v>
      </c>
      <c r="C707" s="185" t="s">
        <v>3023</v>
      </c>
      <c r="D707" s="133" t="s">
        <v>2010</v>
      </c>
      <c r="E707" s="134">
        <v>1</v>
      </c>
      <c r="F707" s="135" t="s">
        <v>1449</v>
      </c>
      <c r="G707" s="185" t="s">
        <v>15</v>
      </c>
      <c r="H707" s="185" t="s">
        <v>15</v>
      </c>
      <c r="I707" s="185" t="s">
        <v>15</v>
      </c>
      <c r="J707" s="135" t="s">
        <v>1450</v>
      </c>
      <c r="K707" s="186">
        <v>13.32</v>
      </c>
      <c r="L707" s="187" t="s">
        <v>173</v>
      </c>
      <c r="M707" s="187" t="s">
        <v>175</v>
      </c>
    </row>
    <row r="708" spans="1:13" s="188" customFormat="1">
      <c r="A708" s="185" t="s">
        <v>1447</v>
      </c>
      <c r="B708" s="133" t="s">
        <v>3800</v>
      </c>
      <c r="C708" s="185" t="s">
        <v>3023</v>
      </c>
      <c r="D708" s="133" t="s">
        <v>2010</v>
      </c>
      <c r="E708" s="134">
        <v>1</v>
      </c>
      <c r="F708" s="135" t="s">
        <v>1449</v>
      </c>
      <c r="G708" s="185" t="s">
        <v>15</v>
      </c>
      <c r="H708" s="185" t="s">
        <v>15</v>
      </c>
      <c r="I708" s="185" t="s">
        <v>15</v>
      </c>
      <c r="J708" s="135" t="s">
        <v>1450</v>
      </c>
      <c r="K708" s="186">
        <v>12.36</v>
      </c>
      <c r="L708" s="187" t="s">
        <v>173</v>
      </c>
      <c r="M708" s="187" t="s">
        <v>175</v>
      </c>
    </row>
    <row r="709" spans="1:13" s="188" customFormat="1">
      <c r="A709" s="185" t="s">
        <v>1447</v>
      </c>
      <c r="B709" s="133" t="s">
        <v>3801</v>
      </c>
      <c r="C709" s="185" t="s">
        <v>3023</v>
      </c>
      <c r="D709" s="133" t="s">
        <v>2010</v>
      </c>
      <c r="E709" s="134">
        <v>1</v>
      </c>
      <c r="F709" s="135" t="s">
        <v>1449</v>
      </c>
      <c r="G709" s="185" t="s">
        <v>15</v>
      </c>
      <c r="H709" s="185" t="s">
        <v>15</v>
      </c>
      <c r="I709" s="185" t="s">
        <v>15</v>
      </c>
      <c r="J709" s="135" t="s">
        <v>1450</v>
      </c>
      <c r="K709" s="186">
        <v>11.76</v>
      </c>
      <c r="L709" s="187" t="s">
        <v>173</v>
      </c>
      <c r="M709" s="187" t="s">
        <v>175</v>
      </c>
    </row>
    <row r="710" spans="1:13" s="188" customFormat="1">
      <c r="A710" s="185" t="s">
        <v>1447</v>
      </c>
      <c r="B710" s="133" t="s">
        <v>3802</v>
      </c>
      <c r="C710" s="185" t="s">
        <v>3023</v>
      </c>
      <c r="D710" s="133" t="s">
        <v>3803</v>
      </c>
      <c r="E710" s="134">
        <v>1</v>
      </c>
      <c r="F710" s="135" t="s">
        <v>1449</v>
      </c>
      <c r="G710" s="185" t="s">
        <v>15</v>
      </c>
      <c r="H710" s="185" t="s">
        <v>15</v>
      </c>
      <c r="I710" s="185" t="s">
        <v>15</v>
      </c>
      <c r="J710" s="135" t="s">
        <v>1450</v>
      </c>
      <c r="K710" s="186">
        <v>444</v>
      </c>
      <c r="L710" s="187" t="s">
        <v>173</v>
      </c>
      <c r="M710" s="187" t="s">
        <v>175</v>
      </c>
    </row>
    <row r="711" spans="1:13" s="188" customFormat="1">
      <c r="A711" s="185" t="s">
        <v>1447</v>
      </c>
      <c r="B711" s="133" t="s">
        <v>3804</v>
      </c>
      <c r="C711" s="185" t="s">
        <v>3023</v>
      </c>
      <c r="D711" s="133" t="s">
        <v>3803</v>
      </c>
      <c r="E711" s="134">
        <v>1</v>
      </c>
      <c r="F711" s="135" t="s">
        <v>1449</v>
      </c>
      <c r="G711" s="185" t="s">
        <v>15</v>
      </c>
      <c r="H711" s="185" t="s">
        <v>15</v>
      </c>
      <c r="I711" s="185" t="s">
        <v>15</v>
      </c>
      <c r="J711" s="135" t="s">
        <v>1450</v>
      </c>
      <c r="K711" s="186">
        <v>228</v>
      </c>
      <c r="L711" s="187" t="s">
        <v>173</v>
      </c>
      <c r="M711" s="187" t="s">
        <v>175</v>
      </c>
    </row>
    <row r="712" spans="1:13" s="188" customFormat="1">
      <c r="A712" s="185" t="s">
        <v>1447</v>
      </c>
      <c r="B712" s="133" t="s">
        <v>3805</v>
      </c>
      <c r="C712" s="185" t="s">
        <v>3023</v>
      </c>
      <c r="D712" s="133" t="s">
        <v>3803</v>
      </c>
      <c r="E712" s="134">
        <v>1</v>
      </c>
      <c r="F712" s="135" t="s">
        <v>1449</v>
      </c>
      <c r="G712" s="185" t="s">
        <v>15</v>
      </c>
      <c r="H712" s="185" t="s">
        <v>15</v>
      </c>
      <c r="I712" s="185" t="s">
        <v>15</v>
      </c>
      <c r="J712" s="135" t="s">
        <v>1450</v>
      </c>
      <c r="K712" s="186">
        <v>119.52000000000001</v>
      </c>
      <c r="L712" s="187" t="s">
        <v>173</v>
      </c>
      <c r="M712" s="187" t="s">
        <v>175</v>
      </c>
    </row>
    <row r="713" spans="1:13" s="188" customFormat="1">
      <c r="A713" s="185" t="s">
        <v>1447</v>
      </c>
      <c r="B713" s="133" t="s">
        <v>3806</v>
      </c>
      <c r="C713" s="185" t="s">
        <v>3023</v>
      </c>
      <c r="D713" s="133" t="s">
        <v>3803</v>
      </c>
      <c r="E713" s="134">
        <v>1</v>
      </c>
      <c r="F713" s="135" t="s">
        <v>1449</v>
      </c>
      <c r="G713" s="185" t="s">
        <v>15</v>
      </c>
      <c r="H713" s="185" t="s">
        <v>15</v>
      </c>
      <c r="I713" s="185" t="s">
        <v>15</v>
      </c>
      <c r="J713" s="135" t="s">
        <v>1450</v>
      </c>
      <c r="K713" s="186">
        <v>77.16</v>
      </c>
      <c r="L713" s="187" t="s">
        <v>173</v>
      </c>
      <c r="M713" s="187" t="s">
        <v>175</v>
      </c>
    </row>
    <row r="714" spans="1:13" s="188" customFormat="1">
      <c r="A714" s="185" t="s">
        <v>1447</v>
      </c>
      <c r="B714" s="133" t="s">
        <v>3807</v>
      </c>
      <c r="C714" s="185" t="s">
        <v>3023</v>
      </c>
      <c r="D714" s="133" t="s">
        <v>3803</v>
      </c>
      <c r="E714" s="134">
        <v>1</v>
      </c>
      <c r="F714" s="135" t="s">
        <v>1449</v>
      </c>
      <c r="G714" s="185" t="s">
        <v>15</v>
      </c>
      <c r="H714" s="185" t="s">
        <v>15</v>
      </c>
      <c r="I714" s="185" t="s">
        <v>15</v>
      </c>
      <c r="J714" s="135" t="s">
        <v>1450</v>
      </c>
      <c r="K714" s="186">
        <v>53.519999999999996</v>
      </c>
      <c r="L714" s="187" t="s">
        <v>173</v>
      </c>
      <c r="M714" s="187" t="s">
        <v>175</v>
      </c>
    </row>
    <row r="715" spans="1:13" s="188" customFormat="1">
      <c r="A715" s="185" t="s">
        <v>1447</v>
      </c>
      <c r="B715" s="133" t="s">
        <v>3808</v>
      </c>
      <c r="C715" s="185" t="s">
        <v>3023</v>
      </c>
      <c r="D715" s="133" t="s">
        <v>3803</v>
      </c>
      <c r="E715" s="134">
        <v>1</v>
      </c>
      <c r="F715" s="135" t="s">
        <v>1449</v>
      </c>
      <c r="G715" s="185" t="s">
        <v>15</v>
      </c>
      <c r="H715" s="185" t="s">
        <v>15</v>
      </c>
      <c r="I715" s="185" t="s">
        <v>15</v>
      </c>
      <c r="J715" s="135" t="s">
        <v>1450</v>
      </c>
      <c r="K715" s="186">
        <v>33</v>
      </c>
      <c r="L715" s="187" t="s">
        <v>173</v>
      </c>
      <c r="M715" s="187" t="s">
        <v>175</v>
      </c>
    </row>
    <row r="716" spans="1:13" s="188" customFormat="1">
      <c r="A716" s="185" t="s">
        <v>1447</v>
      </c>
      <c r="B716" s="133" t="s">
        <v>3809</v>
      </c>
      <c r="C716" s="185" t="s">
        <v>3023</v>
      </c>
      <c r="D716" s="133" t="s">
        <v>3803</v>
      </c>
      <c r="E716" s="134">
        <v>1</v>
      </c>
      <c r="F716" s="135" t="s">
        <v>1449</v>
      </c>
      <c r="G716" s="185" t="s">
        <v>15</v>
      </c>
      <c r="H716" s="185" t="s">
        <v>15</v>
      </c>
      <c r="I716" s="185" t="s">
        <v>15</v>
      </c>
      <c r="J716" s="135" t="s">
        <v>1450</v>
      </c>
      <c r="K716" s="186">
        <v>29.880000000000003</v>
      </c>
      <c r="L716" s="187" t="s">
        <v>173</v>
      </c>
      <c r="M716" s="187" t="s">
        <v>175</v>
      </c>
    </row>
    <row r="717" spans="1:13" s="188" customFormat="1">
      <c r="A717" s="185" t="s">
        <v>1447</v>
      </c>
      <c r="B717" s="133" t="s">
        <v>3810</v>
      </c>
      <c r="C717" s="185" t="s">
        <v>3023</v>
      </c>
      <c r="D717" s="133" t="s">
        <v>3803</v>
      </c>
      <c r="E717" s="134">
        <v>1</v>
      </c>
      <c r="F717" s="135" t="s">
        <v>1449</v>
      </c>
      <c r="G717" s="185" t="s">
        <v>15</v>
      </c>
      <c r="H717" s="185" t="s">
        <v>15</v>
      </c>
      <c r="I717" s="185" t="s">
        <v>15</v>
      </c>
      <c r="J717" s="135" t="s">
        <v>1450</v>
      </c>
      <c r="K717" s="186">
        <v>20.52</v>
      </c>
      <c r="L717" s="187" t="s">
        <v>173</v>
      </c>
      <c r="M717" s="187" t="s">
        <v>175</v>
      </c>
    </row>
    <row r="718" spans="1:13" s="188" customFormat="1">
      <c r="A718" s="185" t="s">
        <v>1447</v>
      </c>
      <c r="B718" s="133" t="s">
        <v>3811</v>
      </c>
      <c r="C718" s="185" t="s">
        <v>3023</v>
      </c>
      <c r="D718" s="133" t="s">
        <v>3803</v>
      </c>
      <c r="E718" s="134">
        <v>1</v>
      </c>
      <c r="F718" s="135" t="s">
        <v>1449</v>
      </c>
      <c r="G718" s="185" t="s">
        <v>15</v>
      </c>
      <c r="H718" s="185" t="s">
        <v>15</v>
      </c>
      <c r="I718" s="185" t="s">
        <v>15</v>
      </c>
      <c r="J718" s="135" t="s">
        <v>1450</v>
      </c>
      <c r="K718" s="186">
        <v>16.919999999999998</v>
      </c>
      <c r="L718" s="187" t="s">
        <v>173</v>
      </c>
      <c r="M718" s="187" t="s">
        <v>175</v>
      </c>
    </row>
    <row r="719" spans="1:13" s="188" customFormat="1">
      <c r="A719" s="185" t="s">
        <v>1447</v>
      </c>
      <c r="B719" s="133" t="s">
        <v>3812</v>
      </c>
      <c r="C719" s="185" t="s">
        <v>3023</v>
      </c>
      <c r="D719" s="133" t="s">
        <v>2011</v>
      </c>
      <c r="E719" s="134">
        <v>1</v>
      </c>
      <c r="F719" s="135" t="s">
        <v>1449</v>
      </c>
      <c r="G719" s="185" t="s">
        <v>15</v>
      </c>
      <c r="H719" s="185" t="s">
        <v>15</v>
      </c>
      <c r="I719" s="185" t="s">
        <v>15</v>
      </c>
      <c r="J719" s="135" t="s">
        <v>1450</v>
      </c>
      <c r="K719" s="186">
        <v>859</v>
      </c>
      <c r="L719" s="187" t="s">
        <v>173</v>
      </c>
      <c r="M719" s="187" t="s">
        <v>175</v>
      </c>
    </row>
    <row r="720" spans="1:13" s="188" customFormat="1">
      <c r="A720" s="185" t="s">
        <v>1447</v>
      </c>
      <c r="B720" s="133" t="s">
        <v>3813</v>
      </c>
      <c r="C720" s="185" t="s">
        <v>3023</v>
      </c>
      <c r="D720" s="133" t="s">
        <v>2011</v>
      </c>
      <c r="E720" s="134">
        <v>1</v>
      </c>
      <c r="F720" s="135" t="s">
        <v>1449</v>
      </c>
      <c r="G720" s="185" t="s">
        <v>15</v>
      </c>
      <c r="H720" s="185" t="s">
        <v>15</v>
      </c>
      <c r="I720" s="185" t="s">
        <v>15</v>
      </c>
      <c r="J720" s="135" t="s">
        <v>1450</v>
      </c>
      <c r="K720" s="186">
        <v>573</v>
      </c>
      <c r="L720" s="187" t="s">
        <v>173</v>
      </c>
      <c r="M720" s="187" t="s">
        <v>175</v>
      </c>
    </row>
    <row r="721" spans="1:13" s="188" customFormat="1">
      <c r="A721" s="185" t="s">
        <v>1447</v>
      </c>
      <c r="B721" s="133" t="s">
        <v>3814</v>
      </c>
      <c r="C721" s="185" t="s">
        <v>3023</v>
      </c>
      <c r="D721" s="133" t="s">
        <v>2011</v>
      </c>
      <c r="E721" s="134">
        <v>1</v>
      </c>
      <c r="F721" s="135" t="s">
        <v>1449</v>
      </c>
      <c r="G721" s="185" t="s">
        <v>15</v>
      </c>
      <c r="H721" s="185" t="s">
        <v>15</v>
      </c>
      <c r="I721" s="185" t="s">
        <v>15</v>
      </c>
      <c r="J721" s="135" t="s">
        <v>1450</v>
      </c>
      <c r="K721" s="186">
        <v>498</v>
      </c>
      <c r="L721" s="187" t="s">
        <v>173</v>
      </c>
      <c r="M721" s="187" t="s">
        <v>175</v>
      </c>
    </row>
    <row r="722" spans="1:13" s="188" customFormat="1">
      <c r="A722" s="185" t="s">
        <v>1447</v>
      </c>
      <c r="B722" s="133" t="s">
        <v>3815</v>
      </c>
      <c r="C722" s="185" t="s">
        <v>3023</v>
      </c>
      <c r="D722" s="133" t="s">
        <v>2011</v>
      </c>
      <c r="E722" s="134">
        <v>1</v>
      </c>
      <c r="F722" s="135" t="s">
        <v>1449</v>
      </c>
      <c r="G722" s="185" t="s">
        <v>15</v>
      </c>
      <c r="H722" s="185" t="s">
        <v>15</v>
      </c>
      <c r="I722" s="185" t="s">
        <v>15</v>
      </c>
      <c r="J722" s="135" t="s">
        <v>1450</v>
      </c>
      <c r="K722" s="186">
        <v>423</v>
      </c>
      <c r="L722" s="187" t="s">
        <v>173</v>
      </c>
      <c r="M722" s="187" t="s">
        <v>175</v>
      </c>
    </row>
    <row r="723" spans="1:13" s="188" customFormat="1">
      <c r="A723" s="185" t="s">
        <v>1447</v>
      </c>
      <c r="B723" s="133" t="s">
        <v>3816</v>
      </c>
      <c r="C723" s="185" t="s">
        <v>3023</v>
      </c>
      <c r="D723" s="133" t="s">
        <v>2011</v>
      </c>
      <c r="E723" s="134">
        <v>1</v>
      </c>
      <c r="F723" s="135" t="s">
        <v>1449</v>
      </c>
      <c r="G723" s="185" t="s">
        <v>15</v>
      </c>
      <c r="H723" s="185" t="s">
        <v>15</v>
      </c>
      <c r="I723" s="185" t="s">
        <v>15</v>
      </c>
      <c r="J723" s="135" t="s">
        <v>1450</v>
      </c>
      <c r="K723" s="186">
        <v>361</v>
      </c>
      <c r="L723" s="187" t="s">
        <v>173</v>
      </c>
      <c r="M723" s="187" t="s">
        <v>175</v>
      </c>
    </row>
    <row r="724" spans="1:13" s="188" customFormat="1">
      <c r="A724" s="185" t="s">
        <v>1447</v>
      </c>
      <c r="B724" s="133" t="s">
        <v>3817</v>
      </c>
      <c r="C724" s="185" t="s">
        <v>3023</v>
      </c>
      <c r="D724" s="133" t="s">
        <v>2011</v>
      </c>
      <c r="E724" s="134">
        <v>1</v>
      </c>
      <c r="F724" s="135" t="s">
        <v>1449</v>
      </c>
      <c r="G724" s="185" t="s">
        <v>15</v>
      </c>
      <c r="H724" s="185" t="s">
        <v>15</v>
      </c>
      <c r="I724" s="185" t="s">
        <v>15</v>
      </c>
      <c r="J724" s="135" t="s">
        <v>1450</v>
      </c>
      <c r="K724" s="186">
        <v>286</v>
      </c>
      <c r="L724" s="187" t="s">
        <v>173</v>
      </c>
      <c r="M724" s="187" t="s">
        <v>175</v>
      </c>
    </row>
    <row r="725" spans="1:13" s="188" customFormat="1">
      <c r="A725" s="185" t="s">
        <v>1447</v>
      </c>
      <c r="B725" s="133" t="s">
        <v>3818</v>
      </c>
      <c r="C725" s="185" t="s">
        <v>3023</v>
      </c>
      <c r="D725" s="133" t="s">
        <v>2012</v>
      </c>
      <c r="E725" s="134">
        <v>1</v>
      </c>
      <c r="F725" s="135" t="s">
        <v>1449</v>
      </c>
      <c r="G725" s="185" t="s">
        <v>15</v>
      </c>
      <c r="H725" s="185" t="s">
        <v>15</v>
      </c>
      <c r="I725" s="185" t="s">
        <v>15</v>
      </c>
      <c r="J725" s="135" t="s">
        <v>1450</v>
      </c>
      <c r="K725" s="186">
        <v>3108</v>
      </c>
      <c r="L725" s="187" t="s">
        <v>173</v>
      </c>
      <c r="M725" s="187" t="s">
        <v>175</v>
      </c>
    </row>
    <row r="726" spans="1:13" s="188" customFormat="1">
      <c r="A726" s="185" t="s">
        <v>1447</v>
      </c>
      <c r="B726" s="133" t="s">
        <v>3819</v>
      </c>
      <c r="C726" s="185" t="s">
        <v>3023</v>
      </c>
      <c r="D726" s="133" t="s">
        <v>2012</v>
      </c>
      <c r="E726" s="134">
        <v>1</v>
      </c>
      <c r="F726" s="135" t="s">
        <v>1449</v>
      </c>
      <c r="G726" s="185" t="s">
        <v>15</v>
      </c>
      <c r="H726" s="185" t="s">
        <v>15</v>
      </c>
      <c r="I726" s="185" t="s">
        <v>15</v>
      </c>
      <c r="J726" s="135" t="s">
        <v>1450</v>
      </c>
      <c r="K726" s="186">
        <v>1848</v>
      </c>
      <c r="L726" s="187" t="s">
        <v>173</v>
      </c>
      <c r="M726" s="187" t="s">
        <v>175</v>
      </c>
    </row>
    <row r="727" spans="1:13" s="188" customFormat="1">
      <c r="A727" s="185" t="s">
        <v>1447</v>
      </c>
      <c r="B727" s="133" t="s">
        <v>3820</v>
      </c>
      <c r="C727" s="185" t="s">
        <v>3023</v>
      </c>
      <c r="D727" s="133" t="s">
        <v>2012</v>
      </c>
      <c r="E727" s="134">
        <v>1</v>
      </c>
      <c r="F727" s="135" t="s">
        <v>1449</v>
      </c>
      <c r="G727" s="185" t="s">
        <v>15</v>
      </c>
      <c r="H727" s="185" t="s">
        <v>15</v>
      </c>
      <c r="I727" s="185" t="s">
        <v>15</v>
      </c>
      <c r="J727" s="135" t="s">
        <v>1450</v>
      </c>
      <c r="K727" s="186">
        <v>1344</v>
      </c>
      <c r="L727" s="187" t="s">
        <v>173</v>
      </c>
      <c r="M727" s="187" t="s">
        <v>175</v>
      </c>
    </row>
    <row r="728" spans="1:13" s="188" customFormat="1">
      <c r="A728" s="185" t="s">
        <v>1447</v>
      </c>
      <c r="B728" s="133" t="s">
        <v>3821</v>
      </c>
      <c r="C728" s="185" t="s">
        <v>3023</v>
      </c>
      <c r="D728" s="133" t="s">
        <v>2012</v>
      </c>
      <c r="E728" s="134">
        <v>1</v>
      </c>
      <c r="F728" s="135" t="s">
        <v>1449</v>
      </c>
      <c r="G728" s="185" t="s">
        <v>15</v>
      </c>
      <c r="H728" s="185" t="s">
        <v>15</v>
      </c>
      <c r="I728" s="185" t="s">
        <v>15</v>
      </c>
      <c r="J728" s="135" t="s">
        <v>1450</v>
      </c>
      <c r="K728" s="186">
        <v>924</v>
      </c>
      <c r="L728" s="187" t="s">
        <v>173</v>
      </c>
      <c r="M728" s="187" t="s">
        <v>175</v>
      </c>
    </row>
    <row r="729" spans="1:13" s="188" customFormat="1">
      <c r="A729" s="185" t="s">
        <v>1447</v>
      </c>
      <c r="B729" s="133" t="s">
        <v>3822</v>
      </c>
      <c r="C729" s="185" t="s">
        <v>3023</v>
      </c>
      <c r="D729" s="133" t="s">
        <v>2012</v>
      </c>
      <c r="E729" s="134">
        <v>1</v>
      </c>
      <c r="F729" s="135" t="s">
        <v>1449</v>
      </c>
      <c r="G729" s="185" t="s">
        <v>15</v>
      </c>
      <c r="H729" s="185" t="s">
        <v>15</v>
      </c>
      <c r="I729" s="185" t="s">
        <v>15</v>
      </c>
      <c r="J729" s="135" t="s">
        <v>1450</v>
      </c>
      <c r="K729" s="186">
        <v>660</v>
      </c>
      <c r="L729" s="187" t="s">
        <v>173</v>
      </c>
      <c r="M729" s="187" t="s">
        <v>175</v>
      </c>
    </row>
    <row r="730" spans="1:13" s="188" customFormat="1">
      <c r="A730" s="185" t="s">
        <v>1447</v>
      </c>
      <c r="B730" s="133" t="s">
        <v>3823</v>
      </c>
      <c r="C730" s="185" t="s">
        <v>3023</v>
      </c>
      <c r="D730" s="133" t="s">
        <v>2012</v>
      </c>
      <c r="E730" s="134">
        <v>1</v>
      </c>
      <c r="F730" s="135" t="s">
        <v>1449</v>
      </c>
      <c r="G730" s="185" t="s">
        <v>15</v>
      </c>
      <c r="H730" s="185" t="s">
        <v>15</v>
      </c>
      <c r="I730" s="185" t="s">
        <v>15</v>
      </c>
      <c r="J730" s="135" t="s">
        <v>1450</v>
      </c>
      <c r="K730" s="186">
        <v>432</v>
      </c>
      <c r="L730" s="187" t="s">
        <v>173</v>
      </c>
      <c r="M730" s="187" t="s">
        <v>175</v>
      </c>
    </row>
    <row r="731" spans="1:13" s="188" customFormat="1">
      <c r="A731" s="185" t="s">
        <v>1447</v>
      </c>
      <c r="B731" s="133" t="s">
        <v>3824</v>
      </c>
      <c r="C731" s="185" t="s">
        <v>3023</v>
      </c>
      <c r="D731" s="133" t="s">
        <v>2012</v>
      </c>
      <c r="E731" s="134">
        <v>1</v>
      </c>
      <c r="F731" s="135" t="s">
        <v>1449</v>
      </c>
      <c r="G731" s="185" t="s">
        <v>15</v>
      </c>
      <c r="H731" s="185" t="s">
        <v>15</v>
      </c>
      <c r="I731" s="185" t="s">
        <v>15</v>
      </c>
      <c r="J731" s="135" t="s">
        <v>1450</v>
      </c>
      <c r="K731" s="186">
        <v>276</v>
      </c>
      <c r="L731" s="187" t="s">
        <v>173</v>
      </c>
      <c r="M731" s="187" t="s">
        <v>175</v>
      </c>
    </row>
    <row r="732" spans="1:13" s="188" customFormat="1">
      <c r="A732" s="185" t="s">
        <v>1447</v>
      </c>
      <c r="B732" s="133" t="s">
        <v>3825</v>
      </c>
      <c r="C732" s="185" t="s">
        <v>3023</v>
      </c>
      <c r="D732" s="133" t="s">
        <v>2012</v>
      </c>
      <c r="E732" s="134">
        <v>1</v>
      </c>
      <c r="F732" s="135" t="s">
        <v>1449</v>
      </c>
      <c r="G732" s="185" t="s">
        <v>15</v>
      </c>
      <c r="H732" s="185" t="s">
        <v>15</v>
      </c>
      <c r="I732" s="185" t="s">
        <v>15</v>
      </c>
      <c r="J732" s="135" t="s">
        <v>1450</v>
      </c>
      <c r="K732" s="186">
        <v>192</v>
      </c>
      <c r="L732" s="187" t="s">
        <v>173</v>
      </c>
      <c r="M732" s="187" t="s">
        <v>175</v>
      </c>
    </row>
    <row r="733" spans="1:13" s="188" customFormat="1">
      <c r="A733" s="185" t="s">
        <v>1447</v>
      </c>
      <c r="B733" s="133" t="s">
        <v>3826</v>
      </c>
      <c r="C733" s="185" t="s">
        <v>3023</v>
      </c>
      <c r="D733" s="133" t="s">
        <v>2013</v>
      </c>
      <c r="E733" s="134">
        <v>1</v>
      </c>
      <c r="F733" s="135" t="s">
        <v>1449</v>
      </c>
      <c r="G733" s="185" t="s">
        <v>15</v>
      </c>
      <c r="H733" s="185" t="s">
        <v>15</v>
      </c>
      <c r="I733" s="185" t="s">
        <v>15</v>
      </c>
      <c r="J733" s="135" t="s">
        <v>1450</v>
      </c>
      <c r="K733" s="186">
        <v>859</v>
      </c>
      <c r="L733" s="187" t="s">
        <v>173</v>
      </c>
      <c r="M733" s="187" t="s">
        <v>175</v>
      </c>
    </row>
    <row r="734" spans="1:13" s="188" customFormat="1">
      <c r="A734" s="185" t="s">
        <v>1447</v>
      </c>
      <c r="B734" s="133" t="s">
        <v>3827</v>
      </c>
      <c r="C734" s="185" t="s">
        <v>3023</v>
      </c>
      <c r="D734" s="133" t="s">
        <v>2013</v>
      </c>
      <c r="E734" s="134">
        <v>1</v>
      </c>
      <c r="F734" s="135" t="s">
        <v>1449</v>
      </c>
      <c r="G734" s="185" t="s">
        <v>15</v>
      </c>
      <c r="H734" s="185" t="s">
        <v>15</v>
      </c>
      <c r="I734" s="185" t="s">
        <v>15</v>
      </c>
      <c r="J734" s="135" t="s">
        <v>1450</v>
      </c>
      <c r="K734" s="186">
        <v>573</v>
      </c>
      <c r="L734" s="187" t="s">
        <v>173</v>
      </c>
      <c r="M734" s="187" t="s">
        <v>175</v>
      </c>
    </row>
    <row r="735" spans="1:13" s="188" customFormat="1">
      <c r="A735" s="185" t="s">
        <v>1447</v>
      </c>
      <c r="B735" s="133" t="s">
        <v>3828</v>
      </c>
      <c r="C735" s="185" t="s">
        <v>3023</v>
      </c>
      <c r="D735" s="133" t="s">
        <v>2013</v>
      </c>
      <c r="E735" s="134">
        <v>1</v>
      </c>
      <c r="F735" s="135" t="s">
        <v>1449</v>
      </c>
      <c r="G735" s="185" t="s">
        <v>15</v>
      </c>
      <c r="H735" s="185" t="s">
        <v>15</v>
      </c>
      <c r="I735" s="185" t="s">
        <v>15</v>
      </c>
      <c r="J735" s="135" t="s">
        <v>1450</v>
      </c>
      <c r="K735" s="186">
        <v>498</v>
      </c>
      <c r="L735" s="187" t="s">
        <v>173</v>
      </c>
      <c r="M735" s="187" t="s">
        <v>175</v>
      </c>
    </row>
    <row r="736" spans="1:13" s="188" customFormat="1">
      <c r="A736" s="185" t="s">
        <v>1447</v>
      </c>
      <c r="B736" s="133" t="s">
        <v>3829</v>
      </c>
      <c r="C736" s="185" t="s">
        <v>3023</v>
      </c>
      <c r="D736" s="133" t="s">
        <v>2013</v>
      </c>
      <c r="E736" s="134">
        <v>1</v>
      </c>
      <c r="F736" s="135" t="s">
        <v>1449</v>
      </c>
      <c r="G736" s="185" t="s">
        <v>15</v>
      </c>
      <c r="H736" s="185" t="s">
        <v>15</v>
      </c>
      <c r="I736" s="185" t="s">
        <v>15</v>
      </c>
      <c r="J736" s="135" t="s">
        <v>1450</v>
      </c>
      <c r="K736" s="186">
        <v>423</v>
      </c>
      <c r="L736" s="187" t="s">
        <v>173</v>
      </c>
      <c r="M736" s="187" t="s">
        <v>175</v>
      </c>
    </row>
    <row r="737" spans="1:13" s="188" customFormat="1">
      <c r="A737" s="185" t="s">
        <v>1447</v>
      </c>
      <c r="B737" s="133" t="s">
        <v>3830</v>
      </c>
      <c r="C737" s="185" t="s">
        <v>3023</v>
      </c>
      <c r="D737" s="133" t="s">
        <v>2013</v>
      </c>
      <c r="E737" s="134">
        <v>1</v>
      </c>
      <c r="F737" s="135" t="s">
        <v>1449</v>
      </c>
      <c r="G737" s="185" t="s">
        <v>15</v>
      </c>
      <c r="H737" s="185" t="s">
        <v>15</v>
      </c>
      <c r="I737" s="185" t="s">
        <v>15</v>
      </c>
      <c r="J737" s="135" t="s">
        <v>1450</v>
      </c>
      <c r="K737" s="186">
        <v>349</v>
      </c>
      <c r="L737" s="187" t="s">
        <v>173</v>
      </c>
      <c r="M737" s="187" t="s">
        <v>175</v>
      </c>
    </row>
    <row r="738" spans="1:13" s="188" customFormat="1">
      <c r="A738" s="185" t="s">
        <v>1447</v>
      </c>
      <c r="B738" s="133" t="s">
        <v>3831</v>
      </c>
      <c r="C738" s="185" t="s">
        <v>3023</v>
      </c>
      <c r="D738" s="133" t="s">
        <v>2013</v>
      </c>
      <c r="E738" s="134">
        <v>1</v>
      </c>
      <c r="F738" s="135" t="s">
        <v>1449</v>
      </c>
      <c r="G738" s="185" t="s">
        <v>15</v>
      </c>
      <c r="H738" s="185" t="s">
        <v>15</v>
      </c>
      <c r="I738" s="185" t="s">
        <v>15</v>
      </c>
      <c r="J738" s="135" t="s">
        <v>1450</v>
      </c>
      <c r="K738" s="186">
        <v>286</v>
      </c>
      <c r="L738" s="187" t="s">
        <v>173</v>
      </c>
      <c r="M738" s="187" t="s">
        <v>175</v>
      </c>
    </row>
    <row r="739" spans="1:13" s="188" customFormat="1">
      <c r="A739" s="185" t="s">
        <v>1447</v>
      </c>
      <c r="B739" s="133" t="s">
        <v>3832</v>
      </c>
      <c r="C739" s="185" t="s">
        <v>3023</v>
      </c>
      <c r="D739" s="133" t="s">
        <v>3833</v>
      </c>
      <c r="E739" s="134">
        <v>1</v>
      </c>
      <c r="F739" s="135" t="s">
        <v>1449</v>
      </c>
      <c r="G739" s="185" t="s">
        <v>15</v>
      </c>
      <c r="H739" s="185" t="s">
        <v>15</v>
      </c>
      <c r="I739" s="185" t="s">
        <v>15</v>
      </c>
      <c r="J739" s="135" t="s">
        <v>1450</v>
      </c>
      <c r="K739" s="186">
        <v>27.839999999999996</v>
      </c>
      <c r="L739" s="187" t="s">
        <v>173</v>
      </c>
      <c r="M739" s="187" t="s">
        <v>175</v>
      </c>
    </row>
    <row r="740" spans="1:13" s="188" customFormat="1">
      <c r="A740" s="185" t="s">
        <v>1447</v>
      </c>
      <c r="B740" s="133" t="s">
        <v>3834</v>
      </c>
      <c r="C740" s="185" t="s">
        <v>3023</v>
      </c>
      <c r="D740" s="133" t="s">
        <v>3833</v>
      </c>
      <c r="E740" s="134">
        <v>1</v>
      </c>
      <c r="F740" s="135" t="s">
        <v>1449</v>
      </c>
      <c r="G740" s="185" t="s">
        <v>15</v>
      </c>
      <c r="H740" s="185" t="s">
        <v>15</v>
      </c>
      <c r="I740" s="185" t="s">
        <v>15</v>
      </c>
      <c r="J740" s="135" t="s">
        <v>1450</v>
      </c>
      <c r="K740" s="186">
        <v>24.599999999999998</v>
      </c>
      <c r="L740" s="187" t="s">
        <v>173</v>
      </c>
      <c r="M740" s="187" t="s">
        <v>175</v>
      </c>
    </row>
    <row r="741" spans="1:13" s="188" customFormat="1">
      <c r="A741" s="185" t="s">
        <v>1447</v>
      </c>
      <c r="B741" s="133" t="s">
        <v>3835</v>
      </c>
      <c r="C741" s="185" t="s">
        <v>3023</v>
      </c>
      <c r="D741" s="133" t="s">
        <v>3833</v>
      </c>
      <c r="E741" s="134">
        <v>1</v>
      </c>
      <c r="F741" s="135" t="s">
        <v>1449</v>
      </c>
      <c r="G741" s="185" t="s">
        <v>15</v>
      </c>
      <c r="H741" s="185" t="s">
        <v>15</v>
      </c>
      <c r="I741" s="185" t="s">
        <v>15</v>
      </c>
      <c r="J741" s="135" t="s">
        <v>1450</v>
      </c>
      <c r="K741" s="186">
        <v>21.84</v>
      </c>
      <c r="L741" s="187" t="s">
        <v>173</v>
      </c>
      <c r="M741" s="187" t="s">
        <v>175</v>
      </c>
    </row>
    <row r="742" spans="1:13" s="188" customFormat="1">
      <c r="A742" s="185" t="s">
        <v>1447</v>
      </c>
      <c r="B742" s="133" t="s">
        <v>3836</v>
      </c>
      <c r="C742" s="185" t="s">
        <v>3023</v>
      </c>
      <c r="D742" s="133" t="s">
        <v>3833</v>
      </c>
      <c r="E742" s="134">
        <v>1</v>
      </c>
      <c r="F742" s="135" t="s">
        <v>1449</v>
      </c>
      <c r="G742" s="185" t="s">
        <v>15</v>
      </c>
      <c r="H742" s="185" t="s">
        <v>15</v>
      </c>
      <c r="I742" s="185" t="s">
        <v>15</v>
      </c>
      <c r="J742" s="135" t="s">
        <v>1450</v>
      </c>
      <c r="K742" s="186">
        <v>16.559999999999999</v>
      </c>
      <c r="L742" s="187" t="s">
        <v>173</v>
      </c>
      <c r="M742" s="187" t="s">
        <v>175</v>
      </c>
    </row>
    <row r="743" spans="1:13" s="188" customFormat="1">
      <c r="A743" s="185" t="s">
        <v>1447</v>
      </c>
      <c r="B743" s="133" t="s">
        <v>3837</v>
      </c>
      <c r="C743" s="185" t="s">
        <v>3023</v>
      </c>
      <c r="D743" s="133" t="s">
        <v>3833</v>
      </c>
      <c r="E743" s="134">
        <v>1</v>
      </c>
      <c r="F743" s="135" t="s">
        <v>1449</v>
      </c>
      <c r="G743" s="185" t="s">
        <v>15</v>
      </c>
      <c r="H743" s="185" t="s">
        <v>15</v>
      </c>
      <c r="I743" s="185" t="s">
        <v>15</v>
      </c>
      <c r="J743" s="135" t="s">
        <v>1450</v>
      </c>
      <c r="K743" s="186">
        <v>12.48</v>
      </c>
      <c r="L743" s="187" t="s">
        <v>173</v>
      </c>
      <c r="M743" s="187" t="s">
        <v>175</v>
      </c>
    </row>
    <row r="744" spans="1:13" s="188" customFormat="1">
      <c r="A744" s="185" t="s">
        <v>1447</v>
      </c>
      <c r="B744" s="133" t="s">
        <v>3838</v>
      </c>
      <c r="C744" s="185" t="s">
        <v>3023</v>
      </c>
      <c r="D744" s="133" t="s">
        <v>2014</v>
      </c>
      <c r="E744" s="134">
        <v>1</v>
      </c>
      <c r="F744" s="135" t="s">
        <v>1449</v>
      </c>
      <c r="G744" s="185" t="s">
        <v>15</v>
      </c>
      <c r="H744" s="185" t="s">
        <v>15</v>
      </c>
      <c r="I744" s="185" t="s">
        <v>15</v>
      </c>
      <c r="J744" s="135" t="s">
        <v>1450</v>
      </c>
      <c r="K744" s="186">
        <v>20256</v>
      </c>
      <c r="L744" s="187" t="s">
        <v>173</v>
      </c>
      <c r="M744" s="187" t="s">
        <v>175</v>
      </c>
    </row>
    <row r="745" spans="1:13" s="188" customFormat="1">
      <c r="A745" s="185" t="s">
        <v>1447</v>
      </c>
      <c r="B745" s="133" t="s">
        <v>3839</v>
      </c>
      <c r="C745" s="185" t="s">
        <v>3023</v>
      </c>
      <c r="D745" s="133" t="s">
        <v>2014</v>
      </c>
      <c r="E745" s="134">
        <v>1</v>
      </c>
      <c r="F745" s="135" t="s">
        <v>1449</v>
      </c>
      <c r="G745" s="185" t="s">
        <v>15</v>
      </c>
      <c r="H745" s="185" t="s">
        <v>15</v>
      </c>
      <c r="I745" s="185" t="s">
        <v>15</v>
      </c>
      <c r="J745" s="135" t="s">
        <v>1450</v>
      </c>
      <c r="K745" s="186">
        <v>15204</v>
      </c>
      <c r="L745" s="187" t="s">
        <v>173</v>
      </c>
      <c r="M745" s="187" t="s">
        <v>175</v>
      </c>
    </row>
    <row r="746" spans="1:13" s="188" customFormat="1">
      <c r="A746" s="185" t="s">
        <v>1447</v>
      </c>
      <c r="B746" s="133" t="s">
        <v>3840</v>
      </c>
      <c r="C746" s="185" t="s">
        <v>3023</v>
      </c>
      <c r="D746" s="133" t="s">
        <v>2014</v>
      </c>
      <c r="E746" s="134">
        <v>1</v>
      </c>
      <c r="F746" s="135" t="s">
        <v>1449</v>
      </c>
      <c r="G746" s="185" t="s">
        <v>15</v>
      </c>
      <c r="H746" s="185" t="s">
        <v>15</v>
      </c>
      <c r="I746" s="185" t="s">
        <v>15</v>
      </c>
      <c r="J746" s="135" t="s">
        <v>1450</v>
      </c>
      <c r="K746" s="186">
        <v>11832</v>
      </c>
      <c r="L746" s="187" t="s">
        <v>173</v>
      </c>
      <c r="M746" s="187" t="s">
        <v>175</v>
      </c>
    </row>
    <row r="747" spans="1:13" s="188" customFormat="1">
      <c r="A747" s="185" t="s">
        <v>1447</v>
      </c>
      <c r="B747" s="133" t="s">
        <v>3841</v>
      </c>
      <c r="C747" s="185" t="s">
        <v>3023</v>
      </c>
      <c r="D747" s="133" t="s">
        <v>2014</v>
      </c>
      <c r="E747" s="134">
        <v>1</v>
      </c>
      <c r="F747" s="135" t="s">
        <v>1449</v>
      </c>
      <c r="G747" s="185" t="s">
        <v>15</v>
      </c>
      <c r="H747" s="185" t="s">
        <v>15</v>
      </c>
      <c r="I747" s="185" t="s">
        <v>15</v>
      </c>
      <c r="J747" s="135" t="s">
        <v>1450</v>
      </c>
      <c r="K747" s="186">
        <v>8436</v>
      </c>
      <c r="L747" s="187" t="s">
        <v>173</v>
      </c>
      <c r="M747" s="187" t="s">
        <v>175</v>
      </c>
    </row>
    <row r="748" spans="1:13" s="188" customFormat="1">
      <c r="A748" s="185" t="s">
        <v>1447</v>
      </c>
      <c r="B748" s="133" t="s">
        <v>3842</v>
      </c>
      <c r="C748" s="185" t="s">
        <v>3023</v>
      </c>
      <c r="D748" s="133" t="s">
        <v>2014</v>
      </c>
      <c r="E748" s="134">
        <v>1</v>
      </c>
      <c r="F748" s="135" t="s">
        <v>1449</v>
      </c>
      <c r="G748" s="185" t="s">
        <v>15</v>
      </c>
      <c r="H748" s="185" t="s">
        <v>15</v>
      </c>
      <c r="I748" s="185" t="s">
        <v>15</v>
      </c>
      <c r="J748" s="135" t="s">
        <v>1450</v>
      </c>
      <c r="K748" s="186">
        <v>5148</v>
      </c>
      <c r="L748" s="187" t="s">
        <v>173</v>
      </c>
      <c r="M748" s="187" t="s">
        <v>175</v>
      </c>
    </row>
    <row r="749" spans="1:13" s="188" customFormat="1">
      <c r="A749" s="185" t="s">
        <v>1447</v>
      </c>
      <c r="B749" s="133" t="s">
        <v>3843</v>
      </c>
      <c r="C749" s="185" t="s">
        <v>3023</v>
      </c>
      <c r="D749" s="133" t="s">
        <v>3844</v>
      </c>
      <c r="E749" s="134">
        <v>1</v>
      </c>
      <c r="F749" s="135" t="s">
        <v>1449</v>
      </c>
      <c r="G749" s="185" t="s">
        <v>15</v>
      </c>
      <c r="H749" s="185" t="s">
        <v>15</v>
      </c>
      <c r="I749" s="185" t="s">
        <v>15</v>
      </c>
      <c r="J749" s="135" t="s">
        <v>1450</v>
      </c>
      <c r="K749" s="186">
        <v>32612</v>
      </c>
      <c r="L749" s="187" t="s">
        <v>173</v>
      </c>
      <c r="M749" s="187" t="s">
        <v>175</v>
      </c>
    </row>
    <row r="750" spans="1:13" s="188" customFormat="1">
      <c r="A750" s="185" t="s">
        <v>1447</v>
      </c>
      <c r="B750" s="133" t="s">
        <v>3845</v>
      </c>
      <c r="C750" s="185" t="s">
        <v>3023</v>
      </c>
      <c r="D750" s="133" t="s">
        <v>3844</v>
      </c>
      <c r="E750" s="134">
        <v>1</v>
      </c>
      <c r="F750" s="135" t="s">
        <v>1449</v>
      </c>
      <c r="G750" s="185" t="s">
        <v>15</v>
      </c>
      <c r="H750" s="185" t="s">
        <v>15</v>
      </c>
      <c r="I750" s="185" t="s">
        <v>15</v>
      </c>
      <c r="J750" s="135" t="s">
        <v>1450</v>
      </c>
      <c r="K750" s="186">
        <v>30101</v>
      </c>
      <c r="L750" s="187" t="s">
        <v>173</v>
      </c>
      <c r="M750" s="187" t="s">
        <v>175</v>
      </c>
    </row>
    <row r="751" spans="1:13" s="188" customFormat="1">
      <c r="A751" s="185" t="s">
        <v>1447</v>
      </c>
      <c r="B751" s="133" t="s">
        <v>3846</v>
      </c>
      <c r="C751" s="185" t="s">
        <v>3023</v>
      </c>
      <c r="D751" s="133" t="s">
        <v>3844</v>
      </c>
      <c r="E751" s="134">
        <v>1</v>
      </c>
      <c r="F751" s="135" t="s">
        <v>1449</v>
      </c>
      <c r="G751" s="185" t="s">
        <v>15</v>
      </c>
      <c r="H751" s="185" t="s">
        <v>15</v>
      </c>
      <c r="I751" s="185" t="s">
        <v>15</v>
      </c>
      <c r="J751" s="135" t="s">
        <v>1450</v>
      </c>
      <c r="K751" s="186">
        <v>27185</v>
      </c>
      <c r="L751" s="187" t="s">
        <v>173</v>
      </c>
      <c r="M751" s="187" t="s">
        <v>175</v>
      </c>
    </row>
    <row r="752" spans="1:13" s="188" customFormat="1">
      <c r="A752" s="185" t="s">
        <v>1447</v>
      </c>
      <c r="B752" s="133" t="s">
        <v>3847</v>
      </c>
      <c r="C752" s="185" t="s">
        <v>3023</v>
      </c>
      <c r="D752" s="133" t="s">
        <v>3844</v>
      </c>
      <c r="E752" s="134">
        <v>1</v>
      </c>
      <c r="F752" s="135" t="s">
        <v>1449</v>
      </c>
      <c r="G752" s="185" t="s">
        <v>15</v>
      </c>
      <c r="H752" s="185" t="s">
        <v>15</v>
      </c>
      <c r="I752" s="185" t="s">
        <v>15</v>
      </c>
      <c r="J752" s="135" t="s">
        <v>1450</v>
      </c>
      <c r="K752" s="186">
        <v>18381</v>
      </c>
      <c r="L752" s="187" t="s">
        <v>173</v>
      </c>
      <c r="M752" s="187" t="s">
        <v>175</v>
      </c>
    </row>
    <row r="753" spans="1:13" s="188" customFormat="1">
      <c r="A753" s="185" t="s">
        <v>1447</v>
      </c>
      <c r="B753" s="133" t="s">
        <v>3848</v>
      </c>
      <c r="C753" s="185" t="s">
        <v>3023</v>
      </c>
      <c r="D753" s="133" t="s">
        <v>3844</v>
      </c>
      <c r="E753" s="134">
        <v>1</v>
      </c>
      <c r="F753" s="135" t="s">
        <v>1449</v>
      </c>
      <c r="G753" s="185" t="s">
        <v>15</v>
      </c>
      <c r="H753" s="185" t="s">
        <v>15</v>
      </c>
      <c r="I753" s="185" t="s">
        <v>15</v>
      </c>
      <c r="J753" s="135" t="s">
        <v>1450</v>
      </c>
      <c r="K753" s="186">
        <v>12171</v>
      </c>
      <c r="L753" s="187" t="s">
        <v>173</v>
      </c>
      <c r="M753" s="187" t="s">
        <v>175</v>
      </c>
    </row>
    <row r="754" spans="1:13" s="188" customFormat="1">
      <c r="A754" s="185" t="s">
        <v>1447</v>
      </c>
      <c r="B754" s="133" t="s">
        <v>3849</v>
      </c>
      <c r="C754" s="185" t="s">
        <v>3023</v>
      </c>
      <c r="D754" s="133" t="s">
        <v>3844</v>
      </c>
      <c r="E754" s="134">
        <v>1</v>
      </c>
      <c r="F754" s="135" t="s">
        <v>1449</v>
      </c>
      <c r="G754" s="185" t="s">
        <v>15</v>
      </c>
      <c r="H754" s="185" t="s">
        <v>15</v>
      </c>
      <c r="I754" s="185" t="s">
        <v>15</v>
      </c>
      <c r="J754" s="135" t="s">
        <v>1450</v>
      </c>
      <c r="K754" s="186">
        <v>9951</v>
      </c>
      <c r="L754" s="187" t="s">
        <v>173</v>
      </c>
      <c r="M754" s="187" t="s">
        <v>175</v>
      </c>
    </row>
    <row r="755" spans="1:13" s="188" customFormat="1">
      <c r="A755" s="185" t="s">
        <v>1447</v>
      </c>
      <c r="B755" s="133" t="s">
        <v>3850</v>
      </c>
      <c r="C755" s="185" t="s">
        <v>3023</v>
      </c>
      <c r="D755" s="133" t="s">
        <v>3844</v>
      </c>
      <c r="E755" s="134">
        <v>1</v>
      </c>
      <c r="F755" s="135" t="s">
        <v>1449</v>
      </c>
      <c r="G755" s="185" t="s">
        <v>15</v>
      </c>
      <c r="H755" s="185" t="s">
        <v>15</v>
      </c>
      <c r="I755" s="185" t="s">
        <v>15</v>
      </c>
      <c r="J755" s="135" t="s">
        <v>1450</v>
      </c>
      <c r="K755" s="186">
        <v>7652</v>
      </c>
      <c r="L755" s="187" t="s">
        <v>173</v>
      </c>
      <c r="M755" s="187" t="s">
        <v>175</v>
      </c>
    </row>
    <row r="756" spans="1:13" s="188" customFormat="1">
      <c r="A756" s="185" t="s">
        <v>1447</v>
      </c>
      <c r="B756" s="133" t="s">
        <v>3851</v>
      </c>
      <c r="C756" s="185" t="s">
        <v>3023</v>
      </c>
      <c r="D756" s="133" t="s">
        <v>3844</v>
      </c>
      <c r="E756" s="134">
        <v>1</v>
      </c>
      <c r="F756" s="135" t="s">
        <v>1449</v>
      </c>
      <c r="G756" s="185" t="s">
        <v>15</v>
      </c>
      <c r="H756" s="185" t="s">
        <v>15</v>
      </c>
      <c r="I756" s="185" t="s">
        <v>15</v>
      </c>
      <c r="J756" s="135" t="s">
        <v>1450</v>
      </c>
      <c r="K756" s="186">
        <v>5344</v>
      </c>
      <c r="L756" s="187" t="s">
        <v>173</v>
      </c>
      <c r="M756" s="187" t="s">
        <v>175</v>
      </c>
    </row>
    <row r="757" spans="1:13" s="188" customFormat="1">
      <c r="A757" s="185" t="s">
        <v>1447</v>
      </c>
      <c r="B757" s="133" t="s">
        <v>3852</v>
      </c>
      <c r="C757" s="185" t="s">
        <v>3023</v>
      </c>
      <c r="D757" s="133" t="s">
        <v>3844</v>
      </c>
      <c r="E757" s="134">
        <v>1</v>
      </c>
      <c r="F757" s="135" t="s">
        <v>1449</v>
      </c>
      <c r="G757" s="185" t="s">
        <v>15</v>
      </c>
      <c r="H757" s="185" t="s">
        <v>15</v>
      </c>
      <c r="I757" s="185" t="s">
        <v>15</v>
      </c>
      <c r="J757" s="135" t="s">
        <v>1450</v>
      </c>
      <c r="K757" s="186">
        <v>4197</v>
      </c>
      <c r="L757" s="187" t="s">
        <v>173</v>
      </c>
      <c r="M757" s="187" t="s">
        <v>175</v>
      </c>
    </row>
    <row r="758" spans="1:13" s="188" customFormat="1">
      <c r="A758" s="185" t="s">
        <v>1447</v>
      </c>
      <c r="B758" s="133" t="s">
        <v>3853</v>
      </c>
      <c r="C758" s="185" t="s">
        <v>3023</v>
      </c>
      <c r="D758" s="133" t="s">
        <v>3844</v>
      </c>
      <c r="E758" s="134">
        <v>1</v>
      </c>
      <c r="F758" s="135" t="s">
        <v>1449</v>
      </c>
      <c r="G758" s="185" t="s">
        <v>15</v>
      </c>
      <c r="H758" s="185" t="s">
        <v>15</v>
      </c>
      <c r="I758" s="185" t="s">
        <v>15</v>
      </c>
      <c r="J758" s="135" t="s">
        <v>1450</v>
      </c>
      <c r="K758" s="186">
        <v>3559</v>
      </c>
      <c r="L758" s="187" t="s">
        <v>173</v>
      </c>
      <c r="M758" s="187" t="s">
        <v>175</v>
      </c>
    </row>
    <row r="759" spans="1:13" s="188" customFormat="1">
      <c r="A759" s="185" t="s">
        <v>1447</v>
      </c>
      <c r="B759" s="133" t="s">
        <v>3854</v>
      </c>
      <c r="C759" s="185" t="s">
        <v>3023</v>
      </c>
      <c r="D759" s="133" t="s">
        <v>2015</v>
      </c>
      <c r="E759" s="134">
        <v>1</v>
      </c>
      <c r="F759" s="135" t="s">
        <v>1449</v>
      </c>
      <c r="G759" s="185" t="s">
        <v>15</v>
      </c>
      <c r="H759" s="185" t="s">
        <v>15</v>
      </c>
      <c r="I759" s="185" t="s">
        <v>15</v>
      </c>
      <c r="J759" s="135" t="s">
        <v>1450</v>
      </c>
      <c r="K759" s="186">
        <v>14352</v>
      </c>
      <c r="L759" s="187" t="s">
        <v>173</v>
      </c>
      <c r="M759" s="187" t="s">
        <v>175</v>
      </c>
    </row>
    <row r="760" spans="1:13" s="188" customFormat="1">
      <c r="A760" s="185" t="s">
        <v>1447</v>
      </c>
      <c r="B760" s="133" t="s">
        <v>3855</v>
      </c>
      <c r="C760" s="185" t="s">
        <v>3023</v>
      </c>
      <c r="D760" s="133" t="s">
        <v>2015</v>
      </c>
      <c r="E760" s="134">
        <v>1</v>
      </c>
      <c r="F760" s="135" t="s">
        <v>1449</v>
      </c>
      <c r="G760" s="185" t="s">
        <v>15</v>
      </c>
      <c r="H760" s="185" t="s">
        <v>15</v>
      </c>
      <c r="I760" s="185" t="s">
        <v>15</v>
      </c>
      <c r="J760" s="135" t="s">
        <v>1450</v>
      </c>
      <c r="K760" s="186">
        <v>11484</v>
      </c>
      <c r="L760" s="187" t="s">
        <v>173</v>
      </c>
      <c r="M760" s="187" t="s">
        <v>175</v>
      </c>
    </row>
    <row r="761" spans="1:13" s="188" customFormat="1">
      <c r="A761" s="185" t="s">
        <v>1447</v>
      </c>
      <c r="B761" s="133" t="s">
        <v>3856</v>
      </c>
      <c r="C761" s="185" t="s">
        <v>3023</v>
      </c>
      <c r="D761" s="133" t="s">
        <v>2015</v>
      </c>
      <c r="E761" s="134">
        <v>1</v>
      </c>
      <c r="F761" s="135" t="s">
        <v>1449</v>
      </c>
      <c r="G761" s="185" t="s">
        <v>15</v>
      </c>
      <c r="H761" s="185" t="s">
        <v>15</v>
      </c>
      <c r="I761" s="185" t="s">
        <v>15</v>
      </c>
      <c r="J761" s="135" t="s">
        <v>1450</v>
      </c>
      <c r="K761" s="186">
        <v>8688</v>
      </c>
      <c r="L761" s="187" t="s">
        <v>173</v>
      </c>
      <c r="M761" s="187" t="s">
        <v>175</v>
      </c>
    </row>
    <row r="762" spans="1:13" s="188" customFormat="1">
      <c r="A762" s="185" t="s">
        <v>1447</v>
      </c>
      <c r="B762" s="133" t="s">
        <v>3857</v>
      </c>
      <c r="C762" s="185" t="s">
        <v>3023</v>
      </c>
      <c r="D762" s="133" t="s">
        <v>3858</v>
      </c>
      <c r="E762" s="134">
        <v>1</v>
      </c>
      <c r="F762" s="135" t="s">
        <v>1449</v>
      </c>
      <c r="G762" s="185" t="s">
        <v>15</v>
      </c>
      <c r="H762" s="185" t="s">
        <v>15</v>
      </c>
      <c r="I762" s="185" t="s">
        <v>15</v>
      </c>
      <c r="J762" s="135" t="s">
        <v>1450</v>
      </c>
      <c r="K762" s="186">
        <v>7716</v>
      </c>
      <c r="L762" s="187" t="s">
        <v>173</v>
      </c>
      <c r="M762" s="187" t="s">
        <v>175</v>
      </c>
    </row>
    <row r="763" spans="1:13" s="188" customFormat="1">
      <c r="A763" s="185" t="s">
        <v>1447</v>
      </c>
      <c r="B763" s="133" t="s">
        <v>3859</v>
      </c>
      <c r="C763" s="185" t="s">
        <v>3023</v>
      </c>
      <c r="D763" s="133" t="s">
        <v>3858</v>
      </c>
      <c r="E763" s="134">
        <v>1</v>
      </c>
      <c r="F763" s="135" t="s">
        <v>1449</v>
      </c>
      <c r="G763" s="185" t="s">
        <v>15</v>
      </c>
      <c r="H763" s="185" t="s">
        <v>15</v>
      </c>
      <c r="I763" s="185" t="s">
        <v>15</v>
      </c>
      <c r="J763" s="135" t="s">
        <v>1450</v>
      </c>
      <c r="K763" s="186">
        <v>7476</v>
      </c>
      <c r="L763" s="187" t="s">
        <v>173</v>
      </c>
      <c r="M763" s="187" t="s">
        <v>175</v>
      </c>
    </row>
    <row r="764" spans="1:13" s="188" customFormat="1">
      <c r="A764" s="185" t="s">
        <v>1447</v>
      </c>
      <c r="B764" s="133" t="s">
        <v>3860</v>
      </c>
      <c r="C764" s="185" t="s">
        <v>3023</v>
      </c>
      <c r="D764" s="133" t="s">
        <v>3858</v>
      </c>
      <c r="E764" s="134">
        <v>1</v>
      </c>
      <c r="F764" s="135" t="s">
        <v>1449</v>
      </c>
      <c r="G764" s="185" t="s">
        <v>15</v>
      </c>
      <c r="H764" s="185" t="s">
        <v>15</v>
      </c>
      <c r="I764" s="185" t="s">
        <v>15</v>
      </c>
      <c r="J764" s="135" t="s">
        <v>1450</v>
      </c>
      <c r="K764" s="186">
        <v>7404</v>
      </c>
      <c r="L764" s="187" t="s">
        <v>173</v>
      </c>
      <c r="M764" s="187" t="s">
        <v>175</v>
      </c>
    </row>
    <row r="765" spans="1:13" s="188" customFormat="1">
      <c r="A765" s="185" t="s">
        <v>1447</v>
      </c>
      <c r="B765" s="133" t="s">
        <v>3861</v>
      </c>
      <c r="C765" s="185" t="s">
        <v>3023</v>
      </c>
      <c r="D765" s="133" t="s">
        <v>3858</v>
      </c>
      <c r="E765" s="134">
        <v>1</v>
      </c>
      <c r="F765" s="135" t="s">
        <v>1449</v>
      </c>
      <c r="G765" s="185" t="s">
        <v>15</v>
      </c>
      <c r="H765" s="185" t="s">
        <v>15</v>
      </c>
      <c r="I765" s="185" t="s">
        <v>15</v>
      </c>
      <c r="J765" s="135" t="s">
        <v>1450</v>
      </c>
      <c r="K765" s="186">
        <v>7092</v>
      </c>
      <c r="L765" s="187" t="s">
        <v>173</v>
      </c>
      <c r="M765" s="187" t="s">
        <v>175</v>
      </c>
    </row>
    <row r="766" spans="1:13" s="188" customFormat="1">
      <c r="A766" s="185" t="s">
        <v>1447</v>
      </c>
      <c r="B766" s="133" t="s">
        <v>3862</v>
      </c>
      <c r="C766" s="185" t="s">
        <v>3023</v>
      </c>
      <c r="D766" s="133" t="s">
        <v>3858</v>
      </c>
      <c r="E766" s="134">
        <v>1</v>
      </c>
      <c r="F766" s="135" t="s">
        <v>1449</v>
      </c>
      <c r="G766" s="185" t="s">
        <v>15</v>
      </c>
      <c r="H766" s="185" t="s">
        <v>15</v>
      </c>
      <c r="I766" s="185" t="s">
        <v>15</v>
      </c>
      <c r="J766" s="135" t="s">
        <v>1450</v>
      </c>
      <c r="K766" s="186">
        <v>6540</v>
      </c>
      <c r="L766" s="187" t="s">
        <v>173</v>
      </c>
      <c r="M766" s="187" t="s">
        <v>175</v>
      </c>
    </row>
    <row r="767" spans="1:13" s="188" customFormat="1">
      <c r="A767" s="185" t="s">
        <v>1447</v>
      </c>
      <c r="B767" s="133" t="s">
        <v>3863</v>
      </c>
      <c r="C767" s="185" t="s">
        <v>3023</v>
      </c>
      <c r="D767" s="133" t="s">
        <v>3858</v>
      </c>
      <c r="E767" s="134">
        <v>1</v>
      </c>
      <c r="F767" s="135" t="s">
        <v>1449</v>
      </c>
      <c r="G767" s="185" t="s">
        <v>15</v>
      </c>
      <c r="H767" s="185" t="s">
        <v>15</v>
      </c>
      <c r="I767" s="185" t="s">
        <v>15</v>
      </c>
      <c r="J767" s="135" t="s">
        <v>1450</v>
      </c>
      <c r="K767" s="186">
        <v>5664</v>
      </c>
      <c r="L767" s="187" t="s">
        <v>173</v>
      </c>
      <c r="M767" s="187" t="s">
        <v>175</v>
      </c>
    </row>
    <row r="768" spans="1:13" s="188" customFormat="1">
      <c r="A768" s="185" t="s">
        <v>1447</v>
      </c>
      <c r="B768" s="133" t="s">
        <v>3864</v>
      </c>
      <c r="C768" s="185" t="s">
        <v>3023</v>
      </c>
      <c r="D768" s="133" t="s">
        <v>3865</v>
      </c>
      <c r="E768" s="134">
        <v>1</v>
      </c>
      <c r="F768" s="135" t="s">
        <v>1449</v>
      </c>
      <c r="G768" s="185" t="s">
        <v>15</v>
      </c>
      <c r="H768" s="185" t="s">
        <v>15</v>
      </c>
      <c r="I768" s="185" t="s">
        <v>15</v>
      </c>
      <c r="J768" s="135" t="s">
        <v>1450</v>
      </c>
      <c r="K768" s="186">
        <v>6660</v>
      </c>
      <c r="L768" s="187" t="s">
        <v>173</v>
      </c>
      <c r="M768" s="187" t="s">
        <v>175</v>
      </c>
    </row>
    <row r="769" spans="1:13" s="188" customFormat="1">
      <c r="A769" s="185" t="s">
        <v>1447</v>
      </c>
      <c r="B769" s="133" t="s">
        <v>3866</v>
      </c>
      <c r="C769" s="185" t="s">
        <v>3023</v>
      </c>
      <c r="D769" s="133" t="s">
        <v>3865</v>
      </c>
      <c r="E769" s="134">
        <v>1</v>
      </c>
      <c r="F769" s="135" t="s">
        <v>1449</v>
      </c>
      <c r="G769" s="185" t="s">
        <v>15</v>
      </c>
      <c r="H769" s="185" t="s">
        <v>15</v>
      </c>
      <c r="I769" s="185" t="s">
        <v>15</v>
      </c>
      <c r="J769" s="135" t="s">
        <v>1450</v>
      </c>
      <c r="K769" s="186">
        <v>6036</v>
      </c>
      <c r="L769" s="187" t="s">
        <v>173</v>
      </c>
      <c r="M769" s="187" t="s">
        <v>175</v>
      </c>
    </row>
    <row r="770" spans="1:13" s="188" customFormat="1">
      <c r="A770" s="185" t="s">
        <v>1447</v>
      </c>
      <c r="B770" s="133" t="s">
        <v>3867</v>
      </c>
      <c r="C770" s="185" t="s">
        <v>3023</v>
      </c>
      <c r="D770" s="133" t="s">
        <v>3865</v>
      </c>
      <c r="E770" s="134">
        <v>1</v>
      </c>
      <c r="F770" s="135" t="s">
        <v>1449</v>
      </c>
      <c r="G770" s="185" t="s">
        <v>15</v>
      </c>
      <c r="H770" s="185" t="s">
        <v>15</v>
      </c>
      <c r="I770" s="185" t="s">
        <v>15</v>
      </c>
      <c r="J770" s="135" t="s">
        <v>1450</v>
      </c>
      <c r="K770" s="186">
        <v>5856</v>
      </c>
      <c r="L770" s="187" t="s">
        <v>173</v>
      </c>
      <c r="M770" s="187" t="s">
        <v>175</v>
      </c>
    </row>
    <row r="771" spans="1:13" s="188" customFormat="1">
      <c r="A771" s="185" t="s">
        <v>1447</v>
      </c>
      <c r="B771" s="133" t="s">
        <v>3868</v>
      </c>
      <c r="C771" s="185" t="s">
        <v>3023</v>
      </c>
      <c r="D771" s="133" t="s">
        <v>3865</v>
      </c>
      <c r="E771" s="134">
        <v>1</v>
      </c>
      <c r="F771" s="135" t="s">
        <v>1449</v>
      </c>
      <c r="G771" s="185" t="s">
        <v>15</v>
      </c>
      <c r="H771" s="185" t="s">
        <v>15</v>
      </c>
      <c r="I771" s="185" t="s">
        <v>15</v>
      </c>
      <c r="J771" s="135" t="s">
        <v>1450</v>
      </c>
      <c r="K771" s="186">
        <v>5544</v>
      </c>
      <c r="L771" s="187" t="s">
        <v>173</v>
      </c>
      <c r="M771" s="187" t="s">
        <v>175</v>
      </c>
    </row>
    <row r="772" spans="1:13" s="188" customFormat="1">
      <c r="A772" s="185" t="s">
        <v>1447</v>
      </c>
      <c r="B772" s="133" t="s">
        <v>3869</v>
      </c>
      <c r="C772" s="185" t="s">
        <v>3023</v>
      </c>
      <c r="D772" s="133" t="s">
        <v>3865</v>
      </c>
      <c r="E772" s="134">
        <v>1</v>
      </c>
      <c r="F772" s="135" t="s">
        <v>1449</v>
      </c>
      <c r="G772" s="185" t="s">
        <v>15</v>
      </c>
      <c r="H772" s="185" t="s">
        <v>15</v>
      </c>
      <c r="I772" s="185" t="s">
        <v>15</v>
      </c>
      <c r="J772" s="135" t="s">
        <v>1450</v>
      </c>
      <c r="K772" s="186">
        <v>4980</v>
      </c>
      <c r="L772" s="187" t="s">
        <v>173</v>
      </c>
      <c r="M772" s="187" t="s">
        <v>175</v>
      </c>
    </row>
    <row r="773" spans="1:13" s="188" customFormat="1">
      <c r="A773" s="185" t="s">
        <v>1447</v>
      </c>
      <c r="B773" s="133" t="s">
        <v>3870</v>
      </c>
      <c r="C773" s="185" t="s">
        <v>3023</v>
      </c>
      <c r="D773" s="133" t="s">
        <v>3865</v>
      </c>
      <c r="E773" s="134">
        <v>1</v>
      </c>
      <c r="F773" s="135" t="s">
        <v>1449</v>
      </c>
      <c r="G773" s="185" t="s">
        <v>15</v>
      </c>
      <c r="H773" s="185" t="s">
        <v>15</v>
      </c>
      <c r="I773" s="185" t="s">
        <v>15</v>
      </c>
      <c r="J773" s="135" t="s">
        <v>1450</v>
      </c>
      <c r="K773" s="186">
        <v>4416</v>
      </c>
      <c r="L773" s="187" t="s">
        <v>173</v>
      </c>
      <c r="M773" s="187" t="s">
        <v>175</v>
      </c>
    </row>
    <row r="774" spans="1:13" s="188" customFormat="1">
      <c r="A774" s="185" t="s">
        <v>1447</v>
      </c>
      <c r="B774" s="133" t="s">
        <v>3871</v>
      </c>
      <c r="C774" s="185" t="s">
        <v>3023</v>
      </c>
      <c r="D774" s="133" t="s">
        <v>3872</v>
      </c>
      <c r="E774" s="134">
        <v>1</v>
      </c>
      <c r="F774" s="135" t="s">
        <v>1449</v>
      </c>
      <c r="G774" s="185" t="s">
        <v>15</v>
      </c>
      <c r="H774" s="185" t="s">
        <v>15</v>
      </c>
      <c r="I774" s="185" t="s">
        <v>15</v>
      </c>
      <c r="J774" s="135" t="s">
        <v>1450</v>
      </c>
      <c r="K774" s="186">
        <v>204</v>
      </c>
      <c r="L774" s="187" t="s">
        <v>173</v>
      </c>
      <c r="M774" s="187" t="s">
        <v>175</v>
      </c>
    </row>
    <row r="775" spans="1:13" s="188" customFormat="1">
      <c r="A775" s="185" t="s">
        <v>1447</v>
      </c>
      <c r="B775" s="133" t="s">
        <v>3873</v>
      </c>
      <c r="C775" s="185" t="s">
        <v>3023</v>
      </c>
      <c r="D775" s="133" t="s">
        <v>3872</v>
      </c>
      <c r="E775" s="134">
        <v>1</v>
      </c>
      <c r="F775" s="135" t="s">
        <v>1449</v>
      </c>
      <c r="G775" s="185" t="s">
        <v>15</v>
      </c>
      <c r="H775" s="185" t="s">
        <v>15</v>
      </c>
      <c r="I775" s="185" t="s">
        <v>15</v>
      </c>
      <c r="J775" s="135" t="s">
        <v>1450</v>
      </c>
      <c r="K775" s="186">
        <v>192</v>
      </c>
      <c r="L775" s="187" t="s">
        <v>173</v>
      </c>
      <c r="M775" s="187" t="s">
        <v>175</v>
      </c>
    </row>
    <row r="776" spans="1:13" s="188" customFormat="1">
      <c r="A776" s="185" t="s">
        <v>1447</v>
      </c>
      <c r="B776" s="133" t="s">
        <v>3874</v>
      </c>
      <c r="C776" s="185" t="s">
        <v>3023</v>
      </c>
      <c r="D776" s="133" t="s">
        <v>3872</v>
      </c>
      <c r="E776" s="134">
        <v>1</v>
      </c>
      <c r="F776" s="135" t="s">
        <v>1449</v>
      </c>
      <c r="G776" s="185" t="s">
        <v>15</v>
      </c>
      <c r="H776" s="185" t="s">
        <v>15</v>
      </c>
      <c r="I776" s="185" t="s">
        <v>15</v>
      </c>
      <c r="J776" s="135" t="s">
        <v>1450</v>
      </c>
      <c r="K776" s="186">
        <v>180</v>
      </c>
      <c r="L776" s="187" t="s">
        <v>173</v>
      </c>
      <c r="M776" s="187" t="s">
        <v>175</v>
      </c>
    </row>
    <row r="777" spans="1:13" s="188" customFormat="1">
      <c r="A777" s="185" t="s">
        <v>1447</v>
      </c>
      <c r="B777" s="133" t="s">
        <v>3875</v>
      </c>
      <c r="C777" s="185" t="s">
        <v>3023</v>
      </c>
      <c r="D777" s="133" t="s">
        <v>3872</v>
      </c>
      <c r="E777" s="134">
        <v>1</v>
      </c>
      <c r="F777" s="135" t="s">
        <v>1449</v>
      </c>
      <c r="G777" s="185" t="s">
        <v>15</v>
      </c>
      <c r="H777" s="185" t="s">
        <v>15</v>
      </c>
      <c r="I777" s="185" t="s">
        <v>15</v>
      </c>
      <c r="J777" s="135" t="s">
        <v>1450</v>
      </c>
      <c r="K777" s="186">
        <v>156</v>
      </c>
      <c r="L777" s="187" t="s">
        <v>173</v>
      </c>
      <c r="M777" s="187" t="s">
        <v>175</v>
      </c>
    </row>
    <row r="778" spans="1:13" s="188" customFormat="1">
      <c r="A778" s="185" t="s">
        <v>1447</v>
      </c>
      <c r="B778" s="133" t="s">
        <v>3876</v>
      </c>
      <c r="C778" s="185" t="s">
        <v>3023</v>
      </c>
      <c r="D778" s="133" t="s">
        <v>3872</v>
      </c>
      <c r="E778" s="134">
        <v>1</v>
      </c>
      <c r="F778" s="135" t="s">
        <v>1449</v>
      </c>
      <c r="G778" s="185" t="s">
        <v>15</v>
      </c>
      <c r="H778" s="185" t="s">
        <v>15</v>
      </c>
      <c r="I778" s="185" t="s">
        <v>15</v>
      </c>
      <c r="J778" s="135" t="s">
        <v>1450</v>
      </c>
      <c r="K778" s="186">
        <v>144</v>
      </c>
      <c r="L778" s="187" t="s">
        <v>173</v>
      </c>
      <c r="M778" s="187" t="s">
        <v>175</v>
      </c>
    </row>
    <row r="779" spans="1:13" s="188" customFormat="1">
      <c r="A779" s="185" t="s">
        <v>1447</v>
      </c>
      <c r="B779" s="133" t="s">
        <v>3877</v>
      </c>
      <c r="C779" s="185" t="s">
        <v>3023</v>
      </c>
      <c r="D779" s="133" t="s">
        <v>3872</v>
      </c>
      <c r="E779" s="134">
        <v>1</v>
      </c>
      <c r="F779" s="135" t="s">
        <v>1449</v>
      </c>
      <c r="G779" s="185" t="s">
        <v>15</v>
      </c>
      <c r="H779" s="185" t="s">
        <v>15</v>
      </c>
      <c r="I779" s="185" t="s">
        <v>15</v>
      </c>
      <c r="J779" s="135" t="s">
        <v>1450</v>
      </c>
      <c r="K779" s="186">
        <v>132</v>
      </c>
      <c r="L779" s="187" t="s">
        <v>173</v>
      </c>
      <c r="M779" s="187" t="s">
        <v>175</v>
      </c>
    </row>
    <row r="780" spans="1:13" s="188" customFormat="1">
      <c r="A780" s="185" t="s">
        <v>1447</v>
      </c>
      <c r="B780" s="133" t="s">
        <v>3878</v>
      </c>
      <c r="C780" s="185" t="s">
        <v>3023</v>
      </c>
      <c r="D780" s="133" t="s">
        <v>3879</v>
      </c>
      <c r="E780" s="134">
        <v>1</v>
      </c>
      <c r="F780" s="135" t="s">
        <v>1449</v>
      </c>
      <c r="G780" s="185" t="s">
        <v>15</v>
      </c>
      <c r="H780" s="185" t="s">
        <v>15</v>
      </c>
      <c r="I780" s="185" t="s">
        <v>15</v>
      </c>
      <c r="J780" s="135" t="s">
        <v>1450</v>
      </c>
      <c r="K780" s="186">
        <v>228</v>
      </c>
      <c r="L780" s="187" t="s">
        <v>173</v>
      </c>
      <c r="M780" s="187" t="s">
        <v>175</v>
      </c>
    </row>
    <row r="781" spans="1:13" s="188" customFormat="1">
      <c r="A781" s="185" t="s">
        <v>1447</v>
      </c>
      <c r="B781" s="133" t="s">
        <v>3880</v>
      </c>
      <c r="C781" s="185" t="s">
        <v>3023</v>
      </c>
      <c r="D781" s="133" t="s">
        <v>3879</v>
      </c>
      <c r="E781" s="134">
        <v>1</v>
      </c>
      <c r="F781" s="135" t="s">
        <v>1449</v>
      </c>
      <c r="G781" s="185" t="s">
        <v>15</v>
      </c>
      <c r="H781" s="185" t="s">
        <v>15</v>
      </c>
      <c r="I781" s="185" t="s">
        <v>15</v>
      </c>
      <c r="J781" s="135" t="s">
        <v>1450</v>
      </c>
      <c r="K781" s="186">
        <v>216</v>
      </c>
      <c r="L781" s="187" t="s">
        <v>173</v>
      </c>
      <c r="M781" s="187" t="s">
        <v>175</v>
      </c>
    </row>
    <row r="782" spans="1:13" s="188" customFormat="1">
      <c r="A782" s="185" t="s">
        <v>1447</v>
      </c>
      <c r="B782" s="133" t="s">
        <v>3881</v>
      </c>
      <c r="C782" s="185" t="s">
        <v>3023</v>
      </c>
      <c r="D782" s="133" t="s">
        <v>3879</v>
      </c>
      <c r="E782" s="134">
        <v>1</v>
      </c>
      <c r="F782" s="135" t="s">
        <v>1449</v>
      </c>
      <c r="G782" s="185" t="s">
        <v>15</v>
      </c>
      <c r="H782" s="185" t="s">
        <v>15</v>
      </c>
      <c r="I782" s="185" t="s">
        <v>15</v>
      </c>
      <c r="J782" s="135" t="s">
        <v>1450</v>
      </c>
      <c r="K782" s="186">
        <v>204</v>
      </c>
      <c r="L782" s="187" t="s">
        <v>173</v>
      </c>
      <c r="M782" s="187" t="s">
        <v>175</v>
      </c>
    </row>
    <row r="783" spans="1:13" s="188" customFormat="1">
      <c r="A783" s="185" t="s">
        <v>1447</v>
      </c>
      <c r="B783" s="133" t="s">
        <v>3882</v>
      </c>
      <c r="C783" s="185" t="s">
        <v>3023</v>
      </c>
      <c r="D783" s="133" t="s">
        <v>3879</v>
      </c>
      <c r="E783" s="134">
        <v>1</v>
      </c>
      <c r="F783" s="135" t="s">
        <v>1449</v>
      </c>
      <c r="G783" s="185" t="s">
        <v>15</v>
      </c>
      <c r="H783" s="185" t="s">
        <v>15</v>
      </c>
      <c r="I783" s="185" t="s">
        <v>15</v>
      </c>
      <c r="J783" s="135" t="s">
        <v>1450</v>
      </c>
      <c r="K783" s="186">
        <v>192</v>
      </c>
      <c r="L783" s="187" t="s">
        <v>173</v>
      </c>
      <c r="M783" s="187" t="s">
        <v>175</v>
      </c>
    </row>
    <row r="784" spans="1:13" s="188" customFormat="1">
      <c r="A784" s="185" t="s">
        <v>1447</v>
      </c>
      <c r="B784" s="133" t="s">
        <v>3883</v>
      </c>
      <c r="C784" s="185" t="s">
        <v>3023</v>
      </c>
      <c r="D784" s="133" t="s">
        <v>3879</v>
      </c>
      <c r="E784" s="134">
        <v>1</v>
      </c>
      <c r="F784" s="135" t="s">
        <v>1449</v>
      </c>
      <c r="G784" s="185" t="s">
        <v>15</v>
      </c>
      <c r="H784" s="185" t="s">
        <v>15</v>
      </c>
      <c r="I784" s="185" t="s">
        <v>15</v>
      </c>
      <c r="J784" s="135" t="s">
        <v>1450</v>
      </c>
      <c r="K784" s="186">
        <v>180</v>
      </c>
      <c r="L784" s="187" t="s">
        <v>173</v>
      </c>
      <c r="M784" s="187" t="s">
        <v>175</v>
      </c>
    </row>
    <row r="785" spans="1:13" s="188" customFormat="1">
      <c r="A785" s="185" t="s">
        <v>1447</v>
      </c>
      <c r="B785" s="133" t="s">
        <v>3884</v>
      </c>
      <c r="C785" s="185" t="s">
        <v>3023</v>
      </c>
      <c r="D785" s="133" t="s">
        <v>3879</v>
      </c>
      <c r="E785" s="134">
        <v>1</v>
      </c>
      <c r="F785" s="135" t="s">
        <v>1449</v>
      </c>
      <c r="G785" s="185" t="s">
        <v>15</v>
      </c>
      <c r="H785" s="185" t="s">
        <v>15</v>
      </c>
      <c r="I785" s="185" t="s">
        <v>15</v>
      </c>
      <c r="J785" s="135" t="s">
        <v>1450</v>
      </c>
      <c r="K785" s="186">
        <v>156</v>
      </c>
      <c r="L785" s="187" t="s">
        <v>173</v>
      </c>
      <c r="M785" s="187" t="s">
        <v>175</v>
      </c>
    </row>
    <row r="786" spans="1:13" s="188" customFormat="1">
      <c r="A786" s="185" t="s">
        <v>1447</v>
      </c>
      <c r="B786" s="133" t="s">
        <v>3885</v>
      </c>
      <c r="C786" s="185" t="s">
        <v>3023</v>
      </c>
      <c r="D786" s="133" t="s">
        <v>3886</v>
      </c>
      <c r="E786" s="134">
        <v>1</v>
      </c>
      <c r="F786" s="135" t="s">
        <v>1449</v>
      </c>
      <c r="G786" s="185" t="s">
        <v>15</v>
      </c>
      <c r="H786" s="185" t="s">
        <v>15</v>
      </c>
      <c r="I786" s="185" t="s">
        <v>15</v>
      </c>
      <c r="J786" s="135" t="s">
        <v>1450</v>
      </c>
      <c r="K786" s="186">
        <v>1068</v>
      </c>
      <c r="L786" s="187" t="s">
        <v>173</v>
      </c>
      <c r="M786" s="187" t="s">
        <v>175</v>
      </c>
    </row>
    <row r="787" spans="1:13" s="188" customFormat="1">
      <c r="A787" s="185" t="s">
        <v>1447</v>
      </c>
      <c r="B787" s="133" t="s">
        <v>3887</v>
      </c>
      <c r="C787" s="185" t="s">
        <v>3023</v>
      </c>
      <c r="D787" s="133" t="s">
        <v>3886</v>
      </c>
      <c r="E787" s="134">
        <v>1</v>
      </c>
      <c r="F787" s="135" t="s">
        <v>1449</v>
      </c>
      <c r="G787" s="185" t="s">
        <v>15</v>
      </c>
      <c r="H787" s="185" t="s">
        <v>15</v>
      </c>
      <c r="I787" s="185" t="s">
        <v>15</v>
      </c>
      <c r="J787" s="135" t="s">
        <v>1450</v>
      </c>
      <c r="K787" s="186">
        <v>1020</v>
      </c>
      <c r="L787" s="187" t="s">
        <v>173</v>
      </c>
      <c r="M787" s="187" t="s">
        <v>175</v>
      </c>
    </row>
    <row r="788" spans="1:13" s="188" customFormat="1">
      <c r="A788" s="185" t="s">
        <v>1447</v>
      </c>
      <c r="B788" s="133" t="s">
        <v>3888</v>
      </c>
      <c r="C788" s="185" t="s">
        <v>3023</v>
      </c>
      <c r="D788" s="133" t="s">
        <v>3886</v>
      </c>
      <c r="E788" s="134">
        <v>1</v>
      </c>
      <c r="F788" s="135" t="s">
        <v>1449</v>
      </c>
      <c r="G788" s="185" t="s">
        <v>15</v>
      </c>
      <c r="H788" s="185" t="s">
        <v>15</v>
      </c>
      <c r="I788" s="185" t="s">
        <v>15</v>
      </c>
      <c r="J788" s="135" t="s">
        <v>1450</v>
      </c>
      <c r="K788" s="186">
        <v>996</v>
      </c>
      <c r="L788" s="187" t="s">
        <v>173</v>
      </c>
      <c r="M788" s="187" t="s">
        <v>175</v>
      </c>
    </row>
    <row r="789" spans="1:13" s="188" customFormat="1">
      <c r="A789" s="185" t="s">
        <v>1447</v>
      </c>
      <c r="B789" s="133" t="s">
        <v>3889</v>
      </c>
      <c r="C789" s="185" t="s">
        <v>3023</v>
      </c>
      <c r="D789" s="133" t="s">
        <v>3886</v>
      </c>
      <c r="E789" s="134">
        <v>1</v>
      </c>
      <c r="F789" s="135" t="s">
        <v>1449</v>
      </c>
      <c r="G789" s="185" t="s">
        <v>15</v>
      </c>
      <c r="H789" s="185" t="s">
        <v>15</v>
      </c>
      <c r="I789" s="185" t="s">
        <v>15</v>
      </c>
      <c r="J789" s="135" t="s">
        <v>1450</v>
      </c>
      <c r="K789" s="186">
        <v>936</v>
      </c>
      <c r="L789" s="187" t="s">
        <v>173</v>
      </c>
      <c r="M789" s="187" t="s">
        <v>175</v>
      </c>
    </row>
    <row r="790" spans="1:13" s="188" customFormat="1">
      <c r="A790" s="185" t="s">
        <v>1447</v>
      </c>
      <c r="B790" s="133" t="s">
        <v>3890</v>
      </c>
      <c r="C790" s="185" t="s">
        <v>3023</v>
      </c>
      <c r="D790" s="133" t="s">
        <v>2016</v>
      </c>
      <c r="E790" s="134">
        <v>1</v>
      </c>
      <c r="F790" s="135" t="s">
        <v>1449</v>
      </c>
      <c r="G790" s="185" t="s">
        <v>15</v>
      </c>
      <c r="H790" s="185" t="s">
        <v>15</v>
      </c>
      <c r="I790" s="185" t="s">
        <v>15</v>
      </c>
      <c r="J790" s="135" t="s">
        <v>1450</v>
      </c>
      <c r="K790" s="186">
        <v>7560</v>
      </c>
      <c r="L790" s="187" t="s">
        <v>173</v>
      </c>
      <c r="M790" s="187" t="s">
        <v>175</v>
      </c>
    </row>
    <row r="791" spans="1:13" s="188" customFormat="1">
      <c r="A791" s="185" t="s">
        <v>1447</v>
      </c>
      <c r="B791" s="133" t="s">
        <v>3891</v>
      </c>
      <c r="C791" s="185" t="s">
        <v>3023</v>
      </c>
      <c r="D791" s="133" t="s">
        <v>2016</v>
      </c>
      <c r="E791" s="134">
        <v>1</v>
      </c>
      <c r="F791" s="135" t="s">
        <v>1449</v>
      </c>
      <c r="G791" s="185" t="s">
        <v>15</v>
      </c>
      <c r="H791" s="185" t="s">
        <v>15</v>
      </c>
      <c r="I791" s="185" t="s">
        <v>15</v>
      </c>
      <c r="J791" s="135" t="s">
        <v>1450</v>
      </c>
      <c r="K791" s="186">
        <v>3492</v>
      </c>
      <c r="L791" s="187" t="s">
        <v>173</v>
      </c>
      <c r="M791" s="187" t="s">
        <v>175</v>
      </c>
    </row>
    <row r="792" spans="1:13" s="188" customFormat="1">
      <c r="A792" s="185" t="s">
        <v>1447</v>
      </c>
      <c r="B792" s="133" t="s">
        <v>3892</v>
      </c>
      <c r="C792" s="185" t="s">
        <v>3023</v>
      </c>
      <c r="D792" s="133" t="s">
        <v>2016</v>
      </c>
      <c r="E792" s="134">
        <v>1</v>
      </c>
      <c r="F792" s="135" t="s">
        <v>1449</v>
      </c>
      <c r="G792" s="185" t="s">
        <v>15</v>
      </c>
      <c r="H792" s="185" t="s">
        <v>15</v>
      </c>
      <c r="I792" s="185" t="s">
        <v>15</v>
      </c>
      <c r="J792" s="135" t="s">
        <v>1450</v>
      </c>
      <c r="K792" s="186">
        <v>2592</v>
      </c>
      <c r="L792" s="187" t="s">
        <v>173</v>
      </c>
      <c r="M792" s="187" t="s">
        <v>175</v>
      </c>
    </row>
    <row r="793" spans="1:13" s="188" customFormat="1">
      <c r="A793" s="185" t="s">
        <v>1447</v>
      </c>
      <c r="B793" s="133" t="s">
        <v>3893</v>
      </c>
      <c r="C793" s="185" t="s">
        <v>3023</v>
      </c>
      <c r="D793" s="133" t="s">
        <v>2016</v>
      </c>
      <c r="E793" s="134">
        <v>1</v>
      </c>
      <c r="F793" s="135" t="s">
        <v>1449</v>
      </c>
      <c r="G793" s="185" t="s">
        <v>15</v>
      </c>
      <c r="H793" s="185" t="s">
        <v>15</v>
      </c>
      <c r="I793" s="185" t="s">
        <v>15</v>
      </c>
      <c r="J793" s="135" t="s">
        <v>1450</v>
      </c>
      <c r="K793" s="186">
        <v>1584</v>
      </c>
      <c r="L793" s="187" t="s">
        <v>173</v>
      </c>
      <c r="M793" s="187" t="s">
        <v>175</v>
      </c>
    </row>
    <row r="794" spans="1:13" s="188" customFormat="1">
      <c r="A794" s="185" t="s">
        <v>1447</v>
      </c>
      <c r="B794" s="133" t="s">
        <v>3894</v>
      </c>
      <c r="C794" s="185" t="s">
        <v>3023</v>
      </c>
      <c r="D794" s="133" t="s">
        <v>3895</v>
      </c>
      <c r="E794" s="134">
        <v>1</v>
      </c>
      <c r="F794" s="135" t="s">
        <v>1449</v>
      </c>
      <c r="G794" s="185" t="s">
        <v>15</v>
      </c>
      <c r="H794" s="185" t="s">
        <v>15</v>
      </c>
      <c r="I794" s="185" t="s">
        <v>15</v>
      </c>
      <c r="J794" s="135" t="s">
        <v>1450</v>
      </c>
      <c r="K794" s="186">
        <v>1740</v>
      </c>
      <c r="L794" s="187" t="s">
        <v>173</v>
      </c>
      <c r="M794" s="187" t="s">
        <v>175</v>
      </c>
    </row>
    <row r="795" spans="1:13" s="188" customFormat="1">
      <c r="A795" s="185" t="s">
        <v>1447</v>
      </c>
      <c r="B795" s="133" t="s">
        <v>3896</v>
      </c>
      <c r="C795" s="185" t="s">
        <v>3023</v>
      </c>
      <c r="D795" s="133" t="s">
        <v>3895</v>
      </c>
      <c r="E795" s="134">
        <v>1</v>
      </c>
      <c r="F795" s="135" t="s">
        <v>1449</v>
      </c>
      <c r="G795" s="185" t="s">
        <v>15</v>
      </c>
      <c r="H795" s="185" t="s">
        <v>15</v>
      </c>
      <c r="I795" s="185" t="s">
        <v>15</v>
      </c>
      <c r="J795" s="135" t="s">
        <v>1450</v>
      </c>
      <c r="K795" s="186">
        <v>1500</v>
      </c>
      <c r="L795" s="187" t="s">
        <v>173</v>
      </c>
      <c r="M795" s="187" t="s">
        <v>175</v>
      </c>
    </row>
    <row r="796" spans="1:13" s="188" customFormat="1">
      <c r="A796" s="185" t="s">
        <v>1447</v>
      </c>
      <c r="B796" s="133" t="s">
        <v>3897</v>
      </c>
      <c r="C796" s="185" t="s">
        <v>3023</v>
      </c>
      <c r="D796" s="133" t="s">
        <v>3895</v>
      </c>
      <c r="E796" s="134">
        <v>1</v>
      </c>
      <c r="F796" s="135" t="s">
        <v>1449</v>
      </c>
      <c r="G796" s="185" t="s">
        <v>15</v>
      </c>
      <c r="H796" s="185" t="s">
        <v>15</v>
      </c>
      <c r="I796" s="185" t="s">
        <v>15</v>
      </c>
      <c r="J796" s="135" t="s">
        <v>1450</v>
      </c>
      <c r="K796" s="186">
        <v>1248</v>
      </c>
      <c r="L796" s="187" t="s">
        <v>173</v>
      </c>
      <c r="M796" s="187" t="s">
        <v>175</v>
      </c>
    </row>
    <row r="797" spans="1:13" s="188" customFormat="1">
      <c r="A797" s="185" t="s">
        <v>1447</v>
      </c>
      <c r="B797" s="133" t="s">
        <v>3898</v>
      </c>
      <c r="C797" s="185" t="s">
        <v>3023</v>
      </c>
      <c r="D797" s="133" t="s">
        <v>3895</v>
      </c>
      <c r="E797" s="134">
        <v>1</v>
      </c>
      <c r="F797" s="135" t="s">
        <v>1449</v>
      </c>
      <c r="G797" s="185" t="s">
        <v>15</v>
      </c>
      <c r="H797" s="185" t="s">
        <v>15</v>
      </c>
      <c r="I797" s="185" t="s">
        <v>15</v>
      </c>
      <c r="J797" s="135" t="s">
        <v>1450</v>
      </c>
      <c r="K797" s="186">
        <v>996</v>
      </c>
      <c r="L797" s="187" t="s">
        <v>173</v>
      </c>
      <c r="M797" s="187" t="s">
        <v>175</v>
      </c>
    </row>
    <row r="798" spans="1:13" s="188" customFormat="1">
      <c r="A798" s="185" t="s">
        <v>1447</v>
      </c>
      <c r="B798" s="133" t="s">
        <v>3899</v>
      </c>
      <c r="C798" s="185" t="s">
        <v>3023</v>
      </c>
      <c r="D798" s="133" t="s">
        <v>3895</v>
      </c>
      <c r="E798" s="134">
        <v>1</v>
      </c>
      <c r="F798" s="135" t="s">
        <v>1449</v>
      </c>
      <c r="G798" s="185" t="s">
        <v>15</v>
      </c>
      <c r="H798" s="185" t="s">
        <v>15</v>
      </c>
      <c r="I798" s="185" t="s">
        <v>15</v>
      </c>
      <c r="J798" s="135" t="s">
        <v>1450</v>
      </c>
      <c r="K798" s="186">
        <v>624</v>
      </c>
      <c r="L798" s="187" t="s">
        <v>173</v>
      </c>
      <c r="M798" s="187" t="s">
        <v>175</v>
      </c>
    </row>
    <row r="799" spans="1:13" s="188" customFormat="1">
      <c r="A799" s="185" t="s">
        <v>1447</v>
      </c>
      <c r="B799" s="133" t="s">
        <v>3900</v>
      </c>
      <c r="C799" s="185" t="s">
        <v>3023</v>
      </c>
      <c r="D799" s="133" t="s">
        <v>3895</v>
      </c>
      <c r="E799" s="134">
        <v>1</v>
      </c>
      <c r="F799" s="135" t="s">
        <v>1449</v>
      </c>
      <c r="G799" s="185" t="s">
        <v>15</v>
      </c>
      <c r="H799" s="185" t="s">
        <v>15</v>
      </c>
      <c r="I799" s="185" t="s">
        <v>15</v>
      </c>
      <c r="J799" s="135" t="s">
        <v>1450</v>
      </c>
      <c r="K799" s="186">
        <v>396</v>
      </c>
      <c r="L799" s="187" t="s">
        <v>173</v>
      </c>
      <c r="M799" s="187" t="s">
        <v>175</v>
      </c>
    </row>
    <row r="800" spans="1:13" s="188" customFormat="1">
      <c r="A800" s="185" t="s">
        <v>1447</v>
      </c>
      <c r="B800" s="133" t="s">
        <v>3901</v>
      </c>
      <c r="C800" s="185" t="s">
        <v>3023</v>
      </c>
      <c r="D800" s="133" t="s">
        <v>3902</v>
      </c>
      <c r="E800" s="134">
        <v>1</v>
      </c>
      <c r="F800" s="135" t="s">
        <v>1449</v>
      </c>
      <c r="G800" s="185" t="s">
        <v>15</v>
      </c>
      <c r="H800" s="185" t="s">
        <v>15</v>
      </c>
      <c r="I800" s="185" t="s">
        <v>15</v>
      </c>
      <c r="J800" s="135" t="s">
        <v>1450</v>
      </c>
      <c r="K800" s="186">
        <v>252</v>
      </c>
      <c r="L800" s="187" t="s">
        <v>173</v>
      </c>
      <c r="M800" s="187" t="s">
        <v>175</v>
      </c>
    </row>
    <row r="801" spans="1:13" s="188" customFormat="1">
      <c r="A801" s="185" t="s">
        <v>1447</v>
      </c>
      <c r="B801" s="133" t="s">
        <v>3903</v>
      </c>
      <c r="C801" s="185" t="s">
        <v>3023</v>
      </c>
      <c r="D801" s="133" t="s">
        <v>3902</v>
      </c>
      <c r="E801" s="134">
        <v>1</v>
      </c>
      <c r="F801" s="135" t="s">
        <v>1449</v>
      </c>
      <c r="G801" s="185" t="s">
        <v>15</v>
      </c>
      <c r="H801" s="185" t="s">
        <v>15</v>
      </c>
      <c r="I801" s="185" t="s">
        <v>15</v>
      </c>
      <c r="J801" s="135" t="s">
        <v>1450</v>
      </c>
      <c r="K801" s="186">
        <v>216</v>
      </c>
      <c r="L801" s="187" t="s">
        <v>173</v>
      </c>
      <c r="M801" s="187" t="s">
        <v>175</v>
      </c>
    </row>
    <row r="802" spans="1:13" s="188" customFormat="1">
      <c r="A802" s="185" t="s">
        <v>1447</v>
      </c>
      <c r="B802" s="133" t="s">
        <v>3904</v>
      </c>
      <c r="C802" s="185" t="s">
        <v>3023</v>
      </c>
      <c r="D802" s="133" t="s">
        <v>3902</v>
      </c>
      <c r="E802" s="134">
        <v>1</v>
      </c>
      <c r="F802" s="135" t="s">
        <v>1449</v>
      </c>
      <c r="G802" s="185" t="s">
        <v>15</v>
      </c>
      <c r="H802" s="185" t="s">
        <v>15</v>
      </c>
      <c r="I802" s="185" t="s">
        <v>15</v>
      </c>
      <c r="J802" s="135" t="s">
        <v>1450</v>
      </c>
      <c r="K802" s="186">
        <v>192</v>
      </c>
      <c r="L802" s="187" t="s">
        <v>173</v>
      </c>
      <c r="M802" s="187" t="s">
        <v>175</v>
      </c>
    </row>
    <row r="803" spans="1:13" s="188" customFormat="1">
      <c r="A803" s="185" t="s">
        <v>1447</v>
      </c>
      <c r="B803" s="133" t="s">
        <v>3905</v>
      </c>
      <c r="C803" s="185" t="s">
        <v>3023</v>
      </c>
      <c r="D803" s="133" t="s">
        <v>3902</v>
      </c>
      <c r="E803" s="134">
        <v>1</v>
      </c>
      <c r="F803" s="135" t="s">
        <v>1449</v>
      </c>
      <c r="G803" s="185" t="s">
        <v>15</v>
      </c>
      <c r="H803" s="185" t="s">
        <v>15</v>
      </c>
      <c r="I803" s="185" t="s">
        <v>15</v>
      </c>
      <c r="J803" s="135" t="s">
        <v>1450</v>
      </c>
      <c r="K803" s="186">
        <v>156</v>
      </c>
      <c r="L803" s="187" t="s">
        <v>173</v>
      </c>
      <c r="M803" s="187" t="s">
        <v>175</v>
      </c>
    </row>
    <row r="804" spans="1:13" s="188" customFormat="1">
      <c r="A804" s="185" t="s">
        <v>1447</v>
      </c>
      <c r="B804" s="133" t="s">
        <v>3906</v>
      </c>
      <c r="C804" s="185" t="s">
        <v>3023</v>
      </c>
      <c r="D804" s="133" t="s">
        <v>3902</v>
      </c>
      <c r="E804" s="134">
        <v>1</v>
      </c>
      <c r="F804" s="135" t="s">
        <v>1449</v>
      </c>
      <c r="G804" s="185" t="s">
        <v>15</v>
      </c>
      <c r="H804" s="185" t="s">
        <v>15</v>
      </c>
      <c r="I804" s="185" t="s">
        <v>15</v>
      </c>
      <c r="J804" s="135" t="s">
        <v>1450</v>
      </c>
      <c r="K804" s="186">
        <v>132</v>
      </c>
      <c r="L804" s="187" t="s">
        <v>173</v>
      </c>
      <c r="M804" s="187" t="s">
        <v>175</v>
      </c>
    </row>
    <row r="805" spans="1:13" s="188" customFormat="1">
      <c r="A805" s="185" t="s">
        <v>1447</v>
      </c>
      <c r="B805" s="133" t="s">
        <v>3907</v>
      </c>
      <c r="C805" s="185" t="s">
        <v>3023</v>
      </c>
      <c r="D805" s="133" t="s">
        <v>3902</v>
      </c>
      <c r="E805" s="134">
        <v>1</v>
      </c>
      <c r="F805" s="135" t="s">
        <v>1449</v>
      </c>
      <c r="G805" s="185" t="s">
        <v>15</v>
      </c>
      <c r="H805" s="185" t="s">
        <v>15</v>
      </c>
      <c r="I805" s="185" t="s">
        <v>15</v>
      </c>
      <c r="J805" s="135" t="s">
        <v>1450</v>
      </c>
      <c r="K805" s="186">
        <v>118.32</v>
      </c>
      <c r="L805" s="187" t="s">
        <v>173</v>
      </c>
      <c r="M805" s="187" t="s">
        <v>175</v>
      </c>
    </row>
    <row r="806" spans="1:13" s="188" customFormat="1">
      <c r="A806" s="185" t="s">
        <v>1447</v>
      </c>
      <c r="B806" s="133" t="s">
        <v>3908</v>
      </c>
      <c r="C806" s="185" t="s">
        <v>3023</v>
      </c>
      <c r="D806" s="133" t="s">
        <v>3909</v>
      </c>
      <c r="E806" s="134">
        <v>1</v>
      </c>
      <c r="F806" s="135" t="s">
        <v>1449</v>
      </c>
      <c r="G806" s="185" t="s">
        <v>15</v>
      </c>
      <c r="H806" s="185" t="s">
        <v>15</v>
      </c>
      <c r="I806" s="185" t="s">
        <v>15</v>
      </c>
      <c r="J806" s="135" t="s">
        <v>1450</v>
      </c>
      <c r="K806" s="186">
        <v>372</v>
      </c>
      <c r="L806" s="187" t="s">
        <v>173</v>
      </c>
      <c r="M806" s="187" t="s">
        <v>175</v>
      </c>
    </row>
    <row r="807" spans="1:13" s="188" customFormat="1">
      <c r="A807" s="185" t="s">
        <v>1447</v>
      </c>
      <c r="B807" s="133" t="s">
        <v>3910</v>
      </c>
      <c r="C807" s="185" t="s">
        <v>3023</v>
      </c>
      <c r="D807" s="133" t="s">
        <v>3909</v>
      </c>
      <c r="E807" s="134">
        <v>1</v>
      </c>
      <c r="F807" s="135" t="s">
        <v>1449</v>
      </c>
      <c r="G807" s="185" t="s">
        <v>15</v>
      </c>
      <c r="H807" s="185" t="s">
        <v>15</v>
      </c>
      <c r="I807" s="185" t="s">
        <v>15</v>
      </c>
      <c r="J807" s="135" t="s">
        <v>1450</v>
      </c>
      <c r="K807" s="186">
        <v>312</v>
      </c>
      <c r="L807" s="187" t="s">
        <v>173</v>
      </c>
      <c r="M807" s="187" t="s">
        <v>175</v>
      </c>
    </row>
    <row r="808" spans="1:13" s="188" customFormat="1">
      <c r="A808" s="185" t="s">
        <v>1447</v>
      </c>
      <c r="B808" s="133" t="s">
        <v>3911</v>
      </c>
      <c r="C808" s="185" t="s">
        <v>3023</v>
      </c>
      <c r="D808" s="133" t="s">
        <v>3909</v>
      </c>
      <c r="E808" s="134">
        <v>1</v>
      </c>
      <c r="F808" s="135" t="s">
        <v>1449</v>
      </c>
      <c r="G808" s="185" t="s">
        <v>15</v>
      </c>
      <c r="H808" s="185" t="s">
        <v>15</v>
      </c>
      <c r="I808" s="185" t="s">
        <v>15</v>
      </c>
      <c r="J808" s="135" t="s">
        <v>1450</v>
      </c>
      <c r="K808" s="186">
        <v>252</v>
      </c>
      <c r="L808" s="187" t="s">
        <v>173</v>
      </c>
      <c r="M808" s="187" t="s">
        <v>175</v>
      </c>
    </row>
    <row r="809" spans="1:13" s="188" customFormat="1">
      <c r="A809" s="185" t="s">
        <v>1447</v>
      </c>
      <c r="B809" s="133" t="s">
        <v>3912</v>
      </c>
      <c r="C809" s="185" t="s">
        <v>3023</v>
      </c>
      <c r="D809" s="133" t="s">
        <v>3909</v>
      </c>
      <c r="E809" s="134">
        <v>1</v>
      </c>
      <c r="F809" s="135" t="s">
        <v>1449</v>
      </c>
      <c r="G809" s="185" t="s">
        <v>15</v>
      </c>
      <c r="H809" s="185" t="s">
        <v>15</v>
      </c>
      <c r="I809" s="185" t="s">
        <v>15</v>
      </c>
      <c r="J809" s="135" t="s">
        <v>1450</v>
      </c>
      <c r="K809" s="186">
        <v>204</v>
      </c>
      <c r="L809" s="187" t="s">
        <v>173</v>
      </c>
      <c r="M809" s="187" t="s">
        <v>175</v>
      </c>
    </row>
    <row r="810" spans="1:13" s="188" customFormat="1">
      <c r="A810" s="185" t="s">
        <v>1447</v>
      </c>
      <c r="B810" s="133" t="s">
        <v>3913</v>
      </c>
      <c r="C810" s="185" t="s">
        <v>3023</v>
      </c>
      <c r="D810" s="133" t="s">
        <v>3909</v>
      </c>
      <c r="E810" s="134">
        <v>1</v>
      </c>
      <c r="F810" s="135" t="s">
        <v>1449</v>
      </c>
      <c r="G810" s="185" t="s">
        <v>15</v>
      </c>
      <c r="H810" s="185" t="s">
        <v>15</v>
      </c>
      <c r="I810" s="185" t="s">
        <v>15</v>
      </c>
      <c r="J810" s="135" t="s">
        <v>1450</v>
      </c>
      <c r="K810" s="186">
        <v>156</v>
      </c>
      <c r="L810" s="187" t="s">
        <v>173</v>
      </c>
      <c r="M810" s="187" t="s">
        <v>175</v>
      </c>
    </row>
    <row r="811" spans="1:13" s="188" customFormat="1">
      <c r="A811" s="185" t="s">
        <v>1447</v>
      </c>
      <c r="B811" s="133" t="s">
        <v>3914</v>
      </c>
      <c r="C811" s="185" t="s">
        <v>3023</v>
      </c>
      <c r="D811" s="133" t="s">
        <v>3909</v>
      </c>
      <c r="E811" s="134">
        <v>1</v>
      </c>
      <c r="F811" s="135" t="s">
        <v>1449</v>
      </c>
      <c r="G811" s="185" t="s">
        <v>15</v>
      </c>
      <c r="H811" s="185" t="s">
        <v>15</v>
      </c>
      <c r="I811" s="185" t="s">
        <v>15</v>
      </c>
      <c r="J811" s="135" t="s">
        <v>1450</v>
      </c>
      <c r="K811" s="186">
        <v>120</v>
      </c>
      <c r="L811" s="187" t="s">
        <v>173</v>
      </c>
      <c r="M811" s="187" t="s">
        <v>175</v>
      </c>
    </row>
    <row r="812" spans="1:13" s="188" customFormat="1">
      <c r="A812" s="185" t="s">
        <v>1447</v>
      </c>
      <c r="B812" s="133" t="s">
        <v>3915</v>
      </c>
      <c r="C812" s="185" t="s">
        <v>3023</v>
      </c>
      <c r="D812" s="133" t="s">
        <v>3916</v>
      </c>
      <c r="E812" s="134">
        <v>1</v>
      </c>
      <c r="F812" s="135" t="s">
        <v>1449</v>
      </c>
      <c r="G812" s="185" t="s">
        <v>15</v>
      </c>
      <c r="H812" s="185" t="s">
        <v>15</v>
      </c>
      <c r="I812" s="185" t="s">
        <v>15</v>
      </c>
      <c r="J812" s="135" t="s">
        <v>1450</v>
      </c>
      <c r="K812" s="186">
        <v>140076</v>
      </c>
      <c r="L812" s="187" t="s">
        <v>173</v>
      </c>
      <c r="M812" s="187" t="s">
        <v>175</v>
      </c>
    </row>
    <row r="813" spans="1:13" s="188" customFormat="1">
      <c r="A813" s="185" t="s">
        <v>1447</v>
      </c>
      <c r="B813" s="133" t="s">
        <v>3917</v>
      </c>
      <c r="C813" s="185" t="s">
        <v>3023</v>
      </c>
      <c r="D813" s="133" t="s">
        <v>3916</v>
      </c>
      <c r="E813" s="134">
        <v>1</v>
      </c>
      <c r="F813" s="135" t="s">
        <v>1449</v>
      </c>
      <c r="G813" s="185" t="s">
        <v>15</v>
      </c>
      <c r="H813" s="185" t="s">
        <v>15</v>
      </c>
      <c r="I813" s="185" t="s">
        <v>15</v>
      </c>
      <c r="J813" s="135" t="s">
        <v>1450</v>
      </c>
      <c r="K813" s="186">
        <v>123528</v>
      </c>
      <c r="L813" s="187" t="s">
        <v>173</v>
      </c>
      <c r="M813" s="187" t="s">
        <v>175</v>
      </c>
    </row>
    <row r="814" spans="1:13" s="188" customFormat="1">
      <c r="A814" s="185" t="s">
        <v>1447</v>
      </c>
      <c r="B814" s="133" t="s">
        <v>3918</v>
      </c>
      <c r="C814" s="185" t="s">
        <v>3023</v>
      </c>
      <c r="D814" s="133" t="s">
        <v>3916</v>
      </c>
      <c r="E814" s="134">
        <v>1</v>
      </c>
      <c r="F814" s="135" t="s">
        <v>1449</v>
      </c>
      <c r="G814" s="185" t="s">
        <v>15</v>
      </c>
      <c r="H814" s="185" t="s">
        <v>15</v>
      </c>
      <c r="I814" s="185" t="s">
        <v>15</v>
      </c>
      <c r="J814" s="135" t="s">
        <v>1450</v>
      </c>
      <c r="K814" s="186">
        <v>113232</v>
      </c>
      <c r="L814" s="187" t="s">
        <v>173</v>
      </c>
      <c r="M814" s="187" t="s">
        <v>175</v>
      </c>
    </row>
    <row r="815" spans="1:13" s="188" customFormat="1">
      <c r="A815" s="185" t="s">
        <v>1447</v>
      </c>
      <c r="B815" s="133" t="s">
        <v>3919</v>
      </c>
      <c r="C815" s="185" t="s">
        <v>3023</v>
      </c>
      <c r="D815" s="133" t="s">
        <v>3916</v>
      </c>
      <c r="E815" s="134">
        <v>1</v>
      </c>
      <c r="F815" s="135" t="s">
        <v>1449</v>
      </c>
      <c r="G815" s="185" t="s">
        <v>15</v>
      </c>
      <c r="H815" s="185" t="s">
        <v>15</v>
      </c>
      <c r="I815" s="185" t="s">
        <v>15</v>
      </c>
      <c r="J815" s="135" t="s">
        <v>1450</v>
      </c>
      <c r="K815" s="186">
        <v>102384</v>
      </c>
      <c r="L815" s="187" t="s">
        <v>173</v>
      </c>
      <c r="M815" s="187" t="s">
        <v>175</v>
      </c>
    </row>
    <row r="816" spans="1:13" s="188" customFormat="1">
      <c r="A816" s="185" t="s">
        <v>1447</v>
      </c>
      <c r="B816" s="133" t="s">
        <v>3920</v>
      </c>
      <c r="C816" s="185" t="s">
        <v>3023</v>
      </c>
      <c r="D816" s="133" t="s">
        <v>3916</v>
      </c>
      <c r="E816" s="134">
        <v>1</v>
      </c>
      <c r="F816" s="135" t="s">
        <v>1449</v>
      </c>
      <c r="G816" s="185" t="s">
        <v>15</v>
      </c>
      <c r="H816" s="185" t="s">
        <v>15</v>
      </c>
      <c r="I816" s="185" t="s">
        <v>15</v>
      </c>
      <c r="J816" s="135" t="s">
        <v>1450</v>
      </c>
      <c r="K816" s="186">
        <v>90408</v>
      </c>
      <c r="L816" s="187" t="s">
        <v>173</v>
      </c>
      <c r="M816" s="187" t="s">
        <v>175</v>
      </c>
    </row>
    <row r="817" spans="1:13" s="188" customFormat="1">
      <c r="A817" s="185" t="s">
        <v>1447</v>
      </c>
      <c r="B817" s="133" t="s">
        <v>3921</v>
      </c>
      <c r="C817" s="185" t="s">
        <v>3023</v>
      </c>
      <c r="D817" s="133" t="s">
        <v>3916</v>
      </c>
      <c r="E817" s="134">
        <v>1</v>
      </c>
      <c r="F817" s="135" t="s">
        <v>1449</v>
      </c>
      <c r="G817" s="185" t="s">
        <v>15</v>
      </c>
      <c r="H817" s="185" t="s">
        <v>15</v>
      </c>
      <c r="I817" s="185" t="s">
        <v>15</v>
      </c>
      <c r="J817" s="135" t="s">
        <v>1450</v>
      </c>
      <c r="K817" s="186">
        <v>71868</v>
      </c>
      <c r="L817" s="187" t="s">
        <v>173</v>
      </c>
      <c r="M817" s="187" t="s">
        <v>175</v>
      </c>
    </row>
    <row r="818" spans="1:13" s="188" customFormat="1">
      <c r="A818" s="185" t="s">
        <v>1447</v>
      </c>
      <c r="B818" s="133" t="s">
        <v>3922</v>
      </c>
      <c r="C818" s="185" t="s">
        <v>3023</v>
      </c>
      <c r="D818" s="133" t="s">
        <v>3923</v>
      </c>
      <c r="E818" s="134">
        <v>1</v>
      </c>
      <c r="F818" s="135" t="s">
        <v>1449</v>
      </c>
      <c r="G818" s="185" t="s">
        <v>15</v>
      </c>
      <c r="H818" s="185" t="s">
        <v>15</v>
      </c>
      <c r="I818" s="185" t="s">
        <v>15</v>
      </c>
      <c r="J818" s="135" t="s">
        <v>1450</v>
      </c>
      <c r="K818" s="186">
        <v>94164</v>
      </c>
      <c r="L818" s="187" t="s">
        <v>173</v>
      </c>
      <c r="M818" s="187" t="s">
        <v>175</v>
      </c>
    </row>
    <row r="819" spans="1:13" s="188" customFormat="1">
      <c r="A819" s="185" t="s">
        <v>1447</v>
      </c>
      <c r="B819" s="133" t="s">
        <v>3924</v>
      </c>
      <c r="C819" s="185" t="s">
        <v>3023</v>
      </c>
      <c r="D819" s="133" t="s">
        <v>3923</v>
      </c>
      <c r="E819" s="134">
        <v>1</v>
      </c>
      <c r="F819" s="135" t="s">
        <v>1449</v>
      </c>
      <c r="G819" s="185" t="s">
        <v>15</v>
      </c>
      <c r="H819" s="185" t="s">
        <v>15</v>
      </c>
      <c r="I819" s="185" t="s">
        <v>15</v>
      </c>
      <c r="J819" s="135" t="s">
        <v>1450</v>
      </c>
      <c r="K819" s="186">
        <v>81480</v>
      </c>
      <c r="L819" s="187" t="s">
        <v>173</v>
      </c>
      <c r="M819" s="187" t="s">
        <v>175</v>
      </c>
    </row>
    <row r="820" spans="1:13" s="188" customFormat="1">
      <c r="A820" s="185" t="s">
        <v>1447</v>
      </c>
      <c r="B820" s="133" t="s">
        <v>3925</v>
      </c>
      <c r="C820" s="185" t="s">
        <v>3023</v>
      </c>
      <c r="D820" s="133" t="s">
        <v>3923</v>
      </c>
      <c r="E820" s="134">
        <v>1</v>
      </c>
      <c r="F820" s="135" t="s">
        <v>1449</v>
      </c>
      <c r="G820" s="185" t="s">
        <v>15</v>
      </c>
      <c r="H820" s="185" t="s">
        <v>15</v>
      </c>
      <c r="I820" s="185" t="s">
        <v>15</v>
      </c>
      <c r="J820" s="135" t="s">
        <v>1450</v>
      </c>
      <c r="K820" s="186">
        <v>68424</v>
      </c>
      <c r="L820" s="187" t="s">
        <v>173</v>
      </c>
      <c r="M820" s="187" t="s">
        <v>175</v>
      </c>
    </row>
    <row r="821" spans="1:13" s="188" customFormat="1">
      <c r="A821" s="185" t="s">
        <v>1447</v>
      </c>
      <c r="B821" s="133" t="s">
        <v>3926</v>
      </c>
      <c r="C821" s="185" t="s">
        <v>3023</v>
      </c>
      <c r="D821" s="133" t="s">
        <v>3927</v>
      </c>
      <c r="E821" s="134">
        <v>1</v>
      </c>
      <c r="F821" s="135" t="s">
        <v>1449</v>
      </c>
      <c r="G821" s="185" t="s">
        <v>15</v>
      </c>
      <c r="H821" s="185" t="s">
        <v>15</v>
      </c>
      <c r="I821" s="185" t="s">
        <v>15</v>
      </c>
      <c r="J821" s="135" t="s">
        <v>1450</v>
      </c>
      <c r="K821" s="186">
        <v>89700</v>
      </c>
      <c r="L821" s="187" t="s">
        <v>173</v>
      </c>
      <c r="M821" s="187" t="s">
        <v>175</v>
      </c>
    </row>
    <row r="822" spans="1:13" s="188" customFormat="1">
      <c r="A822" s="185" t="s">
        <v>1447</v>
      </c>
      <c r="B822" s="133" t="s">
        <v>3928</v>
      </c>
      <c r="C822" s="185" t="s">
        <v>3023</v>
      </c>
      <c r="D822" s="133" t="s">
        <v>3927</v>
      </c>
      <c r="E822" s="134">
        <v>1</v>
      </c>
      <c r="F822" s="135" t="s">
        <v>1449</v>
      </c>
      <c r="G822" s="185" t="s">
        <v>15</v>
      </c>
      <c r="H822" s="185" t="s">
        <v>15</v>
      </c>
      <c r="I822" s="185" t="s">
        <v>15</v>
      </c>
      <c r="J822" s="135" t="s">
        <v>1450</v>
      </c>
      <c r="K822" s="186">
        <v>81924</v>
      </c>
      <c r="L822" s="187" t="s">
        <v>173</v>
      </c>
      <c r="M822" s="187" t="s">
        <v>175</v>
      </c>
    </row>
    <row r="823" spans="1:13" s="188" customFormat="1">
      <c r="A823" s="185" t="s">
        <v>1447</v>
      </c>
      <c r="B823" s="133" t="s">
        <v>3929</v>
      </c>
      <c r="C823" s="185" t="s">
        <v>3023</v>
      </c>
      <c r="D823" s="133" t="s">
        <v>3927</v>
      </c>
      <c r="E823" s="134">
        <v>1</v>
      </c>
      <c r="F823" s="135" t="s">
        <v>1449</v>
      </c>
      <c r="G823" s="185" t="s">
        <v>15</v>
      </c>
      <c r="H823" s="185" t="s">
        <v>15</v>
      </c>
      <c r="I823" s="185" t="s">
        <v>15</v>
      </c>
      <c r="J823" s="135" t="s">
        <v>1450</v>
      </c>
      <c r="K823" s="186">
        <v>68424</v>
      </c>
      <c r="L823" s="187" t="s">
        <v>173</v>
      </c>
      <c r="M823" s="187" t="s">
        <v>175</v>
      </c>
    </row>
    <row r="824" spans="1:13" s="188" customFormat="1">
      <c r="A824" s="185" t="s">
        <v>1447</v>
      </c>
      <c r="B824" s="133" t="s">
        <v>3930</v>
      </c>
      <c r="C824" s="185" t="s">
        <v>3023</v>
      </c>
      <c r="D824" s="133" t="s">
        <v>2017</v>
      </c>
      <c r="E824" s="134">
        <v>1</v>
      </c>
      <c r="F824" s="135" t="s">
        <v>1449</v>
      </c>
      <c r="G824" s="185" t="s">
        <v>15</v>
      </c>
      <c r="H824" s="185" t="s">
        <v>15</v>
      </c>
      <c r="I824" s="185" t="s">
        <v>15</v>
      </c>
      <c r="J824" s="135" t="s">
        <v>1450</v>
      </c>
      <c r="K824" s="186">
        <v>23916</v>
      </c>
      <c r="L824" s="187" t="s">
        <v>173</v>
      </c>
      <c r="M824" s="187" t="s">
        <v>175</v>
      </c>
    </row>
    <row r="825" spans="1:13" s="188" customFormat="1">
      <c r="A825" s="185" t="s">
        <v>1447</v>
      </c>
      <c r="B825" s="133" t="s">
        <v>3931</v>
      </c>
      <c r="C825" s="185" t="s">
        <v>3023</v>
      </c>
      <c r="D825" s="133" t="s">
        <v>2017</v>
      </c>
      <c r="E825" s="134">
        <v>1</v>
      </c>
      <c r="F825" s="135" t="s">
        <v>1449</v>
      </c>
      <c r="G825" s="185" t="s">
        <v>15</v>
      </c>
      <c r="H825" s="185" t="s">
        <v>15</v>
      </c>
      <c r="I825" s="185" t="s">
        <v>15</v>
      </c>
      <c r="J825" s="135" t="s">
        <v>1450</v>
      </c>
      <c r="K825" s="186">
        <v>14136</v>
      </c>
      <c r="L825" s="187" t="s">
        <v>173</v>
      </c>
      <c r="M825" s="187" t="s">
        <v>175</v>
      </c>
    </row>
    <row r="826" spans="1:13" s="188" customFormat="1">
      <c r="A826" s="185" t="s">
        <v>1447</v>
      </c>
      <c r="B826" s="133" t="s">
        <v>3932</v>
      </c>
      <c r="C826" s="185" t="s">
        <v>3023</v>
      </c>
      <c r="D826" s="133" t="s">
        <v>2017</v>
      </c>
      <c r="E826" s="134">
        <v>1</v>
      </c>
      <c r="F826" s="135" t="s">
        <v>1449</v>
      </c>
      <c r="G826" s="185" t="s">
        <v>15</v>
      </c>
      <c r="H826" s="185" t="s">
        <v>15</v>
      </c>
      <c r="I826" s="185" t="s">
        <v>15</v>
      </c>
      <c r="J826" s="135" t="s">
        <v>1450</v>
      </c>
      <c r="K826" s="186">
        <v>12888</v>
      </c>
      <c r="L826" s="187" t="s">
        <v>173</v>
      </c>
      <c r="M826" s="187" t="s">
        <v>175</v>
      </c>
    </row>
    <row r="827" spans="1:13" s="188" customFormat="1">
      <c r="A827" s="185" t="s">
        <v>1447</v>
      </c>
      <c r="B827" s="133" t="s">
        <v>3933</v>
      </c>
      <c r="C827" s="185" t="s">
        <v>3023</v>
      </c>
      <c r="D827" s="133" t="s">
        <v>2021</v>
      </c>
      <c r="E827" s="134">
        <v>1</v>
      </c>
      <c r="F827" s="135" t="s">
        <v>1449</v>
      </c>
      <c r="G827" s="185" t="s">
        <v>15</v>
      </c>
      <c r="H827" s="185" t="s">
        <v>15</v>
      </c>
      <c r="I827" s="185" t="s">
        <v>15</v>
      </c>
      <c r="J827" s="135" t="s">
        <v>1450</v>
      </c>
      <c r="K827" s="186">
        <v>20544</v>
      </c>
      <c r="L827" s="187" t="s">
        <v>173</v>
      </c>
      <c r="M827" s="187" t="s">
        <v>175</v>
      </c>
    </row>
    <row r="828" spans="1:13" s="188" customFormat="1">
      <c r="A828" s="185" t="s">
        <v>1447</v>
      </c>
      <c r="B828" s="133" t="s">
        <v>3934</v>
      </c>
      <c r="C828" s="185" t="s">
        <v>3023</v>
      </c>
      <c r="D828" s="133" t="s">
        <v>2021</v>
      </c>
      <c r="E828" s="134">
        <v>1</v>
      </c>
      <c r="F828" s="135" t="s">
        <v>1449</v>
      </c>
      <c r="G828" s="185" t="s">
        <v>15</v>
      </c>
      <c r="H828" s="185" t="s">
        <v>15</v>
      </c>
      <c r="I828" s="185" t="s">
        <v>15</v>
      </c>
      <c r="J828" s="135" t="s">
        <v>1450</v>
      </c>
      <c r="K828" s="186">
        <v>12492</v>
      </c>
      <c r="L828" s="187" t="s">
        <v>173</v>
      </c>
      <c r="M828" s="187" t="s">
        <v>175</v>
      </c>
    </row>
    <row r="829" spans="1:13" s="188" customFormat="1">
      <c r="A829" s="185" t="s">
        <v>1447</v>
      </c>
      <c r="B829" s="133" t="s">
        <v>3935</v>
      </c>
      <c r="C829" s="185" t="s">
        <v>3023</v>
      </c>
      <c r="D829" s="133" t="s">
        <v>2021</v>
      </c>
      <c r="E829" s="134">
        <v>1</v>
      </c>
      <c r="F829" s="135" t="s">
        <v>1449</v>
      </c>
      <c r="G829" s="185" t="s">
        <v>15</v>
      </c>
      <c r="H829" s="185" t="s">
        <v>15</v>
      </c>
      <c r="I829" s="185" t="s">
        <v>15</v>
      </c>
      <c r="J829" s="135" t="s">
        <v>1450</v>
      </c>
      <c r="K829" s="186">
        <v>10164</v>
      </c>
      <c r="L829" s="187" t="s">
        <v>173</v>
      </c>
      <c r="M829" s="187" t="s">
        <v>175</v>
      </c>
    </row>
    <row r="830" spans="1:13" s="188" customFormat="1">
      <c r="A830" s="185" t="s">
        <v>1447</v>
      </c>
      <c r="B830" s="133" t="s">
        <v>3936</v>
      </c>
      <c r="C830" s="185" t="s">
        <v>3023</v>
      </c>
      <c r="D830" s="133" t="s">
        <v>2019</v>
      </c>
      <c r="E830" s="134">
        <v>1</v>
      </c>
      <c r="F830" s="135" t="s">
        <v>1449</v>
      </c>
      <c r="G830" s="185" t="s">
        <v>15</v>
      </c>
      <c r="H830" s="185" t="s">
        <v>15</v>
      </c>
      <c r="I830" s="185" t="s">
        <v>15</v>
      </c>
      <c r="J830" s="135" t="s">
        <v>1450</v>
      </c>
      <c r="K830" s="186">
        <v>13140</v>
      </c>
      <c r="L830" s="187" t="s">
        <v>173</v>
      </c>
      <c r="M830" s="187" t="s">
        <v>175</v>
      </c>
    </row>
    <row r="831" spans="1:13" s="188" customFormat="1">
      <c r="A831" s="185" t="s">
        <v>1447</v>
      </c>
      <c r="B831" s="133" t="s">
        <v>3937</v>
      </c>
      <c r="C831" s="185" t="s">
        <v>3023</v>
      </c>
      <c r="D831" s="133" t="s">
        <v>2019</v>
      </c>
      <c r="E831" s="134">
        <v>1</v>
      </c>
      <c r="F831" s="135" t="s">
        <v>1449</v>
      </c>
      <c r="G831" s="185" t="s">
        <v>15</v>
      </c>
      <c r="H831" s="185" t="s">
        <v>15</v>
      </c>
      <c r="I831" s="185" t="s">
        <v>15</v>
      </c>
      <c r="J831" s="135" t="s">
        <v>1450</v>
      </c>
      <c r="K831" s="186">
        <v>8424</v>
      </c>
      <c r="L831" s="187" t="s">
        <v>173</v>
      </c>
      <c r="M831" s="187" t="s">
        <v>175</v>
      </c>
    </row>
    <row r="832" spans="1:13" s="188" customFormat="1">
      <c r="A832" s="185" t="s">
        <v>1447</v>
      </c>
      <c r="B832" s="133" t="s">
        <v>3938</v>
      </c>
      <c r="C832" s="185" t="s">
        <v>3023</v>
      </c>
      <c r="D832" s="133" t="s">
        <v>2019</v>
      </c>
      <c r="E832" s="134">
        <v>1</v>
      </c>
      <c r="F832" s="135" t="s">
        <v>1449</v>
      </c>
      <c r="G832" s="185" t="s">
        <v>15</v>
      </c>
      <c r="H832" s="185" t="s">
        <v>15</v>
      </c>
      <c r="I832" s="185" t="s">
        <v>15</v>
      </c>
      <c r="J832" s="135" t="s">
        <v>1450</v>
      </c>
      <c r="K832" s="186">
        <v>7056</v>
      </c>
      <c r="L832" s="187" t="s">
        <v>173</v>
      </c>
      <c r="M832" s="187" t="s">
        <v>175</v>
      </c>
    </row>
    <row r="833" spans="1:13" s="188" customFormat="1">
      <c r="A833" s="185" t="s">
        <v>1447</v>
      </c>
      <c r="B833" s="133" t="s">
        <v>3939</v>
      </c>
      <c r="C833" s="185" t="s">
        <v>3023</v>
      </c>
      <c r="D833" s="133" t="s">
        <v>2020</v>
      </c>
      <c r="E833" s="134">
        <v>1</v>
      </c>
      <c r="F833" s="135" t="s">
        <v>1449</v>
      </c>
      <c r="G833" s="185" t="s">
        <v>15</v>
      </c>
      <c r="H833" s="185" t="s">
        <v>15</v>
      </c>
      <c r="I833" s="185" t="s">
        <v>15</v>
      </c>
      <c r="J833" s="135" t="s">
        <v>1450</v>
      </c>
      <c r="K833" s="186">
        <v>26748</v>
      </c>
      <c r="L833" s="187" t="s">
        <v>173</v>
      </c>
      <c r="M833" s="187" t="s">
        <v>175</v>
      </c>
    </row>
    <row r="834" spans="1:13" s="188" customFormat="1">
      <c r="A834" s="185" t="s">
        <v>1447</v>
      </c>
      <c r="B834" s="133" t="s">
        <v>3940</v>
      </c>
      <c r="C834" s="185" t="s">
        <v>3023</v>
      </c>
      <c r="D834" s="133" t="s">
        <v>2020</v>
      </c>
      <c r="E834" s="134">
        <v>1</v>
      </c>
      <c r="F834" s="135" t="s">
        <v>1449</v>
      </c>
      <c r="G834" s="185" t="s">
        <v>15</v>
      </c>
      <c r="H834" s="185" t="s">
        <v>15</v>
      </c>
      <c r="I834" s="185" t="s">
        <v>15</v>
      </c>
      <c r="J834" s="135" t="s">
        <v>1450</v>
      </c>
      <c r="K834" s="186">
        <v>20712</v>
      </c>
      <c r="L834" s="187" t="s">
        <v>173</v>
      </c>
      <c r="M834" s="187" t="s">
        <v>175</v>
      </c>
    </row>
    <row r="835" spans="1:13" s="188" customFormat="1">
      <c r="A835" s="185" t="s">
        <v>1447</v>
      </c>
      <c r="B835" s="133" t="s">
        <v>3941</v>
      </c>
      <c r="C835" s="185" t="s">
        <v>3023</v>
      </c>
      <c r="D835" s="133" t="s">
        <v>2020</v>
      </c>
      <c r="E835" s="134">
        <v>1</v>
      </c>
      <c r="F835" s="135" t="s">
        <v>1449</v>
      </c>
      <c r="G835" s="185" t="s">
        <v>15</v>
      </c>
      <c r="H835" s="185" t="s">
        <v>15</v>
      </c>
      <c r="I835" s="185" t="s">
        <v>15</v>
      </c>
      <c r="J835" s="135" t="s">
        <v>1450</v>
      </c>
      <c r="K835" s="186">
        <v>19884</v>
      </c>
      <c r="L835" s="187" t="s">
        <v>173</v>
      </c>
      <c r="M835" s="187" t="s">
        <v>175</v>
      </c>
    </row>
    <row r="836" spans="1:13" s="188" customFormat="1">
      <c r="A836" s="185" t="s">
        <v>1447</v>
      </c>
      <c r="B836" s="133" t="s">
        <v>3942</v>
      </c>
      <c r="C836" s="185" t="s">
        <v>3023</v>
      </c>
      <c r="D836" s="133" t="s">
        <v>2018</v>
      </c>
      <c r="E836" s="134">
        <v>1</v>
      </c>
      <c r="F836" s="135" t="s">
        <v>1449</v>
      </c>
      <c r="G836" s="185" t="s">
        <v>15</v>
      </c>
      <c r="H836" s="185" t="s">
        <v>15</v>
      </c>
      <c r="I836" s="185" t="s">
        <v>15</v>
      </c>
      <c r="J836" s="135" t="s">
        <v>1450</v>
      </c>
      <c r="K836" s="186">
        <v>23376</v>
      </c>
      <c r="L836" s="187" t="s">
        <v>173</v>
      </c>
      <c r="M836" s="187" t="s">
        <v>175</v>
      </c>
    </row>
    <row r="837" spans="1:13" s="188" customFormat="1">
      <c r="A837" s="185" t="s">
        <v>1447</v>
      </c>
      <c r="B837" s="133" t="s">
        <v>3943</v>
      </c>
      <c r="C837" s="185" t="s">
        <v>3023</v>
      </c>
      <c r="D837" s="133" t="s">
        <v>2018</v>
      </c>
      <c r="E837" s="134">
        <v>1</v>
      </c>
      <c r="F837" s="135" t="s">
        <v>1449</v>
      </c>
      <c r="G837" s="185" t="s">
        <v>15</v>
      </c>
      <c r="H837" s="185" t="s">
        <v>15</v>
      </c>
      <c r="I837" s="185" t="s">
        <v>15</v>
      </c>
      <c r="J837" s="135" t="s">
        <v>1450</v>
      </c>
      <c r="K837" s="186">
        <v>17640</v>
      </c>
      <c r="L837" s="187" t="s">
        <v>173</v>
      </c>
      <c r="M837" s="187" t="s">
        <v>175</v>
      </c>
    </row>
    <row r="838" spans="1:13" s="188" customFormat="1">
      <c r="A838" s="185" t="s">
        <v>1447</v>
      </c>
      <c r="B838" s="133" t="s">
        <v>3944</v>
      </c>
      <c r="C838" s="185" t="s">
        <v>3023</v>
      </c>
      <c r="D838" s="133" t="s">
        <v>2018</v>
      </c>
      <c r="E838" s="134">
        <v>1</v>
      </c>
      <c r="F838" s="135" t="s">
        <v>1449</v>
      </c>
      <c r="G838" s="185" t="s">
        <v>15</v>
      </c>
      <c r="H838" s="185" t="s">
        <v>15</v>
      </c>
      <c r="I838" s="185" t="s">
        <v>15</v>
      </c>
      <c r="J838" s="135" t="s">
        <v>1450</v>
      </c>
      <c r="K838" s="186">
        <v>16500</v>
      </c>
      <c r="L838" s="187" t="s">
        <v>173</v>
      </c>
      <c r="M838" s="187" t="s">
        <v>175</v>
      </c>
    </row>
    <row r="839" spans="1:13" s="188" customFormat="1">
      <c r="A839" s="185" t="s">
        <v>1447</v>
      </c>
      <c r="B839" s="133" t="s">
        <v>3945</v>
      </c>
      <c r="C839" s="185" t="s">
        <v>3023</v>
      </c>
      <c r="D839" s="133" t="s">
        <v>3946</v>
      </c>
      <c r="E839" s="134">
        <v>1</v>
      </c>
      <c r="F839" s="135" t="s">
        <v>1449</v>
      </c>
      <c r="G839" s="185" t="s">
        <v>15</v>
      </c>
      <c r="H839" s="185" t="s">
        <v>15</v>
      </c>
      <c r="I839" s="185" t="s">
        <v>15</v>
      </c>
      <c r="J839" s="135" t="s">
        <v>1450</v>
      </c>
      <c r="K839" s="186">
        <v>36108</v>
      </c>
      <c r="L839" s="187" t="s">
        <v>173</v>
      </c>
      <c r="M839" s="187" t="s">
        <v>175</v>
      </c>
    </row>
    <row r="840" spans="1:13" s="188" customFormat="1">
      <c r="A840" s="185" t="s">
        <v>1447</v>
      </c>
      <c r="B840" s="133" t="s">
        <v>3947</v>
      </c>
      <c r="C840" s="185" t="s">
        <v>3023</v>
      </c>
      <c r="D840" s="133" t="s">
        <v>3946</v>
      </c>
      <c r="E840" s="134">
        <v>1</v>
      </c>
      <c r="F840" s="135" t="s">
        <v>1449</v>
      </c>
      <c r="G840" s="185" t="s">
        <v>15</v>
      </c>
      <c r="H840" s="185" t="s">
        <v>15</v>
      </c>
      <c r="I840" s="185" t="s">
        <v>15</v>
      </c>
      <c r="J840" s="135" t="s">
        <v>1450</v>
      </c>
      <c r="K840" s="186">
        <v>25524</v>
      </c>
      <c r="L840" s="187" t="s">
        <v>173</v>
      </c>
      <c r="M840" s="187" t="s">
        <v>175</v>
      </c>
    </row>
    <row r="841" spans="1:13" s="188" customFormat="1">
      <c r="A841" s="185" t="s">
        <v>1447</v>
      </c>
      <c r="B841" s="133" t="s">
        <v>3948</v>
      </c>
      <c r="C841" s="185" t="s">
        <v>3023</v>
      </c>
      <c r="D841" s="133" t="s">
        <v>3946</v>
      </c>
      <c r="E841" s="134">
        <v>1</v>
      </c>
      <c r="F841" s="135" t="s">
        <v>1449</v>
      </c>
      <c r="G841" s="185" t="s">
        <v>15</v>
      </c>
      <c r="H841" s="185" t="s">
        <v>15</v>
      </c>
      <c r="I841" s="185" t="s">
        <v>15</v>
      </c>
      <c r="J841" s="135" t="s">
        <v>1450</v>
      </c>
      <c r="K841" s="186">
        <v>15564</v>
      </c>
      <c r="L841" s="187" t="s">
        <v>173</v>
      </c>
      <c r="M841" s="187" t="s">
        <v>175</v>
      </c>
    </row>
    <row r="842" spans="1:13" s="188" customFormat="1">
      <c r="A842" s="185" t="s">
        <v>1447</v>
      </c>
      <c r="B842" s="133" t="s">
        <v>3949</v>
      </c>
      <c r="C842" s="185" t="s">
        <v>3023</v>
      </c>
      <c r="D842" s="133" t="s">
        <v>3950</v>
      </c>
      <c r="E842" s="134">
        <v>1</v>
      </c>
      <c r="F842" s="135" t="s">
        <v>1449</v>
      </c>
      <c r="G842" s="185" t="s">
        <v>15</v>
      </c>
      <c r="H842" s="185" t="s">
        <v>15</v>
      </c>
      <c r="I842" s="185" t="s">
        <v>15</v>
      </c>
      <c r="J842" s="135" t="s">
        <v>1450</v>
      </c>
      <c r="K842" s="186">
        <v>696</v>
      </c>
      <c r="L842" s="187" t="s">
        <v>173</v>
      </c>
      <c r="M842" s="187" t="s">
        <v>175</v>
      </c>
    </row>
    <row r="843" spans="1:13" s="188" customFormat="1">
      <c r="A843" s="185" t="s">
        <v>1447</v>
      </c>
      <c r="B843" s="133" t="s">
        <v>3951</v>
      </c>
      <c r="C843" s="185" t="s">
        <v>3023</v>
      </c>
      <c r="D843" s="133" t="s">
        <v>3950</v>
      </c>
      <c r="E843" s="134">
        <v>1</v>
      </c>
      <c r="F843" s="135" t="s">
        <v>1449</v>
      </c>
      <c r="G843" s="185" t="s">
        <v>15</v>
      </c>
      <c r="H843" s="185" t="s">
        <v>15</v>
      </c>
      <c r="I843" s="185" t="s">
        <v>15</v>
      </c>
      <c r="J843" s="135" t="s">
        <v>1450</v>
      </c>
      <c r="K843" s="186">
        <v>660</v>
      </c>
      <c r="L843" s="187" t="s">
        <v>173</v>
      </c>
      <c r="M843" s="187" t="s">
        <v>175</v>
      </c>
    </row>
    <row r="844" spans="1:13" s="188" customFormat="1">
      <c r="A844" s="185" t="s">
        <v>1447</v>
      </c>
      <c r="B844" s="133" t="s">
        <v>3952</v>
      </c>
      <c r="C844" s="185" t="s">
        <v>3023</v>
      </c>
      <c r="D844" s="133" t="s">
        <v>3950</v>
      </c>
      <c r="E844" s="134">
        <v>1</v>
      </c>
      <c r="F844" s="135" t="s">
        <v>1449</v>
      </c>
      <c r="G844" s="185" t="s">
        <v>15</v>
      </c>
      <c r="H844" s="185" t="s">
        <v>15</v>
      </c>
      <c r="I844" s="185" t="s">
        <v>15</v>
      </c>
      <c r="J844" s="135" t="s">
        <v>1450</v>
      </c>
      <c r="K844" s="186">
        <v>564</v>
      </c>
      <c r="L844" s="187" t="s">
        <v>173</v>
      </c>
      <c r="M844" s="187" t="s">
        <v>175</v>
      </c>
    </row>
    <row r="845" spans="1:13" s="188" customFormat="1">
      <c r="A845" s="185" t="s">
        <v>1447</v>
      </c>
      <c r="B845" s="133" t="s">
        <v>3953</v>
      </c>
      <c r="C845" s="185" t="s">
        <v>3023</v>
      </c>
      <c r="D845" s="133" t="s">
        <v>3954</v>
      </c>
      <c r="E845" s="134">
        <v>1</v>
      </c>
      <c r="F845" s="135" t="s">
        <v>1449</v>
      </c>
      <c r="G845" s="185" t="s">
        <v>15</v>
      </c>
      <c r="H845" s="185" t="s">
        <v>15</v>
      </c>
      <c r="I845" s="185" t="s">
        <v>15</v>
      </c>
      <c r="J845" s="135" t="s">
        <v>1450</v>
      </c>
      <c r="K845" s="186">
        <v>22728</v>
      </c>
      <c r="L845" s="187" t="s">
        <v>173</v>
      </c>
      <c r="M845" s="187" t="s">
        <v>175</v>
      </c>
    </row>
    <row r="846" spans="1:13" s="188" customFormat="1">
      <c r="A846" s="185" t="s">
        <v>1447</v>
      </c>
      <c r="B846" s="133" t="s">
        <v>3955</v>
      </c>
      <c r="C846" s="185" t="s">
        <v>3023</v>
      </c>
      <c r="D846" s="133" t="s">
        <v>3954</v>
      </c>
      <c r="E846" s="134">
        <v>1</v>
      </c>
      <c r="F846" s="135" t="s">
        <v>1449</v>
      </c>
      <c r="G846" s="185" t="s">
        <v>15</v>
      </c>
      <c r="H846" s="185" t="s">
        <v>15</v>
      </c>
      <c r="I846" s="185" t="s">
        <v>15</v>
      </c>
      <c r="J846" s="135" t="s">
        <v>1450</v>
      </c>
      <c r="K846" s="186">
        <v>13452</v>
      </c>
      <c r="L846" s="187" t="s">
        <v>173</v>
      </c>
      <c r="M846" s="187" t="s">
        <v>175</v>
      </c>
    </row>
    <row r="847" spans="1:13" s="188" customFormat="1">
      <c r="A847" s="185" t="s">
        <v>1447</v>
      </c>
      <c r="B847" s="133" t="s">
        <v>3956</v>
      </c>
      <c r="C847" s="185" t="s">
        <v>3023</v>
      </c>
      <c r="D847" s="133" t="s">
        <v>3954</v>
      </c>
      <c r="E847" s="134">
        <v>1</v>
      </c>
      <c r="F847" s="135" t="s">
        <v>1449</v>
      </c>
      <c r="G847" s="185" t="s">
        <v>15</v>
      </c>
      <c r="H847" s="185" t="s">
        <v>15</v>
      </c>
      <c r="I847" s="185" t="s">
        <v>15</v>
      </c>
      <c r="J847" s="135" t="s">
        <v>1450</v>
      </c>
      <c r="K847" s="186">
        <v>12264</v>
      </c>
      <c r="L847" s="187" t="s">
        <v>173</v>
      </c>
      <c r="M847" s="187" t="s">
        <v>175</v>
      </c>
    </row>
    <row r="848" spans="1:13" s="188" customFormat="1">
      <c r="A848" s="185" t="s">
        <v>1447</v>
      </c>
      <c r="B848" s="133" t="s">
        <v>3957</v>
      </c>
      <c r="C848" s="185" t="s">
        <v>3023</v>
      </c>
      <c r="D848" s="133" t="s">
        <v>3958</v>
      </c>
      <c r="E848" s="134">
        <v>1</v>
      </c>
      <c r="F848" s="135" t="s">
        <v>1449</v>
      </c>
      <c r="G848" s="185" t="s">
        <v>15</v>
      </c>
      <c r="H848" s="185" t="s">
        <v>15</v>
      </c>
      <c r="I848" s="185" t="s">
        <v>15</v>
      </c>
      <c r="J848" s="135" t="s">
        <v>1450</v>
      </c>
      <c r="K848" s="186">
        <v>696</v>
      </c>
      <c r="L848" s="187" t="s">
        <v>173</v>
      </c>
      <c r="M848" s="187" t="s">
        <v>175</v>
      </c>
    </row>
    <row r="849" spans="1:13" s="188" customFormat="1">
      <c r="A849" s="185" t="s">
        <v>1447</v>
      </c>
      <c r="B849" s="133" t="s">
        <v>3959</v>
      </c>
      <c r="C849" s="185" t="s">
        <v>3023</v>
      </c>
      <c r="D849" s="133" t="s">
        <v>3958</v>
      </c>
      <c r="E849" s="134">
        <v>1</v>
      </c>
      <c r="F849" s="135" t="s">
        <v>1449</v>
      </c>
      <c r="G849" s="185" t="s">
        <v>15</v>
      </c>
      <c r="H849" s="185" t="s">
        <v>15</v>
      </c>
      <c r="I849" s="185" t="s">
        <v>15</v>
      </c>
      <c r="J849" s="135" t="s">
        <v>1450</v>
      </c>
      <c r="K849" s="186">
        <v>660</v>
      </c>
      <c r="L849" s="187" t="s">
        <v>173</v>
      </c>
      <c r="M849" s="187" t="s">
        <v>175</v>
      </c>
    </row>
    <row r="850" spans="1:13" s="188" customFormat="1">
      <c r="A850" s="185" t="s">
        <v>1447</v>
      </c>
      <c r="B850" s="133" t="s">
        <v>3960</v>
      </c>
      <c r="C850" s="185" t="s">
        <v>3023</v>
      </c>
      <c r="D850" s="133" t="s">
        <v>3958</v>
      </c>
      <c r="E850" s="134">
        <v>1</v>
      </c>
      <c r="F850" s="135" t="s">
        <v>1449</v>
      </c>
      <c r="G850" s="185" t="s">
        <v>15</v>
      </c>
      <c r="H850" s="185" t="s">
        <v>15</v>
      </c>
      <c r="I850" s="185" t="s">
        <v>15</v>
      </c>
      <c r="J850" s="135" t="s">
        <v>1450</v>
      </c>
      <c r="K850" s="186">
        <v>564</v>
      </c>
      <c r="L850" s="187" t="s">
        <v>173</v>
      </c>
      <c r="M850" s="187" t="s">
        <v>175</v>
      </c>
    </row>
    <row r="851" spans="1:13" s="188" customFormat="1">
      <c r="A851" s="185" t="s">
        <v>1447</v>
      </c>
      <c r="B851" s="133" t="s">
        <v>3961</v>
      </c>
      <c r="C851" s="185" t="s">
        <v>3023</v>
      </c>
      <c r="D851" s="133" t="s">
        <v>3962</v>
      </c>
      <c r="E851" s="134">
        <v>1</v>
      </c>
      <c r="F851" s="135" t="s">
        <v>1449</v>
      </c>
      <c r="G851" s="185" t="s">
        <v>15</v>
      </c>
      <c r="H851" s="185" t="s">
        <v>15</v>
      </c>
      <c r="I851" s="185" t="s">
        <v>15</v>
      </c>
      <c r="J851" s="135" t="s">
        <v>1450</v>
      </c>
      <c r="K851" s="186">
        <v>15828</v>
      </c>
      <c r="L851" s="187" t="s">
        <v>173</v>
      </c>
      <c r="M851" s="187" t="s">
        <v>175</v>
      </c>
    </row>
    <row r="852" spans="1:13" s="188" customFormat="1">
      <c r="A852" s="185" t="s">
        <v>1447</v>
      </c>
      <c r="B852" s="133" t="s">
        <v>3963</v>
      </c>
      <c r="C852" s="185" t="s">
        <v>3023</v>
      </c>
      <c r="D852" s="133" t="s">
        <v>3962</v>
      </c>
      <c r="E852" s="134">
        <v>1</v>
      </c>
      <c r="F852" s="135" t="s">
        <v>1449</v>
      </c>
      <c r="G852" s="185" t="s">
        <v>15</v>
      </c>
      <c r="H852" s="185" t="s">
        <v>15</v>
      </c>
      <c r="I852" s="185" t="s">
        <v>15</v>
      </c>
      <c r="J852" s="135" t="s">
        <v>1450</v>
      </c>
      <c r="K852" s="186">
        <v>13092</v>
      </c>
      <c r="L852" s="187" t="s">
        <v>173</v>
      </c>
      <c r="M852" s="187" t="s">
        <v>175</v>
      </c>
    </row>
    <row r="853" spans="1:13" s="188" customFormat="1">
      <c r="A853" s="185" t="s">
        <v>1447</v>
      </c>
      <c r="B853" s="133" t="s">
        <v>3964</v>
      </c>
      <c r="C853" s="185" t="s">
        <v>3023</v>
      </c>
      <c r="D853" s="133" t="s">
        <v>3962</v>
      </c>
      <c r="E853" s="134">
        <v>1</v>
      </c>
      <c r="F853" s="135" t="s">
        <v>1449</v>
      </c>
      <c r="G853" s="185" t="s">
        <v>15</v>
      </c>
      <c r="H853" s="185" t="s">
        <v>15</v>
      </c>
      <c r="I853" s="185" t="s">
        <v>15</v>
      </c>
      <c r="J853" s="135" t="s">
        <v>1450</v>
      </c>
      <c r="K853" s="186">
        <v>9912</v>
      </c>
      <c r="L853" s="187" t="s">
        <v>173</v>
      </c>
      <c r="M853" s="187" t="s">
        <v>175</v>
      </c>
    </row>
    <row r="854" spans="1:13" s="188" customFormat="1">
      <c r="A854" s="185" t="s">
        <v>1447</v>
      </c>
      <c r="B854" s="133" t="s">
        <v>3965</v>
      </c>
      <c r="C854" s="185" t="s">
        <v>3023</v>
      </c>
      <c r="D854" s="133" t="s">
        <v>3962</v>
      </c>
      <c r="E854" s="134">
        <v>1</v>
      </c>
      <c r="F854" s="135" t="s">
        <v>1449</v>
      </c>
      <c r="G854" s="185" t="s">
        <v>15</v>
      </c>
      <c r="H854" s="185" t="s">
        <v>15</v>
      </c>
      <c r="I854" s="185" t="s">
        <v>15</v>
      </c>
      <c r="J854" s="135" t="s">
        <v>1450</v>
      </c>
      <c r="K854" s="186">
        <v>8340</v>
      </c>
      <c r="L854" s="187" t="s">
        <v>173</v>
      </c>
      <c r="M854" s="187" t="s">
        <v>175</v>
      </c>
    </row>
    <row r="855" spans="1:13" s="188" customFormat="1">
      <c r="A855" s="185" t="s">
        <v>1447</v>
      </c>
      <c r="B855" s="133" t="s">
        <v>3966</v>
      </c>
      <c r="C855" s="185" t="s">
        <v>3023</v>
      </c>
      <c r="D855" s="133" t="s">
        <v>3967</v>
      </c>
      <c r="E855" s="134">
        <v>1</v>
      </c>
      <c r="F855" s="135" t="s">
        <v>1449</v>
      </c>
      <c r="G855" s="185" t="s">
        <v>15</v>
      </c>
      <c r="H855" s="185" t="s">
        <v>15</v>
      </c>
      <c r="I855" s="185" t="s">
        <v>15</v>
      </c>
      <c r="J855" s="135" t="s">
        <v>1450</v>
      </c>
      <c r="K855" s="186">
        <v>25896</v>
      </c>
      <c r="L855" s="187" t="s">
        <v>173</v>
      </c>
      <c r="M855" s="187" t="s">
        <v>175</v>
      </c>
    </row>
    <row r="856" spans="1:13" s="188" customFormat="1">
      <c r="A856" s="185" t="s">
        <v>1447</v>
      </c>
      <c r="B856" s="133" t="s">
        <v>3968</v>
      </c>
      <c r="C856" s="185" t="s">
        <v>3023</v>
      </c>
      <c r="D856" s="133" t="s">
        <v>3967</v>
      </c>
      <c r="E856" s="134">
        <v>1</v>
      </c>
      <c r="F856" s="135" t="s">
        <v>1449</v>
      </c>
      <c r="G856" s="185" t="s">
        <v>15</v>
      </c>
      <c r="H856" s="185" t="s">
        <v>15</v>
      </c>
      <c r="I856" s="185" t="s">
        <v>15</v>
      </c>
      <c r="J856" s="135" t="s">
        <v>1450</v>
      </c>
      <c r="K856" s="186">
        <v>17436</v>
      </c>
      <c r="L856" s="187" t="s">
        <v>173</v>
      </c>
      <c r="M856" s="187" t="s">
        <v>175</v>
      </c>
    </row>
    <row r="857" spans="1:13" s="188" customFormat="1">
      <c r="A857" s="185" t="s">
        <v>1447</v>
      </c>
      <c r="B857" s="133" t="s">
        <v>3969</v>
      </c>
      <c r="C857" s="185" t="s">
        <v>3023</v>
      </c>
      <c r="D857" s="133" t="s">
        <v>3967</v>
      </c>
      <c r="E857" s="134">
        <v>1</v>
      </c>
      <c r="F857" s="135" t="s">
        <v>1449</v>
      </c>
      <c r="G857" s="185" t="s">
        <v>15</v>
      </c>
      <c r="H857" s="185" t="s">
        <v>15</v>
      </c>
      <c r="I857" s="185" t="s">
        <v>15</v>
      </c>
      <c r="J857" s="135" t="s">
        <v>1450</v>
      </c>
      <c r="K857" s="186">
        <v>11952</v>
      </c>
      <c r="L857" s="187" t="s">
        <v>173</v>
      </c>
      <c r="M857" s="187" t="s">
        <v>175</v>
      </c>
    </row>
    <row r="858" spans="1:13" s="188" customFormat="1">
      <c r="A858" s="185" t="s">
        <v>1447</v>
      </c>
      <c r="B858" s="133" t="s">
        <v>3970</v>
      </c>
      <c r="C858" s="185" t="s">
        <v>3023</v>
      </c>
      <c r="D858" s="133" t="s">
        <v>3967</v>
      </c>
      <c r="E858" s="134">
        <v>1</v>
      </c>
      <c r="F858" s="135" t="s">
        <v>1449</v>
      </c>
      <c r="G858" s="185" t="s">
        <v>15</v>
      </c>
      <c r="H858" s="185" t="s">
        <v>15</v>
      </c>
      <c r="I858" s="185" t="s">
        <v>15</v>
      </c>
      <c r="J858" s="135" t="s">
        <v>1450</v>
      </c>
      <c r="K858" s="186">
        <v>7848</v>
      </c>
      <c r="L858" s="187" t="s">
        <v>173</v>
      </c>
      <c r="M858" s="187" t="s">
        <v>175</v>
      </c>
    </row>
    <row r="859" spans="1:13" s="188" customFormat="1">
      <c r="A859" s="185" t="s">
        <v>1447</v>
      </c>
      <c r="B859" s="133" t="s">
        <v>3971</v>
      </c>
      <c r="C859" s="185" t="s">
        <v>3023</v>
      </c>
      <c r="D859" s="133" t="s">
        <v>3972</v>
      </c>
      <c r="E859" s="134">
        <v>1</v>
      </c>
      <c r="F859" s="135" t="s">
        <v>1449</v>
      </c>
      <c r="G859" s="185" t="s">
        <v>15</v>
      </c>
      <c r="H859" s="185" t="s">
        <v>15</v>
      </c>
      <c r="I859" s="185" t="s">
        <v>15</v>
      </c>
      <c r="J859" s="135" t="s">
        <v>1450</v>
      </c>
      <c r="K859" s="186">
        <v>161868</v>
      </c>
      <c r="L859" s="187" t="s">
        <v>173</v>
      </c>
      <c r="M859" s="187" t="s">
        <v>175</v>
      </c>
    </row>
    <row r="860" spans="1:13" s="188" customFormat="1">
      <c r="A860" s="185" t="s">
        <v>1447</v>
      </c>
      <c r="B860" s="133" t="s">
        <v>3973</v>
      </c>
      <c r="C860" s="185" t="s">
        <v>3023</v>
      </c>
      <c r="D860" s="133" t="s">
        <v>2023</v>
      </c>
      <c r="E860" s="134">
        <v>1</v>
      </c>
      <c r="F860" s="135" t="s">
        <v>1449</v>
      </c>
      <c r="G860" s="185" t="s">
        <v>15</v>
      </c>
      <c r="H860" s="185" t="s">
        <v>15</v>
      </c>
      <c r="I860" s="185" t="s">
        <v>15</v>
      </c>
      <c r="J860" s="135" t="s">
        <v>1450</v>
      </c>
      <c r="K860" s="186">
        <v>161868</v>
      </c>
      <c r="L860" s="187" t="s">
        <v>173</v>
      </c>
      <c r="M860" s="187" t="s">
        <v>175</v>
      </c>
    </row>
    <row r="861" spans="1:13" s="188" customFormat="1">
      <c r="A861" s="185" t="s">
        <v>1447</v>
      </c>
      <c r="B861" s="133" t="s">
        <v>3974</v>
      </c>
      <c r="C861" s="185" t="s">
        <v>3023</v>
      </c>
      <c r="D861" s="133" t="s">
        <v>2024</v>
      </c>
      <c r="E861" s="134">
        <v>1</v>
      </c>
      <c r="F861" s="135" t="s">
        <v>1449</v>
      </c>
      <c r="G861" s="185" t="s">
        <v>15</v>
      </c>
      <c r="H861" s="185" t="s">
        <v>15</v>
      </c>
      <c r="I861" s="185" t="s">
        <v>15</v>
      </c>
      <c r="J861" s="135" t="s">
        <v>1450</v>
      </c>
      <c r="K861" s="186">
        <v>996</v>
      </c>
      <c r="L861" s="187" t="s">
        <v>173</v>
      </c>
      <c r="M861" s="187" t="s">
        <v>175</v>
      </c>
    </row>
    <row r="862" spans="1:13" s="188" customFormat="1">
      <c r="A862" s="185" t="s">
        <v>1447</v>
      </c>
      <c r="B862" s="133" t="s">
        <v>3975</v>
      </c>
      <c r="C862" s="185" t="s">
        <v>3023</v>
      </c>
      <c r="D862" s="133" t="s">
        <v>2024</v>
      </c>
      <c r="E862" s="134">
        <v>1</v>
      </c>
      <c r="F862" s="135" t="s">
        <v>1449</v>
      </c>
      <c r="G862" s="185" t="s">
        <v>15</v>
      </c>
      <c r="H862" s="185" t="s">
        <v>15</v>
      </c>
      <c r="I862" s="185" t="s">
        <v>15</v>
      </c>
      <c r="J862" s="135" t="s">
        <v>1450</v>
      </c>
      <c r="K862" s="186">
        <v>936</v>
      </c>
      <c r="L862" s="187" t="s">
        <v>173</v>
      </c>
      <c r="M862" s="187" t="s">
        <v>175</v>
      </c>
    </row>
    <row r="863" spans="1:13" s="188" customFormat="1">
      <c r="A863" s="185" t="s">
        <v>1447</v>
      </c>
      <c r="B863" s="133" t="s">
        <v>3976</v>
      </c>
      <c r="C863" s="185" t="s">
        <v>3023</v>
      </c>
      <c r="D863" s="133" t="s">
        <v>2024</v>
      </c>
      <c r="E863" s="134">
        <v>1</v>
      </c>
      <c r="F863" s="135" t="s">
        <v>1449</v>
      </c>
      <c r="G863" s="185" t="s">
        <v>15</v>
      </c>
      <c r="H863" s="185" t="s">
        <v>15</v>
      </c>
      <c r="I863" s="185" t="s">
        <v>15</v>
      </c>
      <c r="J863" s="135" t="s">
        <v>1450</v>
      </c>
      <c r="K863" s="186">
        <v>876</v>
      </c>
      <c r="L863" s="187" t="s">
        <v>173</v>
      </c>
      <c r="M863" s="187" t="s">
        <v>175</v>
      </c>
    </row>
    <row r="864" spans="1:13" s="188" customFormat="1">
      <c r="A864" s="185" t="s">
        <v>1447</v>
      </c>
      <c r="B864" s="133" t="s">
        <v>3977</v>
      </c>
      <c r="C864" s="185" t="s">
        <v>3023</v>
      </c>
      <c r="D864" s="133" t="s">
        <v>2024</v>
      </c>
      <c r="E864" s="134">
        <v>1</v>
      </c>
      <c r="F864" s="135" t="s">
        <v>1449</v>
      </c>
      <c r="G864" s="185" t="s">
        <v>15</v>
      </c>
      <c r="H864" s="185" t="s">
        <v>15</v>
      </c>
      <c r="I864" s="185" t="s">
        <v>15</v>
      </c>
      <c r="J864" s="135" t="s">
        <v>1450</v>
      </c>
      <c r="K864" s="186">
        <v>804</v>
      </c>
      <c r="L864" s="187" t="s">
        <v>173</v>
      </c>
      <c r="M864" s="187" t="s">
        <v>175</v>
      </c>
    </row>
    <row r="865" spans="1:13" s="188" customFormat="1">
      <c r="A865" s="185" t="s">
        <v>1447</v>
      </c>
      <c r="B865" s="133" t="s">
        <v>3978</v>
      </c>
      <c r="C865" s="185" t="s">
        <v>3023</v>
      </c>
      <c r="D865" s="133" t="s">
        <v>2024</v>
      </c>
      <c r="E865" s="134">
        <v>1</v>
      </c>
      <c r="F865" s="135" t="s">
        <v>1449</v>
      </c>
      <c r="G865" s="185" t="s">
        <v>15</v>
      </c>
      <c r="H865" s="185" t="s">
        <v>15</v>
      </c>
      <c r="I865" s="185" t="s">
        <v>15</v>
      </c>
      <c r="J865" s="135" t="s">
        <v>1450</v>
      </c>
      <c r="K865" s="186">
        <v>684</v>
      </c>
      <c r="L865" s="187" t="s">
        <v>173</v>
      </c>
      <c r="M865" s="187" t="s">
        <v>175</v>
      </c>
    </row>
    <row r="866" spans="1:13" s="188" customFormat="1">
      <c r="A866" s="185" t="s">
        <v>1447</v>
      </c>
      <c r="B866" s="133" t="s">
        <v>3979</v>
      </c>
      <c r="C866" s="185" t="s">
        <v>3023</v>
      </c>
      <c r="D866" s="133" t="s">
        <v>2024</v>
      </c>
      <c r="E866" s="134">
        <v>1</v>
      </c>
      <c r="F866" s="135" t="s">
        <v>1449</v>
      </c>
      <c r="G866" s="185" t="s">
        <v>15</v>
      </c>
      <c r="H866" s="185" t="s">
        <v>15</v>
      </c>
      <c r="I866" s="185" t="s">
        <v>15</v>
      </c>
      <c r="J866" s="135" t="s">
        <v>1450</v>
      </c>
      <c r="K866" s="186">
        <v>624</v>
      </c>
      <c r="L866" s="187" t="s">
        <v>173</v>
      </c>
      <c r="M866" s="187" t="s">
        <v>175</v>
      </c>
    </row>
    <row r="867" spans="1:13" s="188" customFormat="1">
      <c r="A867" s="185" t="s">
        <v>1447</v>
      </c>
      <c r="B867" s="133" t="s">
        <v>3980</v>
      </c>
      <c r="C867" s="185" t="s">
        <v>3023</v>
      </c>
      <c r="D867" s="133" t="s">
        <v>2025</v>
      </c>
      <c r="E867" s="134">
        <v>1</v>
      </c>
      <c r="F867" s="135" t="s">
        <v>1449</v>
      </c>
      <c r="G867" s="185" t="s">
        <v>15</v>
      </c>
      <c r="H867" s="185" t="s">
        <v>15</v>
      </c>
      <c r="I867" s="185" t="s">
        <v>15</v>
      </c>
      <c r="J867" s="135" t="s">
        <v>1450</v>
      </c>
      <c r="K867" s="186">
        <v>480</v>
      </c>
      <c r="L867" s="187" t="s">
        <v>173</v>
      </c>
      <c r="M867" s="187" t="s">
        <v>175</v>
      </c>
    </row>
    <row r="868" spans="1:13" s="188" customFormat="1">
      <c r="A868" s="185" t="s">
        <v>1447</v>
      </c>
      <c r="B868" s="133" t="s">
        <v>3981</v>
      </c>
      <c r="C868" s="185" t="s">
        <v>3023</v>
      </c>
      <c r="D868" s="133" t="s">
        <v>2025</v>
      </c>
      <c r="E868" s="134">
        <v>1</v>
      </c>
      <c r="F868" s="135" t="s">
        <v>1449</v>
      </c>
      <c r="G868" s="185" t="s">
        <v>15</v>
      </c>
      <c r="H868" s="185" t="s">
        <v>15</v>
      </c>
      <c r="I868" s="185" t="s">
        <v>15</v>
      </c>
      <c r="J868" s="135" t="s">
        <v>1450</v>
      </c>
      <c r="K868" s="186">
        <v>324</v>
      </c>
      <c r="L868" s="187" t="s">
        <v>173</v>
      </c>
      <c r="M868" s="187" t="s">
        <v>175</v>
      </c>
    </row>
    <row r="869" spans="1:13" s="188" customFormat="1">
      <c r="A869" s="185" t="s">
        <v>1447</v>
      </c>
      <c r="B869" s="133" t="s">
        <v>3982</v>
      </c>
      <c r="C869" s="185" t="s">
        <v>3023</v>
      </c>
      <c r="D869" s="133" t="s">
        <v>2025</v>
      </c>
      <c r="E869" s="134">
        <v>1</v>
      </c>
      <c r="F869" s="135" t="s">
        <v>1449</v>
      </c>
      <c r="G869" s="185" t="s">
        <v>15</v>
      </c>
      <c r="H869" s="185" t="s">
        <v>15</v>
      </c>
      <c r="I869" s="185" t="s">
        <v>15</v>
      </c>
      <c r="J869" s="135" t="s">
        <v>1450</v>
      </c>
      <c r="K869" s="186">
        <v>240</v>
      </c>
      <c r="L869" s="187" t="s">
        <v>173</v>
      </c>
      <c r="M869" s="187" t="s">
        <v>175</v>
      </c>
    </row>
    <row r="870" spans="1:13" s="188" customFormat="1">
      <c r="A870" s="185" t="s">
        <v>1447</v>
      </c>
      <c r="B870" s="133" t="s">
        <v>3983</v>
      </c>
      <c r="C870" s="185" t="s">
        <v>3023</v>
      </c>
      <c r="D870" s="133" t="s">
        <v>2026</v>
      </c>
      <c r="E870" s="134">
        <v>1</v>
      </c>
      <c r="F870" s="135" t="s">
        <v>1449</v>
      </c>
      <c r="G870" s="185" t="s">
        <v>15</v>
      </c>
      <c r="H870" s="185" t="s">
        <v>15</v>
      </c>
      <c r="I870" s="185" t="s">
        <v>15</v>
      </c>
      <c r="J870" s="135" t="s">
        <v>1450</v>
      </c>
      <c r="K870" s="186">
        <v>480</v>
      </c>
      <c r="L870" s="187" t="s">
        <v>173</v>
      </c>
      <c r="M870" s="187" t="s">
        <v>175</v>
      </c>
    </row>
    <row r="871" spans="1:13" s="188" customFormat="1">
      <c r="A871" s="185" t="s">
        <v>1447</v>
      </c>
      <c r="B871" s="133" t="s">
        <v>3984</v>
      </c>
      <c r="C871" s="185" t="s">
        <v>3023</v>
      </c>
      <c r="D871" s="133" t="s">
        <v>2026</v>
      </c>
      <c r="E871" s="134">
        <v>1</v>
      </c>
      <c r="F871" s="135" t="s">
        <v>1449</v>
      </c>
      <c r="G871" s="185" t="s">
        <v>15</v>
      </c>
      <c r="H871" s="185" t="s">
        <v>15</v>
      </c>
      <c r="I871" s="185" t="s">
        <v>15</v>
      </c>
      <c r="J871" s="135" t="s">
        <v>1450</v>
      </c>
      <c r="K871" s="186">
        <v>336</v>
      </c>
      <c r="L871" s="187" t="s">
        <v>173</v>
      </c>
      <c r="M871" s="187" t="s">
        <v>175</v>
      </c>
    </row>
    <row r="872" spans="1:13" s="188" customFormat="1">
      <c r="A872" s="185" t="s">
        <v>1447</v>
      </c>
      <c r="B872" s="133" t="s">
        <v>3985</v>
      </c>
      <c r="C872" s="185" t="s">
        <v>3023</v>
      </c>
      <c r="D872" s="133" t="s">
        <v>2026</v>
      </c>
      <c r="E872" s="134">
        <v>1</v>
      </c>
      <c r="F872" s="135" t="s">
        <v>1449</v>
      </c>
      <c r="G872" s="185" t="s">
        <v>15</v>
      </c>
      <c r="H872" s="185" t="s">
        <v>15</v>
      </c>
      <c r="I872" s="185" t="s">
        <v>15</v>
      </c>
      <c r="J872" s="135" t="s">
        <v>1450</v>
      </c>
      <c r="K872" s="186">
        <v>252</v>
      </c>
      <c r="L872" s="187" t="s">
        <v>173</v>
      </c>
      <c r="M872" s="187" t="s">
        <v>175</v>
      </c>
    </row>
    <row r="873" spans="1:13" s="188" customFormat="1">
      <c r="A873" s="185" t="s">
        <v>1447</v>
      </c>
      <c r="B873" s="133" t="s">
        <v>3986</v>
      </c>
      <c r="C873" s="185" t="s">
        <v>3023</v>
      </c>
      <c r="D873" s="133" t="s">
        <v>2027</v>
      </c>
      <c r="E873" s="134">
        <v>1</v>
      </c>
      <c r="F873" s="135" t="s">
        <v>1449</v>
      </c>
      <c r="G873" s="185" t="s">
        <v>15</v>
      </c>
      <c r="H873" s="185" t="s">
        <v>15</v>
      </c>
      <c r="I873" s="185" t="s">
        <v>15</v>
      </c>
      <c r="J873" s="135" t="s">
        <v>1450</v>
      </c>
      <c r="K873" s="186">
        <v>156</v>
      </c>
      <c r="L873" s="187" t="s">
        <v>173</v>
      </c>
      <c r="M873" s="187" t="s">
        <v>175</v>
      </c>
    </row>
    <row r="874" spans="1:13" s="188" customFormat="1">
      <c r="A874" s="185" t="s">
        <v>1447</v>
      </c>
      <c r="B874" s="133" t="s">
        <v>3987</v>
      </c>
      <c r="C874" s="185" t="s">
        <v>3023</v>
      </c>
      <c r="D874" s="133" t="s">
        <v>2027</v>
      </c>
      <c r="E874" s="134">
        <v>1</v>
      </c>
      <c r="F874" s="135" t="s">
        <v>1449</v>
      </c>
      <c r="G874" s="185" t="s">
        <v>15</v>
      </c>
      <c r="H874" s="185" t="s">
        <v>15</v>
      </c>
      <c r="I874" s="185" t="s">
        <v>15</v>
      </c>
      <c r="J874" s="135" t="s">
        <v>1450</v>
      </c>
      <c r="K874" s="186">
        <v>156</v>
      </c>
      <c r="L874" s="187" t="s">
        <v>173</v>
      </c>
      <c r="M874" s="187" t="s">
        <v>175</v>
      </c>
    </row>
    <row r="875" spans="1:13" s="188" customFormat="1">
      <c r="A875" s="185" t="s">
        <v>1447</v>
      </c>
      <c r="B875" s="133" t="s">
        <v>3988</v>
      </c>
      <c r="C875" s="185" t="s">
        <v>3023</v>
      </c>
      <c r="D875" s="133" t="s">
        <v>2027</v>
      </c>
      <c r="E875" s="134">
        <v>1</v>
      </c>
      <c r="F875" s="135" t="s">
        <v>1449</v>
      </c>
      <c r="G875" s="185" t="s">
        <v>15</v>
      </c>
      <c r="H875" s="185" t="s">
        <v>15</v>
      </c>
      <c r="I875" s="185" t="s">
        <v>15</v>
      </c>
      <c r="J875" s="135" t="s">
        <v>1450</v>
      </c>
      <c r="K875" s="186">
        <v>132</v>
      </c>
      <c r="L875" s="187" t="s">
        <v>173</v>
      </c>
      <c r="M875" s="187" t="s">
        <v>175</v>
      </c>
    </row>
    <row r="876" spans="1:13" s="188" customFormat="1">
      <c r="A876" s="185" t="s">
        <v>1447</v>
      </c>
      <c r="B876" s="133" t="s">
        <v>3989</v>
      </c>
      <c r="C876" s="185" t="s">
        <v>3023</v>
      </c>
      <c r="D876" s="133" t="s">
        <v>2028</v>
      </c>
      <c r="E876" s="134">
        <v>1</v>
      </c>
      <c r="F876" s="135" t="s">
        <v>1449</v>
      </c>
      <c r="G876" s="185" t="s">
        <v>15</v>
      </c>
      <c r="H876" s="185" t="s">
        <v>15</v>
      </c>
      <c r="I876" s="185" t="s">
        <v>15</v>
      </c>
      <c r="J876" s="135" t="s">
        <v>1450</v>
      </c>
      <c r="K876" s="186">
        <v>612</v>
      </c>
      <c r="L876" s="187" t="s">
        <v>173</v>
      </c>
      <c r="M876" s="187" t="s">
        <v>175</v>
      </c>
    </row>
    <row r="877" spans="1:13" s="188" customFormat="1">
      <c r="A877" s="185" t="s">
        <v>1447</v>
      </c>
      <c r="B877" s="133" t="s">
        <v>3990</v>
      </c>
      <c r="C877" s="185" t="s">
        <v>3023</v>
      </c>
      <c r="D877" s="133" t="s">
        <v>2028</v>
      </c>
      <c r="E877" s="134">
        <v>1</v>
      </c>
      <c r="F877" s="135" t="s">
        <v>1449</v>
      </c>
      <c r="G877" s="185" t="s">
        <v>15</v>
      </c>
      <c r="H877" s="185" t="s">
        <v>15</v>
      </c>
      <c r="I877" s="185" t="s">
        <v>15</v>
      </c>
      <c r="J877" s="135" t="s">
        <v>1450</v>
      </c>
      <c r="K877" s="186">
        <v>348</v>
      </c>
      <c r="L877" s="187" t="s">
        <v>173</v>
      </c>
      <c r="M877" s="187" t="s">
        <v>175</v>
      </c>
    </row>
    <row r="878" spans="1:13" s="188" customFormat="1">
      <c r="A878" s="185" t="s">
        <v>1447</v>
      </c>
      <c r="B878" s="133" t="s">
        <v>3991</v>
      </c>
      <c r="C878" s="185" t="s">
        <v>3023</v>
      </c>
      <c r="D878" s="133" t="s">
        <v>2028</v>
      </c>
      <c r="E878" s="134">
        <v>1</v>
      </c>
      <c r="F878" s="135" t="s">
        <v>1449</v>
      </c>
      <c r="G878" s="185" t="s">
        <v>15</v>
      </c>
      <c r="H878" s="185" t="s">
        <v>15</v>
      </c>
      <c r="I878" s="185" t="s">
        <v>15</v>
      </c>
      <c r="J878" s="135" t="s">
        <v>1450</v>
      </c>
      <c r="K878" s="186">
        <v>252</v>
      </c>
      <c r="L878" s="187" t="s">
        <v>173</v>
      </c>
      <c r="M878" s="187" t="s">
        <v>175</v>
      </c>
    </row>
    <row r="879" spans="1:13" s="188" customFormat="1">
      <c r="A879" s="185" t="s">
        <v>1447</v>
      </c>
      <c r="B879" s="133" t="s">
        <v>3992</v>
      </c>
      <c r="C879" s="185" t="s">
        <v>3023</v>
      </c>
      <c r="D879" s="133" t="s">
        <v>2029</v>
      </c>
      <c r="E879" s="134">
        <v>1</v>
      </c>
      <c r="F879" s="135" t="s">
        <v>1449</v>
      </c>
      <c r="G879" s="185" t="s">
        <v>15</v>
      </c>
      <c r="H879" s="185" t="s">
        <v>15</v>
      </c>
      <c r="I879" s="185" t="s">
        <v>15</v>
      </c>
      <c r="J879" s="135" t="s">
        <v>1450</v>
      </c>
      <c r="K879" s="186">
        <v>696</v>
      </c>
      <c r="L879" s="187" t="s">
        <v>173</v>
      </c>
      <c r="M879" s="187" t="s">
        <v>175</v>
      </c>
    </row>
    <row r="880" spans="1:13" s="188" customFormat="1">
      <c r="A880" s="185" t="s">
        <v>1447</v>
      </c>
      <c r="B880" s="133" t="s">
        <v>3993</v>
      </c>
      <c r="C880" s="185" t="s">
        <v>3023</v>
      </c>
      <c r="D880" s="133" t="s">
        <v>2029</v>
      </c>
      <c r="E880" s="134">
        <v>1</v>
      </c>
      <c r="F880" s="135" t="s">
        <v>1449</v>
      </c>
      <c r="G880" s="185" t="s">
        <v>15</v>
      </c>
      <c r="H880" s="185" t="s">
        <v>15</v>
      </c>
      <c r="I880" s="185" t="s">
        <v>15</v>
      </c>
      <c r="J880" s="135" t="s">
        <v>1450</v>
      </c>
      <c r="K880" s="186">
        <v>552</v>
      </c>
      <c r="L880" s="187" t="s">
        <v>173</v>
      </c>
      <c r="M880" s="187" t="s">
        <v>175</v>
      </c>
    </row>
    <row r="881" spans="1:13" s="188" customFormat="1">
      <c r="A881" s="185" t="s">
        <v>1447</v>
      </c>
      <c r="B881" s="133" t="s">
        <v>3994</v>
      </c>
      <c r="C881" s="185" t="s">
        <v>3023</v>
      </c>
      <c r="D881" s="133" t="s">
        <v>2029</v>
      </c>
      <c r="E881" s="134">
        <v>1</v>
      </c>
      <c r="F881" s="135" t="s">
        <v>1449</v>
      </c>
      <c r="G881" s="185" t="s">
        <v>15</v>
      </c>
      <c r="H881" s="185" t="s">
        <v>15</v>
      </c>
      <c r="I881" s="185" t="s">
        <v>15</v>
      </c>
      <c r="J881" s="135" t="s">
        <v>1450</v>
      </c>
      <c r="K881" s="186">
        <v>384</v>
      </c>
      <c r="L881" s="187" t="s">
        <v>173</v>
      </c>
      <c r="M881" s="187" t="s">
        <v>175</v>
      </c>
    </row>
    <row r="882" spans="1:13" s="188" customFormat="1">
      <c r="A882" s="185" t="s">
        <v>1447</v>
      </c>
      <c r="B882" s="133" t="s">
        <v>3995</v>
      </c>
      <c r="C882" s="185" t="s">
        <v>3023</v>
      </c>
      <c r="D882" s="133" t="s">
        <v>2030</v>
      </c>
      <c r="E882" s="134">
        <v>1</v>
      </c>
      <c r="F882" s="135" t="s">
        <v>1449</v>
      </c>
      <c r="G882" s="185" t="s">
        <v>15</v>
      </c>
      <c r="H882" s="185" t="s">
        <v>15</v>
      </c>
      <c r="I882" s="185" t="s">
        <v>15</v>
      </c>
      <c r="J882" s="135" t="s">
        <v>1450</v>
      </c>
      <c r="K882" s="186">
        <v>696</v>
      </c>
      <c r="L882" s="187" t="s">
        <v>173</v>
      </c>
      <c r="M882" s="187" t="s">
        <v>175</v>
      </c>
    </row>
    <row r="883" spans="1:13" s="188" customFormat="1">
      <c r="A883" s="185" t="s">
        <v>1447</v>
      </c>
      <c r="B883" s="133" t="s">
        <v>3996</v>
      </c>
      <c r="C883" s="185" t="s">
        <v>3023</v>
      </c>
      <c r="D883" s="133" t="s">
        <v>2030</v>
      </c>
      <c r="E883" s="134">
        <v>1</v>
      </c>
      <c r="F883" s="135" t="s">
        <v>1449</v>
      </c>
      <c r="G883" s="185" t="s">
        <v>15</v>
      </c>
      <c r="H883" s="185" t="s">
        <v>15</v>
      </c>
      <c r="I883" s="185" t="s">
        <v>15</v>
      </c>
      <c r="J883" s="135" t="s">
        <v>1450</v>
      </c>
      <c r="K883" s="186">
        <v>552</v>
      </c>
      <c r="L883" s="187" t="s">
        <v>173</v>
      </c>
      <c r="M883" s="187" t="s">
        <v>175</v>
      </c>
    </row>
    <row r="884" spans="1:13" s="188" customFormat="1">
      <c r="A884" s="185" t="s">
        <v>1447</v>
      </c>
      <c r="B884" s="133" t="s">
        <v>3997</v>
      </c>
      <c r="C884" s="185" t="s">
        <v>3023</v>
      </c>
      <c r="D884" s="133" t="s">
        <v>2030</v>
      </c>
      <c r="E884" s="134">
        <v>1</v>
      </c>
      <c r="F884" s="135" t="s">
        <v>1449</v>
      </c>
      <c r="G884" s="185" t="s">
        <v>15</v>
      </c>
      <c r="H884" s="185" t="s">
        <v>15</v>
      </c>
      <c r="I884" s="185" t="s">
        <v>15</v>
      </c>
      <c r="J884" s="135" t="s">
        <v>1450</v>
      </c>
      <c r="K884" s="186">
        <v>384</v>
      </c>
      <c r="L884" s="187" t="s">
        <v>173</v>
      </c>
      <c r="M884" s="187" t="s">
        <v>175</v>
      </c>
    </row>
    <row r="885" spans="1:13" s="188" customFormat="1">
      <c r="A885" s="185" t="s">
        <v>1447</v>
      </c>
      <c r="B885" s="133" t="s">
        <v>3998</v>
      </c>
      <c r="C885" s="185" t="s">
        <v>3023</v>
      </c>
      <c r="D885" s="133" t="s">
        <v>2031</v>
      </c>
      <c r="E885" s="134">
        <v>1</v>
      </c>
      <c r="F885" s="135" t="s">
        <v>1449</v>
      </c>
      <c r="G885" s="185" t="s">
        <v>15</v>
      </c>
      <c r="H885" s="185" t="s">
        <v>15</v>
      </c>
      <c r="I885" s="185" t="s">
        <v>15</v>
      </c>
      <c r="J885" s="135" t="s">
        <v>1450</v>
      </c>
      <c r="K885" s="186">
        <v>636</v>
      </c>
      <c r="L885" s="187" t="s">
        <v>173</v>
      </c>
      <c r="M885" s="187" t="s">
        <v>175</v>
      </c>
    </row>
    <row r="886" spans="1:13" s="188" customFormat="1">
      <c r="A886" s="185" t="s">
        <v>1447</v>
      </c>
      <c r="B886" s="133" t="s">
        <v>3999</v>
      </c>
      <c r="C886" s="185" t="s">
        <v>3023</v>
      </c>
      <c r="D886" s="133" t="s">
        <v>2031</v>
      </c>
      <c r="E886" s="134">
        <v>1</v>
      </c>
      <c r="F886" s="135" t="s">
        <v>1449</v>
      </c>
      <c r="G886" s="185" t="s">
        <v>15</v>
      </c>
      <c r="H886" s="185" t="s">
        <v>15</v>
      </c>
      <c r="I886" s="185" t="s">
        <v>15</v>
      </c>
      <c r="J886" s="135" t="s">
        <v>1450</v>
      </c>
      <c r="K886" s="186">
        <v>444</v>
      </c>
      <c r="L886" s="187" t="s">
        <v>173</v>
      </c>
      <c r="M886" s="187" t="s">
        <v>175</v>
      </c>
    </row>
    <row r="887" spans="1:13" s="188" customFormat="1">
      <c r="A887" s="185" t="s">
        <v>1447</v>
      </c>
      <c r="B887" s="133" t="s">
        <v>4000</v>
      </c>
      <c r="C887" s="185" t="s">
        <v>3023</v>
      </c>
      <c r="D887" s="133" t="s">
        <v>2031</v>
      </c>
      <c r="E887" s="134">
        <v>1</v>
      </c>
      <c r="F887" s="135" t="s">
        <v>1449</v>
      </c>
      <c r="G887" s="185" t="s">
        <v>15</v>
      </c>
      <c r="H887" s="185" t="s">
        <v>15</v>
      </c>
      <c r="I887" s="185" t="s">
        <v>15</v>
      </c>
      <c r="J887" s="135" t="s">
        <v>1450</v>
      </c>
      <c r="K887" s="186">
        <v>312</v>
      </c>
      <c r="L887" s="187" t="s">
        <v>173</v>
      </c>
      <c r="M887" s="187" t="s">
        <v>175</v>
      </c>
    </row>
    <row r="888" spans="1:13" s="188" customFormat="1">
      <c r="A888" s="185" t="s">
        <v>1447</v>
      </c>
      <c r="B888" s="133" t="s">
        <v>4001</v>
      </c>
      <c r="C888" s="185" t="s">
        <v>3023</v>
      </c>
      <c r="D888" s="133" t="s">
        <v>2032</v>
      </c>
      <c r="E888" s="134">
        <v>1</v>
      </c>
      <c r="F888" s="135" t="s">
        <v>1449</v>
      </c>
      <c r="G888" s="185" t="s">
        <v>15</v>
      </c>
      <c r="H888" s="185" t="s">
        <v>15</v>
      </c>
      <c r="I888" s="185" t="s">
        <v>15</v>
      </c>
      <c r="J888" s="135" t="s">
        <v>1450</v>
      </c>
      <c r="K888" s="186">
        <v>600</v>
      </c>
      <c r="L888" s="187" t="s">
        <v>173</v>
      </c>
      <c r="M888" s="187" t="s">
        <v>175</v>
      </c>
    </row>
    <row r="889" spans="1:13" s="188" customFormat="1">
      <c r="A889" s="185" t="s">
        <v>1447</v>
      </c>
      <c r="B889" s="133" t="s">
        <v>4002</v>
      </c>
      <c r="C889" s="185" t="s">
        <v>3023</v>
      </c>
      <c r="D889" s="133" t="s">
        <v>2032</v>
      </c>
      <c r="E889" s="134">
        <v>1</v>
      </c>
      <c r="F889" s="135" t="s">
        <v>1449</v>
      </c>
      <c r="G889" s="185" t="s">
        <v>15</v>
      </c>
      <c r="H889" s="185" t="s">
        <v>15</v>
      </c>
      <c r="I889" s="185" t="s">
        <v>15</v>
      </c>
      <c r="J889" s="135" t="s">
        <v>1450</v>
      </c>
      <c r="K889" s="186">
        <v>372</v>
      </c>
      <c r="L889" s="187" t="s">
        <v>173</v>
      </c>
      <c r="M889" s="187" t="s">
        <v>175</v>
      </c>
    </row>
    <row r="890" spans="1:13" s="188" customFormat="1">
      <c r="A890" s="185" t="s">
        <v>1447</v>
      </c>
      <c r="B890" s="133" t="s">
        <v>4003</v>
      </c>
      <c r="C890" s="185" t="s">
        <v>3023</v>
      </c>
      <c r="D890" s="133" t="s">
        <v>2032</v>
      </c>
      <c r="E890" s="134">
        <v>1</v>
      </c>
      <c r="F890" s="135" t="s">
        <v>1449</v>
      </c>
      <c r="G890" s="185" t="s">
        <v>15</v>
      </c>
      <c r="H890" s="185" t="s">
        <v>15</v>
      </c>
      <c r="I890" s="185" t="s">
        <v>15</v>
      </c>
      <c r="J890" s="135" t="s">
        <v>1450</v>
      </c>
      <c r="K890" s="186">
        <v>264</v>
      </c>
      <c r="L890" s="187" t="s">
        <v>173</v>
      </c>
      <c r="M890" s="187" t="s">
        <v>175</v>
      </c>
    </row>
    <row r="891" spans="1:13" s="188" customFormat="1">
      <c r="A891" s="185" t="s">
        <v>1447</v>
      </c>
      <c r="B891" s="133" t="s">
        <v>4004</v>
      </c>
      <c r="C891" s="185" t="s">
        <v>3023</v>
      </c>
      <c r="D891" s="133" t="s">
        <v>4005</v>
      </c>
      <c r="E891" s="134">
        <v>1</v>
      </c>
      <c r="F891" s="135" t="s">
        <v>1449</v>
      </c>
      <c r="G891" s="185" t="s">
        <v>15</v>
      </c>
      <c r="H891" s="185" t="s">
        <v>15</v>
      </c>
      <c r="I891" s="185" t="s">
        <v>15</v>
      </c>
      <c r="J891" s="135" t="s">
        <v>1450</v>
      </c>
      <c r="K891" s="186">
        <v>10212</v>
      </c>
      <c r="L891" s="187" t="s">
        <v>173</v>
      </c>
      <c r="M891" s="187" t="s">
        <v>175</v>
      </c>
    </row>
    <row r="892" spans="1:13" s="188" customFormat="1">
      <c r="A892" s="185" t="s">
        <v>1447</v>
      </c>
      <c r="B892" s="133" t="s">
        <v>4006</v>
      </c>
      <c r="C892" s="185" t="s">
        <v>3023</v>
      </c>
      <c r="D892" s="133" t="s">
        <v>4005</v>
      </c>
      <c r="E892" s="134">
        <v>1</v>
      </c>
      <c r="F892" s="135" t="s">
        <v>1449</v>
      </c>
      <c r="G892" s="185" t="s">
        <v>15</v>
      </c>
      <c r="H892" s="185" t="s">
        <v>15</v>
      </c>
      <c r="I892" s="185" t="s">
        <v>15</v>
      </c>
      <c r="J892" s="135" t="s">
        <v>1450</v>
      </c>
      <c r="K892" s="186">
        <v>6540</v>
      </c>
      <c r="L892" s="187" t="s">
        <v>173</v>
      </c>
      <c r="M892" s="187" t="s">
        <v>175</v>
      </c>
    </row>
    <row r="893" spans="1:13" s="188" customFormat="1">
      <c r="A893" s="185" t="s">
        <v>1447</v>
      </c>
      <c r="B893" s="133" t="s">
        <v>4007</v>
      </c>
      <c r="C893" s="185" t="s">
        <v>3023</v>
      </c>
      <c r="D893" s="133" t="s">
        <v>4005</v>
      </c>
      <c r="E893" s="134">
        <v>1</v>
      </c>
      <c r="F893" s="135" t="s">
        <v>1449</v>
      </c>
      <c r="G893" s="185" t="s">
        <v>15</v>
      </c>
      <c r="H893" s="185" t="s">
        <v>15</v>
      </c>
      <c r="I893" s="185" t="s">
        <v>15</v>
      </c>
      <c r="J893" s="135" t="s">
        <v>1450</v>
      </c>
      <c r="K893" s="186">
        <v>5172</v>
      </c>
      <c r="L893" s="187" t="s">
        <v>173</v>
      </c>
      <c r="M893" s="187" t="s">
        <v>175</v>
      </c>
    </row>
    <row r="894" spans="1:13" s="188" customFormat="1">
      <c r="A894" s="185" t="s">
        <v>1447</v>
      </c>
      <c r="B894" s="133" t="s">
        <v>4008</v>
      </c>
      <c r="C894" s="185" t="s">
        <v>3023</v>
      </c>
      <c r="D894" s="133" t="s">
        <v>4005</v>
      </c>
      <c r="E894" s="134">
        <v>1</v>
      </c>
      <c r="F894" s="135" t="s">
        <v>1449</v>
      </c>
      <c r="G894" s="185" t="s">
        <v>15</v>
      </c>
      <c r="H894" s="185" t="s">
        <v>15</v>
      </c>
      <c r="I894" s="185" t="s">
        <v>15</v>
      </c>
      <c r="J894" s="135" t="s">
        <v>1450</v>
      </c>
      <c r="K894" s="186">
        <v>4080</v>
      </c>
      <c r="L894" s="187" t="s">
        <v>173</v>
      </c>
      <c r="M894" s="187" t="s">
        <v>175</v>
      </c>
    </row>
    <row r="895" spans="1:13" s="188" customFormat="1">
      <c r="A895" s="185" t="s">
        <v>1447</v>
      </c>
      <c r="B895" s="133" t="s">
        <v>4009</v>
      </c>
      <c r="C895" s="185" t="s">
        <v>3023</v>
      </c>
      <c r="D895" s="133" t="s">
        <v>4005</v>
      </c>
      <c r="E895" s="134">
        <v>1</v>
      </c>
      <c r="F895" s="135" t="s">
        <v>1449</v>
      </c>
      <c r="G895" s="185" t="s">
        <v>15</v>
      </c>
      <c r="H895" s="185" t="s">
        <v>15</v>
      </c>
      <c r="I895" s="185" t="s">
        <v>15</v>
      </c>
      <c r="J895" s="135" t="s">
        <v>1450</v>
      </c>
      <c r="K895" s="186">
        <v>3636</v>
      </c>
      <c r="L895" s="187" t="s">
        <v>173</v>
      </c>
      <c r="M895" s="187" t="s">
        <v>175</v>
      </c>
    </row>
    <row r="896" spans="1:13" s="188" customFormat="1">
      <c r="A896" s="185" t="s">
        <v>1447</v>
      </c>
      <c r="B896" s="133" t="s">
        <v>4010</v>
      </c>
      <c r="C896" s="185" t="s">
        <v>3023</v>
      </c>
      <c r="D896" s="133" t="s">
        <v>2033</v>
      </c>
      <c r="E896" s="134">
        <v>1</v>
      </c>
      <c r="F896" s="135" t="s">
        <v>1449</v>
      </c>
      <c r="G896" s="185" t="s">
        <v>15</v>
      </c>
      <c r="H896" s="185" t="s">
        <v>15</v>
      </c>
      <c r="I896" s="185" t="s">
        <v>15</v>
      </c>
      <c r="J896" s="135" t="s">
        <v>1450</v>
      </c>
      <c r="K896" s="186">
        <v>876</v>
      </c>
      <c r="L896" s="187" t="s">
        <v>173</v>
      </c>
      <c r="M896" s="187" t="s">
        <v>175</v>
      </c>
    </row>
    <row r="897" spans="1:13" s="188" customFormat="1">
      <c r="A897" s="185" t="s">
        <v>1447</v>
      </c>
      <c r="B897" s="133" t="s">
        <v>4011</v>
      </c>
      <c r="C897" s="185" t="s">
        <v>3023</v>
      </c>
      <c r="D897" s="133" t="s">
        <v>2033</v>
      </c>
      <c r="E897" s="134">
        <v>1</v>
      </c>
      <c r="F897" s="135" t="s">
        <v>1449</v>
      </c>
      <c r="G897" s="185" t="s">
        <v>15</v>
      </c>
      <c r="H897" s="185" t="s">
        <v>15</v>
      </c>
      <c r="I897" s="185" t="s">
        <v>15</v>
      </c>
      <c r="J897" s="135" t="s">
        <v>1450</v>
      </c>
      <c r="K897" s="186">
        <v>768</v>
      </c>
      <c r="L897" s="187" t="s">
        <v>173</v>
      </c>
      <c r="M897" s="187" t="s">
        <v>175</v>
      </c>
    </row>
    <row r="898" spans="1:13" s="188" customFormat="1">
      <c r="A898" s="185" t="s">
        <v>1447</v>
      </c>
      <c r="B898" s="133" t="s">
        <v>4012</v>
      </c>
      <c r="C898" s="185" t="s">
        <v>3023</v>
      </c>
      <c r="D898" s="133" t="s">
        <v>2033</v>
      </c>
      <c r="E898" s="134">
        <v>1</v>
      </c>
      <c r="F898" s="135" t="s">
        <v>1449</v>
      </c>
      <c r="G898" s="185" t="s">
        <v>15</v>
      </c>
      <c r="H898" s="185" t="s">
        <v>15</v>
      </c>
      <c r="I898" s="185" t="s">
        <v>15</v>
      </c>
      <c r="J898" s="135" t="s">
        <v>1450</v>
      </c>
      <c r="K898" s="186">
        <v>696</v>
      </c>
      <c r="L898" s="187" t="s">
        <v>173</v>
      </c>
      <c r="M898" s="187" t="s">
        <v>175</v>
      </c>
    </row>
    <row r="899" spans="1:13" s="188" customFormat="1">
      <c r="A899" s="185" t="s">
        <v>1447</v>
      </c>
      <c r="B899" s="133" t="s">
        <v>4013</v>
      </c>
      <c r="C899" s="185" t="s">
        <v>3023</v>
      </c>
      <c r="D899" s="133" t="s">
        <v>4014</v>
      </c>
      <c r="E899" s="134">
        <v>1</v>
      </c>
      <c r="F899" s="135" t="s">
        <v>1449</v>
      </c>
      <c r="G899" s="185" t="s">
        <v>15</v>
      </c>
      <c r="H899" s="185" t="s">
        <v>15</v>
      </c>
      <c r="I899" s="185" t="s">
        <v>15</v>
      </c>
      <c r="J899" s="135" t="s">
        <v>1450</v>
      </c>
      <c r="K899" s="186">
        <v>30504</v>
      </c>
      <c r="L899" s="187" t="s">
        <v>173</v>
      </c>
      <c r="M899" s="187" t="s">
        <v>175</v>
      </c>
    </row>
    <row r="900" spans="1:13" s="188" customFormat="1">
      <c r="A900" s="185" t="s">
        <v>1447</v>
      </c>
      <c r="B900" s="133" t="s">
        <v>4015</v>
      </c>
      <c r="C900" s="185" t="s">
        <v>3023</v>
      </c>
      <c r="D900" s="133" t="s">
        <v>4014</v>
      </c>
      <c r="E900" s="134">
        <v>1</v>
      </c>
      <c r="F900" s="135" t="s">
        <v>1449</v>
      </c>
      <c r="G900" s="185" t="s">
        <v>15</v>
      </c>
      <c r="H900" s="185" t="s">
        <v>15</v>
      </c>
      <c r="I900" s="185" t="s">
        <v>15</v>
      </c>
      <c r="J900" s="135" t="s">
        <v>1450</v>
      </c>
      <c r="K900" s="186">
        <v>18060</v>
      </c>
      <c r="L900" s="187" t="s">
        <v>173</v>
      </c>
      <c r="M900" s="187" t="s">
        <v>175</v>
      </c>
    </row>
    <row r="901" spans="1:13" s="188" customFormat="1">
      <c r="A901" s="185" t="s">
        <v>1447</v>
      </c>
      <c r="B901" s="133" t="s">
        <v>4016</v>
      </c>
      <c r="C901" s="185" t="s">
        <v>3023</v>
      </c>
      <c r="D901" s="133" t="s">
        <v>4014</v>
      </c>
      <c r="E901" s="134">
        <v>1</v>
      </c>
      <c r="F901" s="135" t="s">
        <v>1449</v>
      </c>
      <c r="G901" s="185" t="s">
        <v>15</v>
      </c>
      <c r="H901" s="185" t="s">
        <v>15</v>
      </c>
      <c r="I901" s="185" t="s">
        <v>15</v>
      </c>
      <c r="J901" s="135" t="s">
        <v>1450</v>
      </c>
      <c r="K901" s="186">
        <v>8088</v>
      </c>
      <c r="L901" s="187" t="s">
        <v>173</v>
      </c>
      <c r="M901" s="187" t="s">
        <v>175</v>
      </c>
    </row>
    <row r="902" spans="1:13" s="188" customFormat="1">
      <c r="A902" s="185" t="s">
        <v>1447</v>
      </c>
      <c r="B902" s="133" t="s">
        <v>4017</v>
      </c>
      <c r="C902" s="185" t="s">
        <v>3023</v>
      </c>
      <c r="D902" s="133" t="s">
        <v>4018</v>
      </c>
      <c r="E902" s="134">
        <v>1</v>
      </c>
      <c r="F902" s="135" t="s">
        <v>1449</v>
      </c>
      <c r="G902" s="185" t="s">
        <v>15</v>
      </c>
      <c r="H902" s="185" t="s">
        <v>15</v>
      </c>
      <c r="I902" s="185" t="s">
        <v>15</v>
      </c>
      <c r="J902" s="135" t="s">
        <v>1450</v>
      </c>
      <c r="K902" s="186">
        <v>432</v>
      </c>
      <c r="L902" s="187" t="s">
        <v>173</v>
      </c>
      <c r="M902" s="187" t="s">
        <v>175</v>
      </c>
    </row>
    <row r="903" spans="1:13" s="188" customFormat="1">
      <c r="A903" s="185" t="s">
        <v>1447</v>
      </c>
      <c r="B903" s="133" t="s">
        <v>4019</v>
      </c>
      <c r="C903" s="185" t="s">
        <v>3023</v>
      </c>
      <c r="D903" s="133" t="s">
        <v>4018</v>
      </c>
      <c r="E903" s="134">
        <v>1</v>
      </c>
      <c r="F903" s="135" t="s">
        <v>1449</v>
      </c>
      <c r="G903" s="185" t="s">
        <v>15</v>
      </c>
      <c r="H903" s="185" t="s">
        <v>15</v>
      </c>
      <c r="I903" s="185" t="s">
        <v>15</v>
      </c>
      <c r="J903" s="135" t="s">
        <v>1450</v>
      </c>
      <c r="K903" s="186">
        <v>264</v>
      </c>
      <c r="L903" s="187" t="s">
        <v>173</v>
      </c>
      <c r="M903" s="187" t="s">
        <v>175</v>
      </c>
    </row>
    <row r="904" spans="1:13" s="188" customFormat="1">
      <c r="A904" s="185" t="s">
        <v>1447</v>
      </c>
      <c r="B904" s="133" t="s">
        <v>4020</v>
      </c>
      <c r="C904" s="185" t="s">
        <v>3023</v>
      </c>
      <c r="D904" s="133" t="s">
        <v>4018</v>
      </c>
      <c r="E904" s="134">
        <v>1</v>
      </c>
      <c r="F904" s="135" t="s">
        <v>1449</v>
      </c>
      <c r="G904" s="185" t="s">
        <v>15</v>
      </c>
      <c r="H904" s="185" t="s">
        <v>15</v>
      </c>
      <c r="I904" s="185" t="s">
        <v>15</v>
      </c>
      <c r="J904" s="135" t="s">
        <v>1450</v>
      </c>
      <c r="K904" s="186">
        <v>192</v>
      </c>
      <c r="L904" s="187" t="s">
        <v>173</v>
      </c>
      <c r="M904" s="187" t="s">
        <v>175</v>
      </c>
    </row>
    <row r="905" spans="1:13" s="188" customFormat="1">
      <c r="A905" s="185" t="s">
        <v>1447</v>
      </c>
      <c r="B905" s="133" t="s">
        <v>4021</v>
      </c>
      <c r="C905" s="185" t="s">
        <v>3023</v>
      </c>
      <c r="D905" s="133" t="s">
        <v>4018</v>
      </c>
      <c r="E905" s="134">
        <v>1</v>
      </c>
      <c r="F905" s="135" t="s">
        <v>1449</v>
      </c>
      <c r="G905" s="185" t="s">
        <v>15</v>
      </c>
      <c r="H905" s="185" t="s">
        <v>15</v>
      </c>
      <c r="I905" s="185" t="s">
        <v>15</v>
      </c>
      <c r="J905" s="135" t="s">
        <v>1450</v>
      </c>
      <c r="K905" s="186">
        <v>144</v>
      </c>
      <c r="L905" s="187" t="s">
        <v>173</v>
      </c>
      <c r="M905" s="187" t="s">
        <v>175</v>
      </c>
    </row>
    <row r="906" spans="1:13" s="188" customFormat="1">
      <c r="A906" s="185" t="s">
        <v>1447</v>
      </c>
      <c r="B906" s="133" t="s">
        <v>4022</v>
      </c>
      <c r="C906" s="185" t="s">
        <v>3023</v>
      </c>
      <c r="D906" s="133" t="s">
        <v>4018</v>
      </c>
      <c r="E906" s="134">
        <v>1</v>
      </c>
      <c r="F906" s="135" t="s">
        <v>1449</v>
      </c>
      <c r="G906" s="185" t="s">
        <v>15</v>
      </c>
      <c r="H906" s="185" t="s">
        <v>15</v>
      </c>
      <c r="I906" s="185" t="s">
        <v>15</v>
      </c>
      <c r="J906" s="135" t="s">
        <v>1450</v>
      </c>
      <c r="K906" s="186">
        <v>120</v>
      </c>
      <c r="L906" s="187" t="s">
        <v>173</v>
      </c>
      <c r="M906" s="187" t="s">
        <v>175</v>
      </c>
    </row>
    <row r="907" spans="1:13" s="188" customFormat="1">
      <c r="A907" s="185" t="s">
        <v>1447</v>
      </c>
      <c r="B907" s="133" t="s">
        <v>4023</v>
      </c>
      <c r="C907" s="185" t="s">
        <v>3023</v>
      </c>
      <c r="D907" s="133" t="s">
        <v>4018</v>
      </c>
      <c r="E907" s="134">
        <v>1</v>
      </c>
      <c r="F907" s="135" t="s">
        <v>1449</v>
      </c>
      <c r="G907" s="185" t="s">
        <v>15</v>
      </c>
      <c r="H907" s="185" t="s">
        <v>15</v>
      </c>
      <c r="I907" s="185" t="s">
        <v>15</v>
      </c>
      <c r="J907" s="135" t="s">
        <v>1450</v>
      </c>
      <c r="K907" s="186">
        <v>105.84</v>
      </c>
      <c r="L907" s="187" t="s">
        <v>173</v>
      </c>
      <c r="M907" s="187" t="s">
        <v>175</v>
      </c>
    </row>
    <row r="908" spans="1:13" s="188" customFormat="1">
      <c r="A908" s="185" t="s">
        <v>1447</v>
      </c>
      <c r="B908" s="133" t="s">
        <v>4024</v>
      </c>
      <c r="C908" s="185" t="s">
        <v>3023</v>
      </c>
      <c r="D908" s="133" t="s">
        <v>4018</v>
      </c>
      <c r="E908" s="134">
        <v>1</v>
      </c>
      <c r="F908" s="135" t="s">
        <v>1449</v>
      </c>
      <c r="G908" s="185" t="s">
        <v>15</v>
      </c>
      <c r="H908" s="185" t="s">
        <v>15</v>
      </c>
      <c r="I908" s="185" t="s">
        <v>15</v>
      </c>
      <c r="J908" s="135" t="s">
        <v>1450</v>
      </c>
      <c r="K908" s="186">
        <v>87.12</v>
      </c>
      <c r="L908" s="187" t="s">
        <v>173</v>
      </c>
      <c r="M908" s="187" t="s">
        <v>175</v>
      </c>
    </row>
    <row r="909" spans="1:13" s="188" customFormat="1">
      <c r="A909" s="185" t="s">
        <v>1447</v>
      </c>
      <c r="B909" s="133" t="s">
        <v>4025</v>
      </c>
      <c r="C909" s="185" t="s">
        <v>3023</v>
      </c>
      <c r="D909" s="133" t="s">
        <v>4018</v>
      </c>
      <c r="E909" s="134">
        <v>1</v>
      </c>
      <c r="F909" s="135" t="s">
        <v>1449</v>
      </c>
      <c r="G909" s="185" t="s">
        <v>15</v>
      </c>
      <c r="H909" s="185" t="s">
        <v>15</v>
      </c>
      <c r="I909" s="185" t="s">
        <v>15</v>
      </c>
      <c r="J909" s="135" t="s">
        <v>1450</v>
      </c>
      <c r="K909" s="186">
        <v>68.52</v>
      </c>
      <c r="L909" s="187" t="s">
        <v>173</v>
      </c>
      <c r="M909" s="187" t="s">
        <v>175</v>
      </c>
    </row>
    <row r="910" spans="1:13" s="188" customFormat="1">
      <c r="A910" s="185" t="s">
        <v>1447</v>
      </c>
      <c r="B910" s="133" t="s">
        <v>4026</v>
      </c>
      <c r="C910" s="185" t="s">
        <v>3023</v>
      </c>
      <c r="D910" s="133" t="s">
        <v>4027</v>
      </c>
      <c r="E910" s="134">
        <v>1</v>
      </c>
      <c r="F910" s="135" t="s">
        <v>1449</v>
      </c>
      <c r="G910" s="185" t="s">
        <v>15</v>
      </c>
      <c r="H910" s="185" t="s">
        <v>15</v>
      </c>
      <c r="I910" s="185" t="s">
        <v>15</v>
      </c>
      <c r="J910" s="135" t="s">
        <v>1450</v>
      </c>
      <c r="K910" s="186">
        <v>1560</v>
      </c>
      <c r="L910" s="187" t="s">
        <v>173</v>
      </c>
      <c r="M910" s="187" t="s">
        <v>175</v>
      </c>
    </row>
    <row r="911" spans="1:13" s="188" customFormat="1">
      <c r="A911" s="185" t="s">
        <v>1447</v>
      </c>
      <c r="B911" s="133" t="s">
        <v>4028</v>
      </c>
      <c r="C911" s="185" t="s">
        <v>3023</v>
      </c>
      <c r="D911" s="133" t="s">
        <v>4029</v>
      </c>
      <c r="E911" s="134">
        <v>1</v>
      </c>
      <c r="F911" s="135" t="s">
        <v>1449</v>
      </c>
      <c r="G911" s="185" t="s">
        <v>15</v>
      </c>
      <c r="H911" s="185" t="s">
        <v>15</v>
      </c>
      <c r="I911" s="185" t="s">
        <v>15</v>
      </c>
      <c r="J911" s="135" t="s">
        <v>1450</v>
      </c>
      <c r="K911" s="186">
        <v>4044</v>
      </c>
      <c r="L911" s="187" t="s">
        <v>173</v>
      </c>
      <c r="M911" s="187" t="s">
        <v>175</v>
      </c>
    </row>
    <row r="912" spans="1:13" s="188" customFormat="1">
      <c r="A912" s="185" t="s">
        <v>1447</v>
      </c>
      <c r="B912" s="133" t="s">
        <v>4030</v>
      </c>
      <c r="C912" s="185" t="s">
        <v>3023</v>
      </c>
      <c r="D912" s="133" t="s">
        <v>4031</v>
      </c>
      <c r="E912" s="134">
        <v>1</v>
      </c>
      <c r="F912" s="135" t="s">
        <v>1449</v>
      </c>
      <c r="G912" s="185" t="s">
        <v>15</v>
      </c>
      <c r="H912" s="185" t="s">
        <v>15</v>
      </c>
      <c r="I912" s="185" t="s">
        <v>15</v>
      </c>
      <c r="J912" s="135" t="s">
        <v>1450</v>
      </c>
      <c r="K912" s="186">
        <v>1536</v>
      </c>
      <c r="L912" s="187" t="s">
        <v>173</v>
      </c>
      <c r="M912" s="187" t="s">
        <v>175</v>
      </c>
    </row>
    <row r="913" spans="1:13" s="188" customFormat="1">
      <c r="A913" s="185" t="s">
        <v>1447</v>
      </c>
      <c r="B913" s="133" t="s">
        <v>4032</v>
      </c>
      <c r="C913" s="185" t="s">
        <v>3023</v>
      </c>
      <c r="D913" s="133" t="s">
        <v>4031</v>
      </c>
      <c r="E913" s="134">
        <v>1</v>
      </c>
      <c r="F913" s="135" t="s">
        <v>1449</v>
      </c>
      <c r="G913" s="185" t="s">
        <v>15</v>
      </c>
      <c r="H913" s="185" t="s">
        <v>15</v>
      </c>
      <c r="I913" s="185" t="s">
        <v>15</v>
      </c>
      <c r="J913" s="135" t="s">
        <v>1450</v>
      </c>
      <c r="K913" s="186">
        <v>1272</v>
      </c>
      <c r="L913" s="187" t="s">
        <v>173</v>
      </c>
      <c r="M913" s="187" t="s">
        <v>175</v>
      </c>
    </row>
    <row r="914" spans="1:13" s="188" customFormat="1">
      <c r="A914" s="185" t="s">
        <v>1447</v>
      </c>
      <c r="B914" s="133" t="s">
        <v>4033</v>
      </c>
      <c r="C914" s="185" t="s">
        <v>3023</v>
      </c>
      <c r="D914" s="133" t="s">
        <v>4031</v>
      </c>
      <c r="E914" s="134">
        <v>1</v>
      </c>
      <c r="F914" s="135" t="s">
        <v>1449</v>
      </c>
      <c r="G914" s="185" t="s">
        <v>15</v>
      </c>
      <c r="H914" s="185" t="s">
        <v>15</v>
      </c>
      <c r="I914" s="185" t="s">
        <v>15</v>
      </c>
      <c r="J914" s="135" t="s">
        <v>1450</v>
      </c>
      <c r="K914" s="186">
        <v>1020</v>
      </c>
      <c r="L914" s="187" t="s">
        <v>173</v>
      </c>
      <c r="M914" s="187" t="s">
        <v>175</v>
      </c>
    </row>
    <row r="915" spans="1:13" s="188" customFormat="1">
      <c r="A915" s="185" t="s">
        <v>1447</v>
      </c>
      <c r="B915" s="133" t="s">
        <v>4034</v>
      </c>
      <c r="C915" s="185" t="s">
        <v>3023</v>
      </c>
      <c r="D915" s="133" t="s">
        <v>4031</v>
      </c>
      <c r="E915" s="134">
        <v>1</v>
      </c>
      <c r="F915" s="135" t="s">
        <v>1449</v>
      </c>
      <c r="G915" s="185" t="s">
        <v>15</v>
      </c>
      <c r="H915" s="185" t="s">
        <v>15</v>
      </c>
      <c r="I915" s="185" t="s">
        <v>15</v>
      </c>
      <c r="J915" s="135" t="s">
        <v>1450</v>
      </c>
      <c r="K915" s="186">
        <v>756</v>
      </c>
      <c r="L915" s="187" t="s">
        <v>173</v>
      </c>
      <c r="M915" s="187" t="s">
        <v>175</v>
      </c>
    </row>
    <row r="916" spans="1:13" s="188" customFormat="1">
      <c r="A916" s="185" t="s">
        <v>1447</v>
      </c>
      <c r="B916" s="133" t="s">
        <v>4035</v>
      </c>
      <c r="C916" s="185" t="s">
        <v>3023</v>
      </c>
      <c r="D916" s="133" t="s">
        <v>2035</v>
      </c>
      <c r="E916" s="134">
        <v>1</v>
      </c>
      <c r="F916" s="135" t="s">
        <v>1449</v>
      </c>
      <c r="G916" s="185" t="s">
        <v>15</v>
      </c>
      <c r="H916" s="185" t="s">
        <v>15</v>
      </c>
      <c r="I916" s="185" t="s">
        <v>15</v>
      </c>
      <c r="J916" s="135" t="s">
        <v>1450</v>
      </c>
      <c r="K916" s="186">
        <v>2736</v>
      </c>
      <c r="L916" s="187" t="s">
        <v>173</v>
      </c>
      <c r="M916" s="187" t="s">
        <v>175</v>
      </c>
    </row>
    <row r="917" spans="1:13" s="188" customFormat="1">
      <c r="A917" s="185" t="s">
        <v>1447</v>
      </c>
      <c r="B917" s="133" t="s">
        <v>4036</v>
      </c>
      <c r="C917" s="185" t="s">
        <v>3023</v>
      </c>
      <c r="D917" s="133" t="s">
        <v>2036</v>
      </c>
      <c r="E917" s="134">
        <v>1</v>
      </c>
      <c r="F917" s="135" t="s">
        <v>1449</v>
      </c>
      <c r="G917" s="185" t="s">
        <v>15</v>
      </c>
      <c r="H917" s="185" t="s">
        <v>15</v>
      </c>
      <c r="I917" s="185" t="s">
        <v>15</v>
      </c>
      <c r="J917" s="135" t="s">
        <v>1450</v>
      </c>
      <c r="K917" s="186">
        <v>1020</v>
      </c>
      <c r="L917" s="187" t="s">
        <v>173</v>
      </c>
      <c r="M917" s="187" t="s">
        <v>175</v>
      </c>
    </row>
    <row r="918" spans="1:13" s="188" customFormat="1">
      <c r="A918" s="185" t="s">
        <v>1447</v>
      </c>
      <c r="B918" s="133" t="s">
        <v>4037</v>
      </c>
      <c r="C918" s="185" t="s">
        <v>3023</v>
      </c>
      <c r="D918" s="133" t="s">
        <v>2036</v>
      </c>
      <c r="E918" s="134">
        <v>1</v>
      </c>
      <c r="F918" s="135" t="s">
        <v>1449</v>
      </c>
      <c r="G918" s="185" t="s">
        <v>15</v>
      </c>
      <c r="H918" s="185" t="s">
        <v>15</v>
      </c>
      <c r="I918" s="185" t="s">
        <v>15</v>
      </c>
      <c r="J918" s="135" t="s">
        <v>1450</v>
      </c>
      <c r="K918" s="186">
        <v>852</v>
      </c>
      <c r="L918" s="187" t="s">
        <v>173</v>
      </c>
      <c r="M918" s="187" t="s">
        <v>175</v>
      </c>
    </row>
    <row r="919" spans="1:13" s="188" customFormat="1">
      <c r="A919" s="185" t="s">
        <v>1447</v>
      </c>
      <c r="B919" s="133" t="s">
        <v>4038</v>
      </c>
      <c r="C919" s="185" t="s">
        <v>3023</v>
      </c>
      <c r="D919" s="133" t="s">
        <v>2036</v>
      </c>
      <c r="E919" s="134">
        <v>1</v>
      </c>
      <c r="F919" s="135" t="s">
        <v>1449</v>
      </c>
      <c r="G919" s="185" t="s">
        <v>15</v>
      </c>
      <c r="H919" s="185" t="s">
        <v>15</v>
      </c>
      <c r="I919" s="185" t="s">
        <v>15</v>
      </c>
      <c r="J919" s="135" t="s">
        <v>1450</v>
      </c>
      <c r="K919" s="186">
        <v>684</v>
      </c>
      <c r="L919" s="187" t="s">
        <v>173</v>
      </c>
      <c r="M919" s="187" t="s">
        <v>175</v>
      </c>
    </row>
    <row r="920" spans="1:13" s="188" customFormat="1">
      <c r="A920" s="185" t="s">
        <v>1447</v>
      </c>
      <c r="B920" s="133" t="s">
        <v>4039</v>
      </c>
      <c r="C920" s="185" t="s">
        <v>3023</v>
      </c>
      <c r="D920" s="133" t="s">
        <v>2036</v>
      </c>
      <c r="E920" s="134">
        <v>1</v>
      </c>
      <c r="F920" s="135" t="s">
        <v>1449</v>
      </c>
      <c r="G920" s="185" t="s">
        <v>15</v>
      </c>
      <c r="H920" s="185" t="s">
        <v>15</v>
      </c>
      <c r="I920" s="185" t="s">
        <v>15</v>
      </c>
      <c r="J920" s="135" t="s">
        <v>1450</v>
      </c>
      <c r="K920" s="186">
        <v>516</v>
      </c>
      <c r="L920" s="187" t="s">
        <v>173</v>
      </c>
      <c r="M920" s="187" t="s">
        <v>175</v>
      </c>
    </row>
    <row r="921" spans="1:13" s="188" customFormat="1">
      <c r="A921" s="185" t="s">
        <v>1447</v>
      </c>
      <c r="B921" s="133" t="s">
        <v>4040</v>
      </c>
      <c r="C921" s="185" t="s">
        <v>3023</v>
      </c>
      <c r="D921" s="133" t="s">
        <v>2034</v>
      </c>
      <c r="E921" s="134">
        <v>1</v>
      </c>
      <c r="F921" s="135" t="s">
        <v>1449</v>
      </c>
      <c r="G921" s="185" t="s">
        <v>15</v>
      </c>
      <c r="H921" s="185" t="s">
        <v>15</v>
      </c>
      <c r="I921" s="185" t="s">
        <v>15</v>
      </c>
      <c r="J921" s="135" t="s">
        <v>1450</v>
      </c>
      <c r="K921" s="186">
        <v>804</v>
      </c>
      <c r="L921" s="187" t="s">
        <v>173</v>
      </c>
      <c r="M921" s="187" t="s">
        <v>175</v>
      </c>
    </row>
    <row r="922" spans="1:13" s="188" customFormat="1">
      <c r="A922" s="185" t="s">
        <v>1447</v>
      </c>
      <c r="B922" s="133" t="s">
        <v>4041</v>
      </c>
      <c r="C922" s="185" t="s">
        <v>3023</v>
      </c>
      <c r="D922" s="133" t="s">
        <v>2037</v>
      </c>
      <c r="E922" s="134">
        <v>1</v>
      </c>
      <c r="F922" s="135" t="s">
        <v>1449</v>
      </c>
      <c r="G922" s="185" t="s">
        <v>15</v>
      </c>
      <c r="H922" s="185" t="s">
        <v>15</v>
      </c>
      <c r="I922" s="185" t="s">
        <v>15</v>
      </c>
      <c r="J922" s="135" t="s">
        <v>1450</v>
      </c>
      <c r="K922" s="186">
        <v>430224</v>
      </c>
      <c r="L922" s="187" t="s">
        <v>173</v>
      </c>
      <c r="M922" s="187" t="s">
        <v>175</v>
      </c>
    </row>
    <row r="923" spans="1:13" s="188" customFormat="1">
      <c r="A923" s="185" t="s">
        <v>1447</v>
      </c>
      <c r="B923" s="133" t="s">
        <v>4042</v>
      </c>
      <c r="C923" s="185" t="s">
        <v>3023</v>
      </c>
      <c r="D923" s="133" t="s">
        <v>2038</v>
      </c>
      <c r="E923" s="134">
        <v>1</v>
      </c>
      <c r="F923" s="135" t="s">
        <v>1449</v>
      </c>
      <c r="G923" s="185" t="s">
        <v>15</v>
      </c>
      <c r="H923" s="185" t="s">
        <v>15</v>
      </c>
      <c r="I923" s="185" t="s">
        <v>15</v>
      </c>
      <c r="J923" s="135" t="s">
        <v>1450</v>
      </c>
      <c r="K923" s="186">
        <v>582348</v>
      </c>
      <c r="L923" s="187" t="s">
        <v>173</v>
      </c>
      <c r="M923" s="187" t="s">
        <v>175</v>
      </c>
    </row>
    <row r="924" spans="1:13" s="188" customFormat="1">
      <c r="A924" s="185" t="s">
        <v>1447</v>
      </c>
      <c r="B924" s="133" t="s">
        <v>4043</v>
      </c>
      <c r="C924" s="185" t="s">
        <v>3023</v>
      </c>
      <c r="D924" s="133" t="s">
        <v>2039</v>
      </c>
      <c r="E924" s="134">
        <v>1</v>
      </c>
      <c r="F924" s="135" t="s">
        <v>1449</v>
      </c>
      <c r="G924" s="185" t="s">
        <v>15</v>
      </c>
      <c r="H924" s="185" t="s">
        <v>15</v>
      </c>
      <c r="I924" s="185" t="s">
        <v>15</v>
      </c>
      <c r="J924" s="135" t="s">
        <v>1450</v>
      </c>
      <c r="K924" s="186">
        <v>5856</v>
      </c>
      <c r="L924" s="187" t="s">
        <v>173</v>
      </c>
      <c r="M924" s="187" t="s">
        <v>175</v>
      </c>
    </row>
    <row r="925" spans="1:13" s="188" customFormat="1">
      <c r="A925" s="185" t="s">
        <v>1447</v>
      </c>
      <c r="B925" s="133" t="s">
        <v>4044</v>
      </c>
      <c r="C925" s="185" t="s">
        <v>3023</v>
      </c>
      <c r="D925" s="133" t="s">
        <v>2039</v>
      </c>
      <c r="E925" s="134">
        <v>1</v>
      </c>
      <c r="F925" s="135" t="s">
        <v>1449</v>
      </c>
      <c r="G925" s="185" t="s">
        <v>15</v>
      </c>
      <c r="H925" s="185" t="s">
        <v>15</v>
      </c>
      <c r="I925" s="185" t="s">
        <v>15</v>
      </c>
      <c r="J925" s="135" t="s">
        <v>1450</v>
      </c>
      <c r="K925" s="186">
        <v>3492</v>
      </c>
      <c r="L925" s="187" t="s">
        <v>173</v>
      </c>
      <c r="M925" s="187" t="s">
        <v>175</v>
      </c>
    </row>
    <row r="926" spans="1:13" s="188" customFormat="1">
      <c r="A926" s="185" t="s">
        <v>1447</v>
      </c>
      <c r="B926" s="133" t="s">
        <v>4045</v>
      </c>
      <c r="C926" s="185" t="s">
        <v>3023</v>
      </c>
      <c r="D926" s="133" t="s">
        <v>2039</v>
      </c>
      <c r="E926" s="134">
        <v>1</v>
      </c>
      <c r="F926" s="135" t="s">
        <v>1449</v>
      </c>
      <c r="G926" s="185" t="s">
        <v>15</v>
      </c>
      <c r="H926" s="185" t="s">
        <v>15</v>
      </c>
      <c r="I926" s="185" t="s">
        <v>15</v>
      </c>
      <c r="J926" s="135" t="s">
        <v>1450</v>
      </c>
      <c r="K926" s="186">
        <v>2496</v>
      </c>
      <c r="L926" s="187" t="s">
        <v>173</v>
      </c>
      <c r="M926" s="187" t="s">
        <v>175</v>
      </c>
    </row>
    <row r="927" spans="1:13" s="188" customFormat="1">
      <c r="A927" s="185" t="s">
        <v>1447</v>
      </c>
      <c r="B927" s="133" t="s">
        <v>4046</v>
      </c>
      <c r="C927" s="185" t="s">
        <v>3023</v>
      </c>
      <c r="D927" s="133" t="s">
        <v>2039</v>
      </c>
      <c r="E927" s="134">
        <v>1</v>
      </c>
      <c r="F927" s="135" t="s">
        <v>1449</v>
      </c>
      <c r="G927" s="185" t="s">
        <v>15</v>
      </c>
      <c r="H927" s="185" t="s">
        <v>15</v>
      </c>
      <c r="I927" s="185" t="s">
        <v>15</v>
      </c>
      <c r="J927" s="135" t="s">
        <v>1450</v>
      </c>
      <c r="K927" s="186">
        <v>2016</v>
      </c>
      <c r="L927" s="187" t="s">
        <v>173</v>
      </c>
      <c r="M927" s="187" t="s">
        <v>175</v>
      </c>
    </row>
    <row r="928" spans="1:13" s="188" customFormat="1">
      <c r="A928" s="185" t="s">
        <v>1447</v>
      </c>
      <c r="B928" s="133" t="s">
        <v>4047</v>
      </c>
      <c r="C928" s="185" t="s">
        <v>3023</v>
      </c>
      <c r="D928" s="133" t="s">
        <v>2039</v>
      </c>
      <c r="E928" s="134">
        <v>1</v>
      </c>
      <c r="F928" s="135" t="s">
        <v>1449</v>
      </c>
      <c r="G928" s="185" t="s">
        <v>15</v>
      </c>
      <c r="H928" s="185" t="s">
        <v>15</v>
      </c>
      <c r="I928" s="185" t="s">
        <v>15</v>
      </c>
      <c r="J928" s="135" t="s">
        <v>1450</v>
      </c>
      <c r="K928" s="186">
        <v>1464</v>
      </c>
      <c r="L928" s="187" t="s">
        <v>173</v>
      </c>
      <c r="M928" s="187" t="s">
        <v>175</v>
      </c>
    </row>
    <row r="929" spans="1:13" s="188" customFormat="1">
      <c r="A929" s="185" t="s">
        <v>1447</v>
      </c>
      <c r="B929" s="133" t="s">
        <v>4048</v>
      </c>
      <c r="C929" s="185" t="s">
        <v>3023</v>
      </c>
      <c r="D929" s="133" t="s">
        <v>2040</v>
      </c>
      <c r="E929" s="134">
        <v>1</v>
      </c>
      <c r="F929" s="135" t="s">
        <v>1449</v>
      </c>
      <c r="G929" s="185" t="s">
        <v>15</v>
      </c>
      <c r="H929" s="185" t="s">
        <v>15</v>
      </c>
      <c r="I929" s="185" t="s">
        <v>15</v>
      </c>
      <c r="J929" s="135" t="s">
        <v>1450</v>
      </c>
      <c r="K929" s="186">
        <v>337728</v>
      </c>
      <c r="L929" s="187" t="s">
        <v>173</v>
      </c>
      <c r="M929" s="187" t="s">
        <v>175</v>
      </c>
    </row>
    <row r="930" spans="1:13" s="188" customFormat="1">
      <c r="A930" s="185" t="s">
        <v>1447</v>
      </c>
      <c r="B930" s="133" t="s">
        <v>4049</v>
      </c>
      <c r="C930" s="185" t="s">
        <v>3023</v>
      </c>
      <c r="D930" s="133" t="s">
        <v>4050</v>
      </c>
      <c r="E930" s="134">
        <v>1</v>
      </c>
      <c r="F930" s="135" t="s">
        <v>1449</v>
      </c>
      <c r="G930" s="185" t="s">
        <v>15</v>
      </c>
      <c r="H930" s="185" t="s">
        <v>15</v>
      </c>
      <c r="I930" s="185" t="s">
        <v>15</v>
      </c>
      <c r="J930" s="135" t="s">
        <v>1450</v>
      </c>
      <c r="K930" s="186">
        <v>7260</v>
      </c>
      <c r="L930" s="187" t="s">
        <v>173</v>
      </c>
      <c r="M930" s="187" t="s">
        <v>175</v>
      </c>
    </row>
    <row r="931" spans="1:13" s="188" customFormat="1">
      <c r="A931" s="185" t="s">
        <v>1447</v>
      </c>
      <c r="B931" s="133" t="s">
        <v>4051</v>
      </c>
      <c r="C931" s="185" t="s">
        <v>3023</v>
      </c>
      <c r="D931" s="133" t="s">
        <v>4050</v>
      </c>
      <c r="E931" s="134">
        <v>1</v>
      </c>
      <c r="F931" s="135" t="s">
        <v>1449</v>
      </c>
      <c r="G931" s="185" t="s">
        <v>15</v>
      </c>
      <c r="H931" s="185" t="s">
        <v>15</v>
      </c>
      <c r="I931" s="185" t="s">
        <v>15</v>
      </c>
      <c r="J931" s="135" t="s">
        <v>1450</v>
      </c>
      <c r="K931" s="186">
        <v>6840</v>
      </c>
      <c r="L931" s="187" t="s">
        <v>173</v>
      </c>
      <c r="M931" s="187" t="s">
        <v>175</v>
      </c>
    </row>
    <row r="932" spans="1:13" s="188" customFormat="1">
      <c r="A932" s="185" t="s">
        <v>1447</v>
      </c>
      <c r="B932" s="133" t="s">
        <v>4052</v>
      </c>
      <c r="C932" s="185" t="s">
        <v>3023</v>
      </c>
      <c r="D932" s="133" t="s">
        <v>4050</v>
      </c>
      <c r="E932" s="134">
        <v>1</v>
      </c>
      <c r="F932" s="135" t="s">
        <v>1449</v>
      </c>
      <c r="G932" s="185" t="s">
        <v>15</v>
      </c>
      <c r="H932" s="185" t="s">
        <v>15</v>
      </c>
      <c r="I932" s="185" t="s">
        <v>15</v>
      </c>
      <c r="J932" s="135" t="s">
        <v>1450</v>
      </c>
      <c r="K932" s="186">
        <v>6540</v>
      </c>
      <c r="L932" s="187" t="s">
        <v>173</v>
      </c>
      <c r="M932" s="187" t="s">
        <v>175</v>
      </c>
    </row>
    <row r="933" spans="1:13" s="188" customFormat="1">
      <c r="A933" s="185" t="s">
        <v>1447</v>
      </c>
      <c r="B933" s="133" t="s">
        <v>4053</v>
      </c>
      <c r="C933" s="185" t="s">
        <v>3023</v>
      </c>
      <c r="D933" s="133" t="s">
        <v>4050</v>
      </c>
      <c r="E933" s="134">
        <v>1</v>
      </c>
      <c r="F933" s="135" t="s">
        <v>1449</v>
      </c>
      <c r="G933" s="185" t="s">
        <v>15</v>
      </c>
      <c r="H933" s="185" t="s">
        <v>15</v>
      </c>
      <c r="I933" s="185" t="s">
        <v>15</v>
      </c>
      <c r="J933" s="135" t="s">
        <v>1450</v>
      </c>
      <c r="K933" s="186">
        <v>6252</v>
      </c>
      <c r="L933" s="187" t="s">
        <v>173</v>
      </c>
      <c r="M933" s="187" t="s">
        <v>175</v>
      </c>
    </row>
    <row r="934" spans="1:13" s="188" customFormat="1">
      <c r="A934" s="185" t="s">
        <v>1447</v>
      </c>
      <c r="B934" s="133" t="s">
        <v>4054</v>
      </c>
      <c r="C934" s="185" t="s">
        <v>3023</v>
      </c>
      <c r="D934" s="133" t="s">
        <v>4050</v>
      </c>
      <c r="E934" s="134">
        <v>1</v>
      </c>
      <c r="F934" s="135" t="s">
        <v>1449</v>
      </c>
      <c r="G934" s="185" t="s">
        <v>15</v>
      </c>
      <c r="H934" s="185" t="s">
        <v>15</v>
      </c>
      <c r="I934" s="185" t="s">
        <v>15</v>
      </c>
      <c r="J934" s="135" t="s">
        <v>1450</v>
      </c>
      <c r="K934" s="186">
        <v>5904</v>
      </c>
      <c r="L934" s="187" t="s">
        <v>173</v>
      </c>
      <c r="M934" s="187" t="s">
        <v>175</v>
      </c>
    </row>
    <row r="935" spans="1:13" s="188" customFormat="1">
      <c r="A935" s="185" t="s">
        <v>1447</v>
      </c>
      <c r="B935" s="133" t="s">
        <v>4055</v>
      </c>
      <c r="C935" s="185" t="s">
        <v>3023</v>
      </c>
      <c r="D935" s="133" t="s">
        <v>4056</v>
      </c>
      <c r="E935" s="134">
        <v>1</v>
      </c>
      <c r="F935" s="135" t="s">
        <v>1449</v>
      </c>
      <c r="G935" s="185" t="s">
        <v>15</v>
      </c>
      <c r="H935" s="185" t="s">
        <v>15</v>
      </c>
      <c r="I935" s="185" t="s">
        <v>15</v>
      </c>
      <c r="J935" s="135" t="s">
        <v>1450</v>
      </c>
      <c r="K935" s="186">
        <v>9936</v>
      </c>
      <c r="L935" s="187" t="s">
        <v>173</v>
      </c>
      <c r="M935" s="187" t="s">
        <v>175</v>
      </c>
    </row>
    <row r="936" spans="1:13" s="188" customFormat="1">
      <c r="A936" s="185" t="s">
        <v>1447</v>
      </c>
      <c r="B936" s="133" t="s">
        <v>4057</v>
      </c>
      <c r="C936" s="185" t="s">
        <v>3023</v>
      </c>
      <c r="D936" s="133" t="s">
        <v>4056</v>
      </c>
      <c r="E936" s="134">
        <v>1</v>
      </c>
      <c r="F936" s="135" t="s">
        <v>1449</v>
      </c>
      <c r="G936" s="185" t="s">
        <v>15</v>
      </c>
      <c r="H936" s="185" t="s">
        <v>15</v>
      </c>
      <c r="I936" s="185" t="s">
        <v>15</v>
      </c>
      <c r="J936" s="135" t="s">
        <v>1450</v>
      </c>
      <c r="K936" s="186">
        <v>9588</v>
      </c>
      <c r="L936" s="187" t="s">
        <v>173</v>
      </c>
      <c r="M936" s="187" t="s">
        <v>175</v>
      </c>
    </row>
    <row r="937" spans="1:13" s="188" customFormat="1">
      <c r="A937" s="185" t="s">
        <v>1447</v>
      </c>
      <c r="B937" s="133" t="s">
        <v>4058</v>
      </c>
      <c r="C937" s="185" t="s">
        <v>3023</v>
      </c>
      <c r="D937" s="133" t="s">
        <v>4056</v>
      </c>
      <c r="E937" s="134">
        <v>1</v>
      </c>
      <c r="F937" s="135" t="s">
        <v>1449</v>
      </c>
      <c r="G937" s="185" t="s">
        <v>15</v>
      </c>
      <c r="H937" s="185" t="s">
        <v>15</v>
      </c>
      <c r="I937" s="185" t="s">
        <v>15</v>
      </c>
      <c r="J937" s="135" t="s">
        <v>1450</v>
      </c>
      <c r="K937" s="186">
        <v>9084</v>
      </c>
      <c r="L937" s="187" t="s">
        <v>173</v>
      </c>
      <c r="M937" s="187" t="s">
        <v>175</v>
      </c>
    </row>
    <row r="938" spans="1:13" s="188" customFormat="1">
      <c r="A938" s="185" t="s">
        <v>1447</v>
      </c>
      <c r="B938" s="133" t="s">
        <v>4059</v>
      </c>
      <c r="C938" s="185" t="s">
        <v>3023</v>
      </c>
      <c r="D938" s="133" t="s">
        <v>4056</v>
      </c>
      <c r="E938" s="134">
        <v>1</v>
      </c>
      <c r="F938" s="135" t="s">
        <v>1449</v>
      </c>
      <c r="G938" s="185" t="s">
        <v>15</v>
      </c>
      <c r="H938" s="185" t="s">
        <v>15</v>
      </c>
      <c r="I938" s="185" t="s">
        <v>15</v>
      </c>
      <c r="J938" s="135" t="s">
        <v>1450</v>
      </c>
      <c r="K938" s="186">
        <v>8748</v>
      </c>
      <c r="L938" s="187" t="s">
        <v>173</v>
      </c>
      <c r="M938" s="187" t="s">
        <v>175</v>
      </c>
    </row>
    <row r="939" spans="1:13" s="188" customFormat="1">
      <c r="A939" s="185" t="s">
        <v>1447</v>
      </c>
      <c r="B939" s="133" t="s">
        <v>4060</v>
      </c>
      <c r="C939" s="185" t="s">
        <v>3023</v>
      </c>
      <c r="D939" s="133" t="s">
        <v>4056</v>
      </c>
      <c r="E939" s="134">
        <v>1</v>
      </c>
      <c r="F939" s="135" t="s">
        <v>1449</v>
      </c>
      <c r="G939" s="185" t="s">
        <v>15</v>
      </c>
      <c r="H939" s="185" t="s">
        <v>15</v>
      </c>
      <c r="I939" s="185" t="s">
        <v>15</v>
      </c>
      <c r="J939" s="135" t="s">
        <v>1450</v>
      </c>
      <c r="K939" s="186">
        <v>8244</v>
      </c>
      <c r="L939" s="187" t="s">
        <v>173</v>
      </c>
      <c r="M939" s="187" t="s">
        <v>175</v>
      </c>
    </row>
    <row r="940" spans="1:13" s="188" customFormat="1">
      <c r="A940" s="185" t="s">
        <v>1447</v>
      </c>
      <c r="B940" s="133" t="s">
        <v>4061</v>
      </c>
      <c r="C940" s="185" t="s">
        <v>3023</v>
      </c>
      <c r="D940" s="133" t="s">
        <v>4062</v>
      </c>
      <c r="E940" s="134">
        <v>1</v>
      </c>
      <c r="F940" s="135" t="s">
        <v>1449</v>
      </c>
      <c r="G940" s="185" t="s">
        <v>15</v>
      </c>
      <c r="H940" s="185" t="s">
        <v>15</v>
      </c>
      <c r="I940" s="185" t="s">
        <v>15</v>
      </c>
      <c r="J940" s="135" t="s">
        <v>1450</v>
      </c>
      <c r="K940" s="186">
        <v>3384</v>
      </c>
      <c r="L940" s="187" t="s">
        <v>173</v>
      </c>
      <c r="M940" s="187" t="s">
        <v>175</v>
      </c>
    </row>
    <row r="941" spans="1:13" s="188" customFormat="1">
      <c r="A941" s="185" t="s">
        <v>1447</v>
      </c>
      <c r="B941" s="133" t="s">
        <v>4063</v>
      </c>
      <c r="C941" s="185" t="s">
        <v>3023</v>
      </c>
      <c r="D941" s="133" t="s">
        <v>4062</v>
      </c>
      <c r="E941" s="134">
        <v>1</v>
      </c>
      <c r="F941" s="135" t="s">
        <v>1449</v>
      </c>
      <c r="G941" s="185" t="s">
        <v>15</v>
      </c>
      <c r="H941" s="185" t="s">
        <v>15</v>
      </c>
      <c r="I941" s="185" t="s">
        <v>15</v>
      </c>
      <c r="J941" s="135" t="s">
        <v>1450</v>
      </c>
      <c r="K941" s="186">
        <v>3288</v>
      </c>
      <c r="L941" s="187" t="s">
        <v>173</v>
      </c>
      <c r="M941" s="187" t="s">
        <v>175</v>
      </c>
    </row>
    <row r="942" spans="1:13" s="188" customFormat="1">
      <c r="A942" s="185" t="s">
        <v>1447</v>
      </c>
      <c r="B942" s="133" t="s">
        <v>4064</v>
      </c>
      <c r="C942" s="185" t="s">
        <v>3023</v>
      </c>
      <c r="D942" s="133" t="s">
        <v>4062</v>
      </c>
      <c r="E942" s="134">
        <v>1</v>
      </c>
      <c r="F942" s="135" t="s">
        <v>1449</v>
      </c>
      <c r="G942" s="185" t="s">
        <v>15</v>
      </c>
      <c r="H942" s="185" t="s">
        <v>15</v>
      </c>
      <c r="I942" s="185" t="s">
        <v>15</v>
      </c>
      <c r="J942" s="135" t="s">
        <v>1450</v>
      </c>
      <c r="K942" s="186">
        <v>3204</v>
      </c>
      <c r="L942" s="187" t="s">
        <v>173</v>
      </c>
      <c r="M942" s="187" t="s">
        <v>175</v>
      </c>
    </row>
    <row r="943" spans="1:13" s="188" customFormat="1">
      <c r="A943" s="185" t="s">
        <v>1447</v>
      </c>
      <c r="B943" s="133" t="s">
        <v>4065</v>
      </c>
      <c r="C943" s="185" t="s">
        <v>3023</v>
      </c>
      <c r="D943" s="133" t="s">
        <v>4062</v>
      </c>
      <c r="E943" s="134">
        <v>1</v>
      </c>
      <c r="F943" s="135" t="s">
        <v>1449</v>
      </c>
      <c r="G943" s="185" t="s">
        <v>15</v>
      </c>
      <c r="H943" s="185" t="s">
        <v>15</v>
      </c>
      <c r="I943" s="185" t="s">
        <v>15</v>
      </c>
      <c r="J943" s="135" t="s">
        <v>1450</v>
      </c>
      <c r="K943" s="186">
        <v>3096</v>
      </c>
      <c r="L943" s="187" t="s">
        <v>173</v>
      </c>
      <c r="M943" s="187" t="s">
        <v>175</v>
      </c>
    </row>
    <row r="944" spans="1:13" s="188" customFormat="1">
      <c r="A944" s="185" t="s">
        <v>1447</v>
      </c>
      <c r="B944" s="133" t="s">
        <v>4066</v>
      </c>
      <c r="C944" s="185" t="s">
        <v>3023</v>
      </c>
      <c r="D944" s="133" t="s">
        <v>4062</v>
      </c>
      <c r="E944" s="134">
        <v>1</v>
      </c>
      <c r="F944" s="135" t="s">
        <v>1449</v>
      </c>
      <c r="G944" s="185" t="s">
        <v>15</v>
      </c>
      <c r="H944" s="185" t="s">
        <v>15</v>
      </c>
      <c r="I944" s="185" t="s">
        <v>15</v>
      </c>
      <c r="J944" s="135" t="s">
        <v>1450</v>
      </c>
      <c r="K944" s="186">
        <v>2940</v>
      </c>
      <c r="L944" s="187" t="s">
        <v>173</v>
      </c>
      <c r="M944" s="187" t="s">
        <v>175</v>
      </c>
    </row>
    <row r="945" spans="1:13" s="188" customFormat="1">
      <c r="A945" s="185" t="s">
        <v>1447</v>
      </c>
      <c r="B945" s="133" t="s">
        <v>4067</v>
      </c>
      <c r="C945" s="185" t="s">
        <v>3023</v>
      </c>
      <c r="D945" s="133" t="s">
        <v>2041</v>
      </c>
      <c r="E945" s="134">
        <v>1</v>
      </c>
      <c r="F945" s="135" t="s">
        <v>1449</v>
      </c>
      <c r="G945" s="185" t="s">
        <v>15</v>
      </c>
      <c r="H945" s="185" t="s">
        <v>15</v>
      </c>
      <c r="I945" s="185" t="s">
        <v>15</v>
      </c>
      <c r="J945" s="135" t="s">
        <v>1450</v>
      </c>
      <c r="K945" s="186">
        <v>65184</v>
      </c>
      <c r="L945" s="187" t="s">
        <v>173</v>
      </c>
      <c r="M945" s="187" t="s">
        <v>175</v>
      </c>
    </row>
    <row r="946" spans="1:13" s="188" customFormat="1">
      <c r="A946" s="185" t="s">
        <v>1447</v>
      </c>
      <c r="B946" s="133" t="s">
        <v>4068</v>
      </c>
      <c r="C946" s="185" t="s">
        <v>3023</v>
      </c>
      <c r="D946" s="133" t="s">
        <v>2042</v>
      </c>
      <c r="E946" s="134">
        <v>1</v>
      </c>
      <c r="F946" s="135" t="s">
        <v>1449</v>
      </c>
      <c r="G946" s="185" t="s">
        <v>15</v>
      </c>
      <c r="H946" s="185" t="s">
        <v>15</v>
      </c>
      <c r="I946" s="185" t="s">
        <v>15</v>
      </c>
      <c r="J946" s="135" t="s">
        <v>1450</v>
      </c>
      <c r="K946" s="186">
        <v>73812</v>
      </c>
      <c r="L946" s="187" t="s">
        <v>173</v>
      </c>
      <c r="M946" s="187" t="s">
        <v>175</v>
      </c>
    </row>
    <row r="947" spans="1:13" s="188" customFormat="1">
      <c r="A947" s="185" t="s">
        <v>1447</v>
      </c>
      <c r="B947" s="133" t="s">
        <v>4069</v>
      </c>
      <c r="C947" s="185" t="s">
        <v>3023</v>
      </c>
      <c r="D947" s="133" t="s">
        <v>2043</v>
      </c>
      <c r="E947" s="134">
        <v>1</v>
      </c>
      <c r="F947" s="135" t="s">
        <v>1449</v>
      </c>
      <c r="G947" s="185" t="s">
        <v>15</v>
      </c>
      <c r="H947" s="185" t="s">
        <v>15</v>
      </c>
      <c r="I947" s="185" t="s">
        <v>15</v>
      </c>
      <c r="J947" s="135" t="s">
        <v>1450</v>
      </c>
      <c r="K947" s="186">
        <v>5856</v>
      </c>
      <c r="L947" s="187" t="s">
        <v>173</v>
      </c>
      <c r="M947" s="187" t="s">
        <v>175</v>
      </c>
    </row>
    <row r="948" spans="1:13" s="188" customFormat="1">
      <c r="A948" s="185" t="s">
        <v>1447</v>
      </c>
      <c r="B948" s="133" t="s">
        <v>4070</v>
      </c>
      <c r="C948" s="185" t="s">
        <v>3023</v>
      </c>
      <c r="D948" s="133" t="s">
        <v>2043</v>
      </c>
      <c r="E948" s="134">
        <v>1</v>
      </c>
      <c r="F948" s="135" t="s">
        <v>1449</v>
      </c>
      <c r="G948" s="185" t="s">
        <v>15</v>
      </c>
      <c r="H948" s="185" t="s">
        <v>15</v>
      </c>
      <c r="I948" s="185" t="s">
        <v>15</v>
      </c>
      <c r="J948" s="135" t="s">
        <v>1450</v>
      </c>
      <c r="K948" s="186">
        <v>3492</v>
      </c>
      <c r="L948" s="187" t="s">
        <v>173</v>
      </c>
      <c r="M948" s="187" t="s">
        <v>175</v>
      </c>
    </row>
    <row r="949" spans="1:13" s="188" customFormat="1">
      <c r="A949" s="185" t="s">
        <v>1447</v>
      </c>
      <c r="B949" s="133" t="s">
        <v>4071</v>
      </c>
      <c r="C949" s="185" t="s">
        <v>3023</v>
      </c>
      <c r="D949" s="133" t="s">
        <v>2043</v>
      </c>
      <c r="E949" s="134">
        <v>1</v>
      </c>
      <c r="F949" s="135" t="s">
        <v>1449</v>
      </c>
      <c r="G949" s="185" t="s">
        <v>15</v>
      </c>
      <c r="H949" s="185" t="s">
        <v>15</v>
      </c>
      <c r="I949" s="185" t="s">
        <v>15</v>
      </c>
      <c r="J949" s="135" t="s">
        <v>1450</v>
      </c>
      <c r="K949" s="186">
        <v>2496</v>
      </c>
      <c r="L949" s="187" t="s">
        <v>173</v>
      </c>
      <c r="M949" s="187" t="s">
        <v>175</v>
      </c>
    </row>
    <row r="950" spans="1:13" s="188" customFormat="1">
      <c r="A950" s="185" t="s">
        <v>1447</v>
      </c>
      <c r="B950" s="133" t="s">
        <v>4072</v>
      </c>
      <c r="C950" s="185" t="s">
        <v>3023</v>
      </c>
      <c r="D950" s="133" t="s">
        <v>2043</v>
      </c>
      <c r="E950" s="134">
        <v>1</v>
      </c>
      <c r="F950" s="135" t="s">
        <v>1449</v>
      </c>
      <c r="G950" s="185" t="s">
        <v>15</v>
      </c>
      <c r="H950" s="185" t="s">
        <v>15</v>
      </c>
      <c r="I950" s="185" t="s">
        <v>15</v>
      </c>
      <c r="J950" s="135" t="s">
        <v>1450</v>
      </c>
      <c r="K950" s="186">
        <v>2028</v>
      </c>
      <c r="L950" s="187" t="s">
        <v>173</v>
      </c>
      <c r="M950" s="187" t="s">
        <v>175</v>
      </c>
    </row>
    <row r="951" spans="1:13" s="188" customFormat="1">
      <c r="A951" s="185" t="s">
        <v>1447</v>
      </c>
      <c r="B951" s="133" t="s">
        <v>4073</v>
      </c>
      <c r="C951" s="185" t="s">
        <v>3023</v>
      </c>
      <c r="D951" s="133" t="s">
        <v>2043</v>
      </c>
      <c r="E951" s="134">
        <v>1</v>
      </c>
      <c r="F951" s="135" t="s">
        <v>1449</v>
      </c>
      <c r="G951" s="185" t="s">
        <v>15</v>
      </c>
      <c r="H951" s="185" t="s">
        <v>15</v>
      </c>
      <c r="I951" s="185" t="s">
        <v>15</v>
      </c>
      <c r="J951" s="135" t="s">
        <v>1450</v>
      </c>
      <c r="K951" s="186">
        <v>1464</v>
      </c>
      <c r="L951" s="187" t="s">
        <v>173</v>
      </c>
      <c r="M951" s="187" t="s">
        <v>175</v>
      </c>
    </row>
    <row r="952" spans="1:13" s="188" customFormat="1">
      <c r="A952" s="185" t="s">
        <v>1447</v>
      </c>
      <c r="B952" s="133" t="s">
        <v>4074</v>
      </c>
      <c r="C952" s="185" t="s">
        <v>3023</v>
      </c>
      <c r="D952" s="133" t="s">
        <v>2044</v>
      </c>
      <c r="E952" s="134">
        <v>1</v>
      </c>
      <c r="F952" s="135" t="s">
        <v>1449</v>
      </c>
      <c r="G952" s="185" t="s">
        <v>15</v>
      </c>
      <c r="H952" s="185" t="s">
        <v>15</v>
      </c>
      <c r="I952" s="185" t="s">
        <v>15</v>
      </c>
      <c r="J952" s="135" t="s">
        <v>1450</v>
      </c>
      <c r="K952" s="186">
        <v>133212</v>
      </c>
      <c r="L952" s="187" t="s">
        <v>173</v>
      </c>
      <c r="M952" s="187" t="s">
        <v>175</v>
      </c>
    </row>
    <row r="953" spans="1:13" s="188" customFormat="1">
      <c r="A953" s="185" t="s">
        <v>1447</v>
      </c>
      <c r="B953" s="133" t="s">
        <v>4075</v>
      </c>
      <c r="C953" s="185" t="s">
        <v>3023</v>
      </c>
      <c r="D953" s="133" t="s">
        <v>2044</v>
      </c>
      <c r="E953" s="134">
        <v>1</v>
      </c>
      <c r="F953" s="135" t="s">
        <v>1449</v>
      </c>
      <c r="G953" s="185" t="s">
        <v>15</v>
      </c>
      <c r="H953" s="185" t="s">
        <v>15</v>
      </c>
      <c r="I953" s="185" t="s">
        <v>15</v>
      </c>
      <c r="J953" s="135" t="s">
        <v>1450</v>
      </c>
      <c r="K953" s="186">
        <v>96276</v>
      </c>
      <c r="L953" s="187" t="s">
        <v>173</v>
      </c>
      <c r="M953" s="187" t="s">
        <v>175</v>
      </c>
    </row>
    <row r="954" spans="1:13" s="188" customFormat="1">
      <c r="A954" s="185" t="s">
        <v>1447</v>
      </c>
      <c r="B954" s="133" t="s">
        <v>4076</v>
      </c>
      <c r="C954" s="185" t="s">
        <v>3023</v>
      </c>
      <c r="D954" s="133" t="s">
        <v>2044</v>
      </c>
      <c r="E954" s="134">
        <v>1</v>
      </c>
      <c r="F954" s="135" t="s">
        <v>1449</v>
      </c>
      <c r="G954" s="185" t="s">
        <v>15</v>
      </c>
      <c r="H954" s="185" t="s">
        <v>15</v>
      </c>
      <c r="I954" s="185" t="s">
        <v>15</v>
      </c>
      <c r="J954" s="135" t="s">
        <v>1450</v>
      </c>
      <c r="K954" s="186">
        <v>83316</v>
      </c>
      <c r="L954" s="187" t="s">
        <v>173</v>
      </c>
      <c r="M954" s="187" t="s">
        <v>175</v>
      </c>
    </row>
    <row r="955" spans="1:13" s="188" customFormat="1">
      <c r="A955" s="185" t="s">
        <v>1447</v>
      </c>
      <c r="B955" s="133" t="s">
        <v>4077</v>
      </c>
      <c r="C955" s="185" t="s">
        <v>3023</v>
      </c>
      <c r="D955" s="133" t="s">
        <v>2044</v>
      </c>
      <c r="E955" s="134">
        <v>1</v>
      </c>
      <c r="F955" s="135" t="s">
        <v>1449</v>
      </c>
      <c r="G955" s="185" t="s">
        <v>15</v>
      </c>
      <c r="H955" s="185" t="s">
        <v>15</v>
      </c>
      <c r="I955" s="185" t="s">
        <v>15</v>
      </c>
      <c r="J955" s="135" t="s">
        <v>1450</v>
      </c>
      <c r="K955" s="186">
        <v>56028</v>
      </c>
      <c r="L955" s="187" t="s">
        <v>173</v>
      </c>
      <c r="M955" s="187" t="s">
        <v>175</v>
      </c>
    </row>
    <row r="956" spans="1:13" s="188" customFormat="1">
      <c r="A956" s="185" t="s">
        <v>1447</v>
      </c>
      <c r="B956" s="133" t="s">
        <v>4078</v>
      </c>
      <c r="C956" s="185" t="s">
        <v>3023</v>
      </c>
      <c r="D956" s="133" t="s">
        <v>2045</v>
      </c>
      <c r="E956" s="134">
        <v>1</v>
      </c>
      <c r="F956" s="135" t="s">
        <v>1449</v>
      </c>
      <c r="G956" s="185" t="s">
        <v>15</v>
      </c>
      <c r="H956" s="185" t="s">
        <v>15</v>
      </c>
      <c r="I956" s="185" t="s">
        <v>15</v>
      </c>
      <c r="J956" s="135" t="s">
        <v>1450</v>
      </c>
      <c r="K956" s="186">
        <v>101292</v>
      </c>
      <c r="L956" s="187" t="s">
        <v>173</v>
      </c>
      <c r="M956" s="187" t="s">
        <v>175</v>
      </c>
    </row>
    <row r="957" spans="1:13" s="188" customFormat="1">
      <c r="A957" s="185" t="s">
        <v>1447</v>
      </c>
      <c r="B957" s="133" t="s">
        <v>4079</v>
      </c>
      <c r="C957" s="185" t="s">
        <v>3023</v>
      </c>
      <c r="D957" s="133" t="s">
        <v>2046</v>
      </c>
      <c r="E957" s="134">
        <v>1</v>
      </c>
      <c r="F957" s="135" t="s">
        <v>1449</v>
      </c>
      <c r="G957" s="185" t="s">
        <v>15</v>
      </c>
      <c r="H957" s="185" t="s">
        <v>15</v>
      </c>
      <c r="I957" s="185" t="s">
        <v>15</v>
      </c>
      <c r="J957" s="135" t="s">
        <v>1450</v>
      </c>
      <c r="K957" s="186">
        <v>108048</v>
      </c>
      <c r="L957" s="187" t="s">
        <v>173</v>
      </c>
      <c r="M957" s="187" t="s">
        <v>175</v>
      </c>
    </row>
    <row r="958" spans="1:13" s="188" customFormat="1">
      <c r="A958" s="185" t="s">
        <v>1447</v>
      </c>
      <c r="B958" s="133" t="s">
        <v>4080</v>
      </c>
      <c r="C958" s="185" t="s">
        <v>3023</v>
      </c>
      <c r="D958" s="133" t="s">
        <v>2047</v>
      </c>
      <c r="E958" s="134">
        <v>1</v>
      </c>
      <c r="F958" s="135" t="s">
        <v>1449</v>
      </c>
      <c r="G958" s="185" t="s">
        <v>15</v>
      </c>
      <c r="H958" s="185" t="s">
        <v>15</v>
      </c>
      <c r="I958" s="185" t="s">
        <v>15</v>
      </c>
      <c r="J958" s="135" t="s">
        <v>1450</v>
      </c>
      <c r="K958" s="186">
        <v>118176</v>
      </c>
      <c r="L958" s="187" t="s">
        <v>173</v>
      </c>
      <c r="M958" s="187" t="s">
        <v>175</v>
      </c>
    </row>
    <row r="959" spans="1:13" s="188" customFormat="1">
      <c r="A959" s="185" t="s">
        <v>1447</v>
      </c>
      <c r="B959" s="133" t="s">
        <v>4081</v>
      </c>
      <c r="C959" s="185" t="s">
        <v>3023</v>
      </c>
      <c r="D959" s="133" t="s">
        <v>2048</v>
      </c>
      <c r="E959" s="134">
        <v>1</v>
      </c>
      <c r="F959" s="135" t="s">
        <v>1449</v>
      </c>
      <c r="G959" s="185" t="s">
        <v>15</v>
      </c>
      <c r="H959" s="185" t="s">
        <v>15</v>
      </c>
      <c r="I959" s="185" t="s">
        <v>15</v>
      </c>
      <c r="J959" s="135" t="s">
        <v>1450</v>
      </c>
      <c r="K959" s="186">
        <v>57396</v>
      </c>
      <c r="L959" s="187" t="s">
        <v>173</v>
      </c>
      <c r="M959" s="187" t="s">
        <v>175</v>
      </c>
    </row>
    <row r="960" spans="1:13" s="188" customFormat="1">
      <c r="A960" s="185" t="s">
        <v>1447</v>
      </c>
      <c r="B960" s="133" t="s">
        <v>4082</v>
      </c>
      <c r="C960" s="185" t="s">
        <v>3023</v>
      </c>
      <c r="D960" s="133" t="s">
        <v>2049</v>
      </c>
      <c r="E960" s="134">
        <v>1</v>
      </c>
      <c r="F960" s="135" t="s">
        <v>1449</v>
      </c>
      <c r="G960" s="185" t="s">
        <v>15</v>
      </c>
      <c r="H960" s="185" t="s">
        <v>15</v>
      </c>
      <c r="I960" s="185" t="s">
        <v>15</v>
      </c>
      <c r="J960" s="135" t="s">
        <v>1450</v>
      </c>
      <c r="K960" s="186">
        <v>84420</v>
      </c>
      <c r="L960" s="187" t="s">
        <v>173</v>
      </c>
      <c r="M960" s="187" t="s">
        <v>175</v>
      </c>
    </row>
    <row r="961" spans="1:13" s="188" customFormat="1">
      <c r="A961" s="185" t="s">
        <v>1447</v>
      </c>
      <c r="B961" s="133" t="s">
        <v>4083</v>
      </c>
      <c r="C961" s="185" t="s">
        <v>3023</v>
      </c>
      <c r="D961" s="133" t="s">
        <v>2050</v>
      </c>
      <c r="E961" s="134">
        <v>1</v>
      </c>
      <c r="F961" s="135" t="s">
        <v>1449</v>
      </c>
      <c r="G961" s="185" t="s">
        <v>15</v>
      </c>
      <c r="H961" s="185" t="s">
        <v>15</v>
      </c>
      <c r="I961" s="185" t="s">
        <v>15</v>
      </c>
      <c r="J961" s="135" t="s">
        <v>1450</v>
      </c>
      <c r="K961" s="186">
        <v>101292</v>
      </c>
      <c r="L961" s="187" t="s">
        <v>173</v>
      </c>
      <c r="M961" s="187" t="s">
        <v>175</v>
      </c>
    </row>
    <row r="962" spans="1:13" s="188" customFormat="1">
      <c r="A962" s="185" t="s">
        <v>1447</v>
      </c>
      <c r="B962" s="133" t="s">
        <v>4084</v>
      </c>
      <c r="C962" s="185" t="s">
        <v>3023</v>
      </c>
      <c r="D962" s="133" t="s">
        <v>4085</v>
      </c>
      <c r="E962" s="134">
        <v>1</v>
      </c>
      <c r="F962" s="135" t="s">
        <v>1449</v>
      </c>
      <c r="G962" s="185" t="s">
        <v>15</v>
      </c>
      <c r="H962" s="185" t="s">
        <v>15</v>
      </c>
      <c r="I962" s="185" t="s">
        <v>15</v>
      </c>
      <c r="J962" s="135" t="s">
        <v>1450</v>
      </c>
      <c r="K962" s="186">
        <v>13068</v>
      </c>
      <c r="L962" s="187" t="s">
        <v>173</v>
      </c>
      <c r="M962" s="187" t="s">
        <v>175</v>
      </c>
    </row>
    <row r="963" spans="1:13" s="188" customFormat="1">
      <c r="A963" s="185" t="s">
        <v>1447</v>
      </c>
      <c r="B963" s="133" t="s">
        <v>4086</v>
      </c>
      <c r="C963" s="185" t="s">
        <v>3023</v>
      </c>
      <c r="D963" s="133" t="s">
        <v>4085</v>
      </c>
      <c r="E963" s="134">
        <v>1</v>
      </c>
      <c r="F963" s="135" t="s">
        <v>1449</v>
      </c>
      <c r="G963" s="185" t="s">
        <v>15</v>
      </c>
      <c r="H963" s="185" t="s">
        <v>15</v>
      </c>
      <c r="I963" s="185" t="s">
        <v>15</v>
      </c>
      <c r="J963" s="135" t="s">
        <v>1450</v>
      </c>
      <c r="K963" s="186">
        <v>7716</v>
      </c>
      <c r="L963" s="187" t="s">
        <v>173</v>
      </c>
      <c r="M963" s="187" t="s">
        <v>175</v>
      </c>
    </row>
    <row r="964" spans="1:13" s="188" customFormat="1">
      <c r="A964" s="185" t="s">
        <v>1447</v>
      </c>
      <c r="B964" s="133" t="s">
        <v>4087</v>
      </c>
      <c r="C964" s="185" t="s">
        <v>3023</v>
      </c>
      <c r="D964" s="133" t="s">
        <v>4085</v>
      </c>
      <c r="E964" s="134">
        <v>1</v>
      </c>
      <c r="F964" s="135" t="s">
        <v>1449</v>
      </c>
      <c r="G964" s="185" t="s">
        <v>15</v>
      </c>
      <c r="H964" s="185" t="s">
        <v>15</v>
      </c>
      <c r="I964" s="185" t="s">
        <v>15</v>
      </c>
      <c r="J964" s="135" t="s">
        <v>1450</v>
      </c>
      <c r="K964" s="186">
        <v>3864</v>
      </c>
      <c r="L964" s="187" t="s">
        <v>173</v>
      </c>
      <c r="M964" s="187" t="s">
        <v>175</v>
      </c>
    </row>
    <row r="965" spans="1:13" s="188" customFormat="1">
      <c r="A965" s="185" t="s">
        <v>1447</v>
      </c>
      <c r="B965" s="133" t="s">
        <v>4088</v>
      </c>
      <c r="C965" s="185" t="s">
        <v>3023</v>
      </c>
      <c r="D965" s="133" t="s">
        <v>4085</v>
      </c>
      <c r="E965" s="134">
        <v>1</v>
      </c>
      <c r="F965" s="135" t="s">
        <v>1449</v>
      </c>
      <c r="G965" s="185" t="s">
        <v>15</v>
      </c>
      <c r="H965" s="185" t="s">
        <v>15</v>
      </c>
      <c r="I965" s="185" t="s">
        <v>15</v>
      </c>
      <c r="J965" s="135" t="s">
        <v>1450</v>
      </c>
      <c r="K965" s="186">
        <v>2736</v>
      </c>
      <c r="L965" s="187" t="s">
        <v>173</v>
      </c>
      <c r="M965" s="187" t="s">
        <v>175</v>
      </c>
    </row>
    <row r="966" spans="1:13" s="188" customFormat="1">
      <c r="A966" s="185" t="s">
        <v>1447</v>
      </c>
      <c r="B966" s="133" t="s">
        <v>4089</v>
      </c>
      <c r="C966" s="185" t="s">
        <v>3023</v>
      </c>
      <c r="D966" s="133" t="s">
        <v>4085</v>
      </c>
      <c r="E966" s="134">
        <v>1</v>
      </c>
      <c r="F966" s="135" t="s">
        <v>1449</v>
      </c>
      <c r="G966" s="185" t="s">
        <v>15</v>
      </c>
      <c r="H966" s="185" t="s">
        <v>15</v>
      </c>
      <c r="I966" s="185" t="s">
        <v>15</v>
      </c>
      <c r="J966" s="135" t="s">
        <v>1450</v>
      </c>
      <c r="K966" s="186">
        <v>1308</v>
      </c>
      <c r="L966" s="187" t="s">
        <v>173</v>
      </c>
      <c r="M966" s="187" t="s">
        <v>175</v>
      </c>
    </row>
    <row r="967" spans="1:13" s="188" customFormat="1">
      <c r="A967" s="185" t="s">
        <v>1447</v>
      </c>
      <c r="B967" s="133" t="s">
        <v>4090</v>
      </c>
      <c r="C967" s="185" t="s">
        <v>3023</v>
      </c>
      <c r="D967" s="133" t="s">
        <v>2051</v>
      </c>
      <c r="E967" s="134">
        <v>1</v>
      </c>
      <c r="F967" s="135" t="s">
        <v>1449</v>
      </c>
      <c r="G967" s="185" t="s">
        <v>15</v>
      </c>
      <c r="H967" s="185" t="s">
        <v>15</v>
      </c>
      <c r="I967" s="185" t="s">
        <v>15</v>
      </c>
      <c r="J967" s="135" t="s">
        <v>1450</v>
      </c>
      <c r="K967" s="186">
        <v>11940</v>
      </c>
      <c r="L967" s="187" t="s">
        <v>173</v>
      </c>
      <c r="M967" s="187" t="s">
        <v>175</v>
      </c>
    </row>
    <row r="968" spans="1:13" s="188" customFormat="1">
      <c r="A968" s="185" t="s">
        <v>1447</v>
      </c>
      <c r="B968" s="133" t="s">
        <v>4091</v>
      </c>
      <c r="C968" s="185" t="s">
        <v>3023</v>
      </c>
      <c r="D968" s="133" t="s">
        <v>2051</v>
      </c>
      <c r="E968" s="134">
        <v>1</v>
      </c>
      <c r="F968" s="135" t="s">
        <v>1449</v>
      </c>
      <c r="G968" s="185" t="s">
        <v>15</v>
      </c>
      <c r="H968" s="185" t="s">
        <v>15</v>
      </c>
      <c r="I968" s="185" t="s">
        <v>15</v>
      </c>
      <c r="J968" s="135" t="s">
        <v>1450</v>
      </c>
      <c r="K968" s="186">
        <v>9360</v>
      </c>
      <c r="L968" s="187" t="s">
        <v>173</v>
      </c>
      <c r="M968" s="187" t="s">
        <v>175</v>
      </c>
    </row>
    <row r="969" spans="1:13" s="188" customFormat="1">
      <c r="A969" s="185" t="s">
        <v>1447</v>
      </c>
      <c r="B969" s="133" t="s">
        <v>4092</v>
      </c>
      <c r="C969" s="185" t="s">
        <v>3023</v>
      </c>
      <c r="D969" s="133" t="s">
        <v>2051</v>
      </c>
      <c r="E969" s="134">
        <v>1</v>
      </c>
      <c r="F969" s="135" t="s">
        <v>1449</v>
      </c>
      <c r="G969" s="185" t="s">
        <v>15</v>
      </c>
      <c r="H969" s="185" t="s">
        <v>15</v>
      </c>
      <c r="I969" s="185" t="s">
        <v>15</v>
      </c>
      <c r="J969" s="135" t="s">
        <v>1450</v>
      </c>
      <c r="K969" s="186">
        <v>6312</v>
      </c>
      <c r="L969" s="187" t="s">
        <v>173</v>
      </c>
      <c r="M969" s="187" t="s">
        <v>175</v>
      </c>
    </row>
    <row r="970" spans="1:13" s="188" customFormat="1">
      <c r="A970" s="185" t="s">
        <v>1447</v>
      </c>
      <c r="B970" s="133" t="s">
        <v>4093</v>
      </c>
      <c r="C970" s="185" t="s">
        <v>3023</v>
      </c>
      <c r="D970" s="133" t="s">
        <v>2052</v>
      </c>
      <c r="E970" s="134">
        <v>1</v>
      </c>
      <c r="F970" s="135" t="s">
        <v>1449</v>
      </c>
      <c r="G970" s="185" t="s">
        <v>15</v>
      </c>
      <c r="H970" s="185" t="s">
        <v>15</v>
      </c>
      <c r="I970" s="185" t="s">
        <v>15</v>
      </c>
      <c r="J970" s="135" t="s">
        <v>1450</v>
      </c>
      <c r="K970" s="186">
        <v>3732</v>
      </c>
      <c r="L970" s="187" t="s">
        <v>173</v>
      </c>
      <c r="M970" s="187" t="s">
        <v>175</v>
      </c>
    </row>
    <row r="971" spans="1:13" s="188" customFormat="1">
      <c r="A971" s="185" t="s">
        <v>1447</v>
      </c>
      <c r="B971" s="133" t="s">
        <v>4094</v>
      </c>
      <c r="C971" s="185" t="s">
        <v>3023</v>
      </c>
      <c r="D971" s="133" t="s">
        <v>2052</v>
      </c>
      <c r="E971" s="134">
        <v>1</v>
      </c>
      <c r="F971" s="135" t="s">
        <v>1449</v>
      </c>
      <c r="G971" s="185" t="s">
        <v>15</v>
      </c>
      <c r="H971" s="185" t="s">
        <v>15</v>
      </c>
      <c r="I971" s="185" t="s">
        <v>15</v>
      </c>
      <c r="J971" s="135" t="s">
        <v>1450</v>
      </c>
      <c r="K971" s="186">
        <v>1440</v>
      </c>
      <c r="L971" s="187" t="s">
        <v>173</v>
      </c>
      <c r="M971" s="187" t="s">
        <v>175</v>
      </c>
    </row>
    <row r="972" spans="1:13" s="188" customFormat="1">
      <c r="A972" s="185" t="s">
        <v>1447</v>
      </c>
      <c r="B972" s="133" t="s">
        <v>4095</v>
      </c>
      <c r="C972" s="185" t="s">
        <v>3023</v>
      </c>
      <c r="D972" s="133" t="s">
        <v>2052</v>
      </c>
      <c r="E972" s="134">
        <v>1</v>
      </c>
      <c r="F972" s="135" t="s">
        <v>1449</v>
      </c>
      <c r="G972" s="185" t="s">
        <v>15</v>
      </c>
      <c r="H972" s="185" t="s">
        <v>15</v>
      </c>
      <c r="I972" s="185" t="s">
        <v>15</v>
      </c>
      <c r="J972" s="135" t="s">
        <v>1450</v>
      </c>
      <c r="K972" s="186">
        <v>744</v>
      </c>
      <c r="L972" s="187" t="s">
        <v>173</v>
      </c>
      <c r="M972" s="187" t="s">
        <v>175</v>
      </c>
    </row>
    <row r="973" spans="1:13" s="188" customFormat="1">
      <c r="A973" s="185" t="s">
        <v>1447</v>
      </c>
      <c r="B973" s="133" t="s">
        <v>4096</v>
      </c>
      <c r="C973" s="185" t="s">
        <v>3023</v>
      </c>
      <c r="D973" s="133" t="s">
        <v>2053</v>
      </c>
      <c r="E973" s="134">
        <v>1</v>
      </c>
      <c r="F973" s="135" t="s">
        <v>1449</v>
      </c>
      <c r="G973" s="185" t="s">
        <v>15</v>
      </c>
      <c r="H973" s="185" t="s">
        <v>15</v>
      </c>
      <c r="I973" s="185" t="s">
        <v>15</v>
      </c>
      <c r="J973" s="135" t="s">
        <v>1450</v>
      </c>
      <c r="K973" s="186">
        <v>12192</v>
      </c>
      <c r="L973" s="187" t="s">
        <v>173</v>
      </c>
      <c r="M973" s="187" t="s">
        <v>175</v>
      </c>
    </row>
    <row r="974" spans="1:13" s="188" customFormat="1">
      <c r="A974" s="185" t="s">
        <v>1447</v>
      </c>
      <c r="B974" s="133" t="s">
        <v>4097</v>
      </c>
      <c r="C974" s="185" t="s">
        <v>3023</v>
      </c>
      <c r="D974" s="133" t="s">
        <v>2053</v>
      </c>
      <c r="E974" s="134">
        <v>1</v>
      </c>
      <c r="F974" s="135" t="s">
        <v>1449</v>
      </c>
      <c r="G974" s="185" t="s">
        <v>15</v>
      </c>
      <c r="H974" s="185" t="s">
        <v>15</v>
      </c>
      <c r="I974" s="185" t="s">
        <v>15</v>
      </c>
      <c r="J974" s="135" t="s">
        <v>1450</v>
      </c>
      <c r="K974" s="186">
        <v>9564</v>
      </c>
      <c r="L974" s="187" t="s">
        <v>173</v>
      </c>
      <c r="M974" s="187" t="s">
        <v>175</v>
      </c>
    </row>
    <row r="975" spans="1:13" s="188" customFormat="1">
      <c r="A975" s="185" t="s">
        <v>1447</v>
      </c>
      <c r="B975" s="133" t="s">
        <v>4098</v>
      </c>
      <c r="C975" s="185" t="s">
        <v>3023</v>
      </c>
      <c r="D975" s="133" t="s">
        <v>2053</v>
      </c>
      <c r="E975" s="134">
        <v>1</v>
      </c>
      <c r="F975" s="135" t="s">
        <v>1449</v>
      </c>
      <c r="G975" s="185" t="s">
        <v>15</v>
      </c>
      <c r="H975" s="185" t="s">
        <v>15</v>
      </c>
      <c r="I975" s="185" t="s">
        <v>15</v>
      </c>
      <c r="J975" s="135" t="s">
        <v>1450</v>
      </c>
      <c r="K975" s="186">
        <v>6444</v>
      </c>
      <c r="L975" s="187" t="s">
        <v>173</v>
      </c>
      <c r="M975" s="187" t="s">
        <v>175</v>
      </c>
    </row>
    <row r="976" spans="1:13" s="188" customFormat="1">
      <c r="A976" s="185" t="s">
        <v>1447</v>
      </c>
      <c r="B976" s="133" t="s">
        <v>4099</v>
      </c>
      <c r="C976" s="185" t="s">
        <v>3023</v>
      </c>
      <c r="D976" s="133" t="s">
        <v>2054</v>
      </c>
      <c r="E976" s="134">
        <v>1</v>
      </c>
      <c r="F976" s="135" t="s">
        <v>1449</v>
      </c>
      <c r="G976" s="185" t="s">
        <v>15</v>
      </c>
      <c r="H976" s="185" t="s">
        <v>15</v>
      </c>
      <c r="I976" s="185" t="s">
        <v>15</v>
      </c>
      <c r="J976" s="135" t="s">
        <v>1450</v>
      </c>
      <c r="K976" s="186">
        <v>5064</v>
      </c>
      <c r="L976" s="187" t="s">
        <v>173</v>
      </c>
      <c r="M976" s="187" t="s">
        <v>175</v>
      </c>
    </row>
    <row r="977" spans="1:13" s="188" customFormat="1">
      <c r="A977" s="185" t="s">
        <v>1447</v>
      </c>
      <c r="B977" s="133" t="s">
        <v>4100</v>
      </c>
      <c r="C977" s="185" t="s">
        <v>3023</v>
      </c>
      <c r="D977" s="133" t="s">
        <v>2054</v>
      </c>
      <c r="E977" s="134">
        <v>1</v>
      </c>
      <c r="F977" s="135" t="s">
        <v>1449</v>
      </c>
      <c r="G977" s="185" t="s">
        <v>15</v>
      </c>
      <c r="H977" s="185" t="s">
        <v>15</v>
      </c>
      <c r="I977" s="185" t="s">
        <v>15</v>
      </c>
      <c r="J977" s="135" t="s">
        <v>1450</v>
      </c>
      <c r="K977" s="186">
        <v>3384</v>
      </c>
      <c r="L977" s="187" t="s">
        <v>173</v>
      </c>
      <c r="M977" s="187" t="s">
        <v>175</v>
      </c>
    </row>
    <row r="978" spans="1:13" s="188" customFormat="1">
      <c r="A978" s="185" t="s">
        <v>1447</v>
      </c>
      <c r="B978" s="133" t="s">
        <v>4101</v>
      </c>
      <c r="C978" s="185" t="s">
        <v>3023</v>
      </c>
      <c r="D978" s="133" t="s">
        <v>2054</v>
      </c>
      <c r="E978" s="134">
        <v>1</v>
      </c>
      <c r="F978" s="135" t="s">
        <v>1449</v>
      </c>
      <c r="G978" s="185" t="s">
        <v>15</v>
      </c>
      <c r="H978" s="185" t="s">
        <v>15</v>
      </c>
      <c r="I978" s="185" t="s">
        <v>15</v>
      </c>
      <c r="J978" s="135" t="s">
        <v>1450</v>
      </c>
      <c r="K978" s="186">
        <v>2700</v>
      </c>
      <c r="L978" s="187" t="s">
        <v>173</v>
      </c>
      <c r="M978" s="187" t="s">
        <v>175</v>
      </c>
    </row>
    <row r="979" spans="1:13" s="188" customFormat="1">
      <c r="A979" s="185" t="s">
        <v>1447</v>
      </c>
      <c r="B979" s="133" t="s">
        <v>4102</v>
      </c>
      <c r="C979" s="185" t="s">
        <v>3023</v>
      </c>
      <c r="D979" s="133" t="s">
        <v>2054</v>
      </c>
      <c r="E979" s="134">
        <v>1</v>
      </c>
      <c r="F979" s="135" t="s">
        <v>1449</v>
      </c>
      <c r="G979" s="185" t="s">
        <v>15</v>
      </c>
      <c r="H979" s="185" t="s">
        <v>15</v>
      </c>
      <c r="I979" s="185" t="s">
        <v>15</v>
      </c>
      <c r="J979" s="135" t="s">
        <v>1450</v>
      </c>
      <c r="K979" s="186">
        <v>2028</v>
      </c>
      <c r="L979" s="187" t="s">
        <v>173</v>
      </c>
      <c r="M979" s="187" t="s">
        <v>175</v>
      </c>
    </row>
    <row r="980" spans="1:13" s="188" customFormat="1">
      <c r="A980" s="185" t="s">
        <v>1447</v>
      </c>
      <c r="B980" s="133" t="s">
        <v>4103</v>
      </c>
      <c r="C980" s="185" t="s">
        <v>3023</v>
      </c>
      <c r="D980" s="133" t="s">
        <v>4104</v>
      </c>
      <c r="E980" s="134">
        <v>1</v>
      </c>
      <c r="F980" s="135" t="s">
        <v>1449</v>
      </c>
      <c r="G980" s="185" t="s">
        <v>15</v>
      </c>
      <c r="H980" s="185" t="s">
        <v>15</v>
      </c>
      <c r="I980" s="185" t="s">
        <v>15</v>
      </c>
      <c r="J980" s="135" t="s">
        <v>1450</v>
      </c>
      <c r="K980" s="186">
        <v>142572</v>
      </c>
      <c r="L980" s="187" t="s">
        <v>173</v>
      </c>
      <c r="M980" s="187" t="s">
        <v>175</v>
      </c>
    </row>
    <row r="981" spans="1:13" s="188" customFormat="1">
      <c r="A981" s="185" t="s">
        <v>1447</v>
      </c>
      <c r="B981" s="133" t="s">
        <v>4105</v>
      </c>
      <c r="C981" s="185" t="s">
        <v>3023</v>
      </c>
      <c r="D981" s="133" t="s">
        <v>4106</v>
      </c>
      <c r="E981" s="134">
        <v>1</v>
      </c>
      <c r="F981" s="135" t="s">
        <v>1449</v>
      </c>
      <c r="G981" s="185" t="s">
        <v>15</v>
      </c>
      <c r="H981" s="185" t="s">
        <v>15</v>
      </c>
      <c r="I981" s="185" t="s">
        <v>15</v>
      </c>
      <c r="J981" s="135" t="s">
        <v>1450</v>
      </c>
      <c r="K981" s="186">
        <v>342408</v>
      </c>
      <c r="L981" s="187" t="s">
        <v>173</v>
      </c>
      <c r="M981" s="187" t="s">
        <v>175</v>
      </c>
    </row>
    <row r="982" spans="1:13" s="188" customFormat="1">
      <c r="A982" s="185" t="s">
        <v>1447</v>
      </c>
      <c r="B982" s="133" t="s">
        <v>4107</v>
      </c>
      <c r="C982" s="185" t="s">
        <v>3023</v>
      </c>
      <c r="D982" s="133" t="s">
        <v>4108</v>
      </c>
      <c r="E982" s="134">
        <v>1</v>
      </c>
      <c r="F982" s="135" t="s">
        <v>1449</v>
      </c>
      <c r="G982" s="185" t="s">
        <v>15</v>
      </c>
      <c r="H982" s="185" t="s">
        <v>15</v>
      </c>
      <c r="I982" s="185" t="s">
        <v>15</v>
      </c>
      <c r="J982" s="135" t="s">
        <v>1450</v>
      </c>
      <c r="K982" s="186">
        <v>202056</v>
      </c>
      <c r="L982" s="187" t="s">
        <v>173</v>
      </c>
      <c r="M982" s="187" t="s">
        <v>175</v>
      </c>
    </row>
    <row r="983" spans="1:13" s="188" customFormat="1">
      <c r="A983" s="185" t="s">
        <v>1447</v>
      </c>
      <c r="B983" s="133" t="s">
        <v>4109</v>
      </c>
      <c r="C983" s="185" t="s">
        <v>3023</v>
      </c>
      <c r="D983" s="133" t="s">
        <v>4110</v>
      </c>
      <c r="E983" s="134">
        <v>1</v>
      </c>
      <c r="F983" s="135" t="s">
        <v>1449</v>
      </c>
      <c r="G983" s="185" t="s">
        <v>15</v>
      </c>
      <c r="H983" s="185" t="s">
        <v>15</v>
      </c>
      <c r="I983" s="185" t="s">
        <v>15</v>
      </c>
      <c r="J983" s="135" t="s">
        <v>1450</v>
      </c>
      <c r="K983" s="186">
        <v>77256</v>
      </c>
      <c r="L983" s="187" t="s">
        <v>173</v>
      </c>
      <c r="M983" s="187" t="s">
        <v>175</v>
      </c>
    </row>
    <row r="984" spans="1:13" s="188" customFormat="1">
      <c r="A984" s="185" t="s">
        <v>1447</v>
      </c>
      <c r="B984" s="133" t="s">
        <v>4111</v>
      </c>
      <c r="C984" s="185" t="s">
        <v>3023</v>
      </c>
      <c r="D984" s="133" t="s">
        <v>4112</v>
      </c>
      <c r="E984" s="134">
        <v>1</v>
      </c>
      <c r="F984" s="135" t="s">
        <v>1449</v>
      </c>
      <c r="G984" s="185" t="s">
        <v>15</v>
      </c>
      <c r="H984" s="185" t="s">
        <v>15</v>
      </c>
      <c r="I984" s="185" t="s">
        <v>15</v>
      </c>
      <c r="J984" s="135" t="s">
        <v>1450</v>
      </c>
      <c r="K984" s="186">
        <v>110088</v>
      </c>
      <c r="L984" s="187" t="s">
        <v>173</v>
      </c>
      <c r="M984" s="187" t="s">
        <v>175</v>
      </c>
    </row>
    <row r="985" spans="1:13" s="188" customFormat="1">
      <c r="A985" s="185" t="s">
        <v>1447</v>
      </c>
      <c r="B985" s="133" t="s">
        <v>4113</v>
      </c>
      <c r="C985" s="185" t="s">
        <v>3023</v>
      </c>
      <c r="D985" s="133" t="s">
        <v>4114</v>
      </c>
      <c r="E985" s="134">
        <v>1</v>
      </c>
      <c r="F985" s="135" t="s">
        <v>1449</v>
      </c>
      <c r="G985" s="185" t="s">
        <v>15</v>
      </c>
      <c r="H985" s="185" t="s">
        <v>15</v>
      </c>
      <c r="I985" s="185" t="s">
        <v>15</v>
      </c>
      <c r="J985" s="135" t="s">
        <v>1450</v>
      </c>
      <c r="K985" s="186">
        <v>245604</v>
      </c>
      <c r="L985" s="187" t="s">
        <v>173</v>
      </c>
      <c r="M985" s="187" t="s">
        <v>175</v>
      </c>
    </row>
    <row r="986" spans="1:13" s="188" customFormat="1">
      <c r="A986" s="185" t="s">
        <v>1447</v>
      </c>
      <c r="B986" s="133" t="s">
        <v>4115</v>
      </c>
      <c r="C986" s="185" t="s">
        <v>3023</v>
      </c>
      <c r="D986" s="133" t="s">
        <v>4116</v>
      </c>
      <c r="E986" s="134">
        <v>1</v>
      </c>
      <c r="F986" s="135" t="s">
        <v>1449</v>
      </c>
      <c r="G986" s="185" t="s">
        <v>15</v>
      </c>
      <c r="H986" s="185" t="s">
        <v>15</v>
      </c>
      <c r="I986" s="185" t="s">
        <v>15</v>
      </c>
      <c r="J986" s="135" t="s">
        <v>1450</v>
      </c>
      <c r="K986" s="186">
        <v>289308</v>
      </c>
      <c r="L986" s="187" t="s">
        <v>173</v>
      </c>
      <c r="M986" s="187" t="s">
        <v>175</v>
      </c>
    </row>
    <row r="987" spans="1:13" s="188" customFormat="1">
      <c r="A987" s="185" t="s">
        <v>1447</v>
      </c>
      <c r="B987" s="133" t="s">
        <v>4117</v>
      </c>
      <c r="C987" s="185" t="s">
        <v>3023</v>
      </c>
      <c r="D987" s="133" t="s">
        <v>4118</v>
      </c>
      <c r="E987" s="134">
        <v>1</v>
      </c>
      <c r="F987" s="135" t="s">
        <v>1449</v>
      </c>
      <c r="G987" s="185" t="s">
        <v>15</v>
      </c>
      <c r="H987" s="185" t="s">
        <v>15</v>
      </c>
      <c r="I987" s="185" t="s">
        <v>15</v>
      </c>
      <c r="J987" s="135" t="s">
        <v>1450</v>
      </c>
      <c r="K987" s="186">
        <v>141972</v>
      </c>
      <c r="L987" s="187" t="s">
        <v>173</v>
      </c>
      <c r="M987" s="187" t="s">
        <v>175</v>
      </c>
    </row>
    <row r="988" spans="1:13" s="188" customFormat="1">
      <c r="A988" s="185" t="s">
        <v>1447</v>
      </c>
      <c r="B988" s="133" t="s">
        <v>4119</v>
      </c>
      <c r="C988" s="185" t="s">
        <v>3023</v>
      </c>
      <c r="D988" s="133" t="s">
        <v>2055</v>
      </c>
      <c r="E988" s="134">
        <v>1</v>
      </c>
      <c r="F988" s="135" t="s">
        <v>1449</v>
      </c>
      <c r="G988" s="185" t="s">
        <v>15</v>
      </c>
      <c r="H988" s="185" t="s">
        <v>15</v>
      </c>
      <c r="I988" s="185" t="s">
        <v>15</v>
      </c>
      <c r="J988" s="135" t="s">
        <v>1450</v>
      </c>
      <c r="K988" s="186">
        <v>20</v>
      </c>
      <c r="L988" s="187" t="s">
        <v>173</v>
      </c>
      <c r="M988" s="187" t="s">
        <v>175</v>
      </c>
    </row>
    <row r="989" spans="1:13" s="188" customFormat="1">
      <c r="A989" s="185" t="s">
        <v>1447</v>
      </c>
      <c r="B989" s="133" t="s">
        <v>4120</v>
      </c>
      <c r="C989" s="185" t="s">
        <v>3023</v>
      </c>
      <c r="D989" s="133" t="s">
        <v>2056</v>
      </c>
      <c r="E989" s="134">
        <v>1</v>
      </c>
      <c r="F989" s="135" t="s">
        <v>1449</v>
      </c>
      <c r="G989" s="185" t="s">
        <v>15</v>
      </c>
      <c r="H989" s="185" t="s">
        <v>15</v>
      </c>
      <c r="I989" s="185" t="s">
        <v>15</v>
      </c>
      <c r="J989" s="135" t="s">
        <v>1450</v>
      </c>
      <c r="K989" s="186">
        <v>20</v>
      </c>
      <c r="L989" s="187" t="s">
        <v>173</v>
      </c>
      <c r="M989" s="187" t="s">
        <v>175</v>
      </c>
    </row>
    <row r="990" spans="1:13" s="188" customFormat="1">
      <c r="A990" s="185" t="s">
        <v>1447</v>
      </c>
      <c r="B990" s="133" t="s">
        <v>4121</v>
      </c>
      <c r="C990" s="185" t="s">
        <v>3023</v>
      </c>
      <c r="D990" s="133" t="s">
        <v>1448</v>
      </c>
      <c r="E990" s="134">
        <v>1</v>
      </c>
      <c r="F990" s="135" t="s">
        <v>1449</v>
      </c>
      <c r="G990" s="185" t="s">
        <v>15</v>
      </c>
      <c r="H990" s="185" t="s">
        <v>15</v>
      </c>
      <c r="I990" s="185" t="s">
        <v>15</v>
      </c>
      <c r="J990" s="135" t="s">
        <v>1450</v>
      </c>
      <c r="K990" s="186">
        <v>8304</v>
      </c>
      <c r="L990" s="187" t="s">
        <v>173</v>
      </c>
      <c r="M990" s="187" t="s">
        <v>175</v>
      </c>
    </row>
    <row r="991" spans="1:13" s="188" customFormat="1">
      <c r="A991" s="185" t="s">
        <v>1447</v>
      </c>
      <c r="B991" s="133" t="s">
        <v>4122</v>
      </c>
      <c r="C991" s="185" t="s">
        <v>3023</v>
      </c>
      <c r="D991" s="133" t="s">
        <v>1448</v>
      </c>
      <c r="E991" s="134">
        <v>1</v>
      </c>
      <c r="F991" s="135" t="s">
        <v>1449</v>
      </c>
      <c r="G991" s="185" t="s">
        <v>15</v>
      </c>
      <c r="H991" s="185" t="s">
        <v>15</v>
      </c>
      <c r="I991" s="185" t="s">
        <v>15</v>
      </c>
      <c r="J991" s="135" t="s">
        <v>1450</v>
      </c>
      <c r="K991" s="186">
        <v>6228</v>
      </c>
      <c r="L991" s="187" t="s">
        <v>173</v>
      </c>
      <c r="M991" s="187" t="s">
        <v>175</v>
      </c>
    </row>
    <row r="992" spans="1:13" s="188" customFormat="1">
      <c r="A992" s="185" t="s">
        <v>1447</v>
      </c>
      <c r="B992" s="133" t="s">
        <v>4123</v>
      </c>
      <c r="C992" s="185" t="s">
        <v>3023</v>
      </c>
      <c r="D992" s="133" t="s">
        <v>1448</v>
      </c>
      <c r="E992" s="134">
        <v>1</v>
      </c>
      <c r="F992" s="135" t="s">
        <v>1449</v>
      </c>
      <c r="G992" s="185" t="s">
        <v>15</v>
      </c>
      <c r="H992" s="185" t="s">
        <v>15</v>
      </c>
      <c r="I992" s="185" t="s">
        <v>15</v>
      </c>
      <c r="J992" s="135" t="s">
        <v>1450</v>
      </c>
      <c r="K992" s="186">
        <v>4764</v>
      </c>
      <c r="L992" s="187" t="s">
        <v>173</v>
      </c>
      <c r="M992" s="187" t="s">
        <v>175</v>
      </c>
    </row>
    <row r="993" spans="1:13" s="188" customFormat="1">
      <c r="A993" s="185" t="s">
        <v>1447</v>
      </c>
      <c r="B993" s="133" t="s">
        <v>4124</v>
      </c>
      <c r="C993" s="185" t="s">
        <v>3023</v>
      </c>
      <c r="D993" s="133" t="s">
        <v>1448</v>
      </c>
      <c r="E993" s="134">
        <v>1</v>
      </c>
      <c r="F993" s="135" t="s">
        <v>1449</v>
      </c>
      <c r="G993" s="185" t="s">
        <v>15</v>
      </c>
      <c r="H993" s="185" t="s">
        <v>15</v>
      </c>
      <c r="I993" s="185" t="s">
        <v>15</v>
      </c>
      <c r="J993" s="135" t="s">
        <v>1450</v>
      </c>
      <c r="K993" s="186">
        <v>3528</v>
      </c>
      <c r="L993" s="187" t="s">
        <v>173</v>
      </c>
      <c r="M993" s="187" t="s">
        <v>175</v>
      </c>
    </row>
    <row r="994" spans="1:13" s="188" customFormat="1">
      <c r="A994" s="185" t="s">
        <v>1447</v>
      </c>
      <c r="B994" s="133" t="s">
        <v>4125</v>
      </c>
      <c r="C994" s="185" t="s">
        <v>3023</v>
      </c>
      <c r="D994" s="133" t="s">
        <v>1448</v>
      </c>
      <c r="E994" s="134">
        <v>1</v>
      </c>
      <c r="F994" s="135" t="s">
        <v>1449</v>
      </c>
      <c r="G994" s="185" t="s">
        <v>15</v>
      </c>
      <c r="H994" s="185" t="s">
        <v>15</v>
      </c>
      <c r="I994" s="185" t="s">
        <v>15</v>
      </c>
      <c r="J994" s="135" t="s">
        <v>1450</v>
      </c>
      <c r="K994" s="186">
        <v>2592</v>
      </c>
      <c r="L994" s="187" t="s">
        <v>173</v>
      </c>
      <c r="M994" s="187" t="s">
        <v>175</v>
      </c>
    </row>
    <row r="995" spans="1:13" s="188" customFormat="1">
      <c r="A995" s="185" t="s">
        <v>1447</v>
      </c>
      <c r="B995" s="133" t="s">
        <v>4126</v>
      </c>
      <c r="C995" s="185" t="s">
        <v>3023</v>
      </c>
      <c r="D995" s="133" t="s">
        <v>1451</v>
      </c>
      <c r="E995" s="134">
        <v>1</v>
      </c>
      <c r="F995" s="135" t="s">
        <v>1449</v>
      </c>
      <c r="G995" s="185" t="s">
        <v>15</v>
      </c>
      <c r="H995" s="185" t="s">
        <v>15</v>
      </c>
      <c r="I995" s="185" t="s">
        <v>15</v>
      </c>
      <c r="J995" s="135" t="s">
        <v>1450</v>
      </c>
      <c r="K995" s="186">
        <v>7260</v>
      </c>
      <c r="L995" s="187" t="s">
        <v>173</v>
      </c>
      <c r="M995" s="187" t="s">
        <v>175</v>
      </c>
    </row>
    <row r="996" spans="1:13" s="188" customFormat="1">
      <c r="A996" s="185" t="s">
        <v>1447</v>
      </c>
      <c r="B996" s="133" t="s">
        <v>4127</v>
      </c>
      <c r="C996" s="185" t="s">
        <v>3023</v>
      </c>
      <c r="D996" s="133" t="s">
        <v>1451</v>
      </c>
      <c r="E996" s="134">
        <v>1</v>
      </c>
      <c r="F996" s="135" t="s">
        <v>1449</v>
      </c>
      <c r="G996" s="185" t="s">
        <v>15</v>
      </c>
      <c r="H996" s="185" t="s">
        <v>15</v>
      </c>
      <c r="I996" s="185" t="s">
        <v>15</v>
      </c>
      <c r="J996" s="135" t="s">
        <v>1450</v>
      </c>
      <c r="K996" s="186">
        <v>5604</v>
      </c>
      <c r="L996" s="187" t="s">
        <v>173</v>
      </c>
      <c r="M996" s="187" t="s">
        <v>175</v>
      </c>
    </row>
    <row r="997" spans="1:13" s="188" customFormat="1">
      <c r="A997" s="185" t="s">
        <v>1447</v>
      </c>
      <c r="B997" s="133" t="s">
        <v>4128</v>
      </c>
      <c r="C997" s="185" t="s">
        <v>3023</v>
      </c>
      <c r="D997" s="133" t="s">
        <v>1451</v>
      </c>
      <c r="E997" s="134">
        <v>1</v>
      </c>
      <c r="F997" s="135" t="s">
        <v>1449</v>
      </c>
      <c r="G997" s="185" t="s">
        <v>15</v>
      </c>
      <c r="H997" s="185" t="s">
        <v>15</v>
      </c>
      <c r="I997" s="185" t="s">
        <v>15</v>
      </c>
      <c r="J997" s="135" t="s">
        <v>1450</v>
      </c>
      <c r="K997" s="186">
        <v>4152</v>
      </c>
      <c r="L997" s="187" t="s">
        <v>173</v>
      </c>
      <c r="M997" s="187" t="s">
        <v>175</v>
      </c>
    </row>
    <row r="998" spans="1:13" s="188" customFormat="1">
      <c r="A998" s="185" t="s">
        <v>1447</v>
      </c>
      <c r="B998" s="133" t="s">
        <v>4129</v>
      </c>
      <c r="C998" s="185" t="s">
        <v>3023</v>
      </c>
      <c r="D998" s="133" t="s">
        <v>1451</v>
      </c>
      <c r="E998" s="134">
        <v>1</v>
      </c>
      <c r="F998" s="135" t="s">
        <v>1449</v>
      </c>
      <c r="G998" s="185" t="s">
        <v>15</v>
      </c>
      <c r="H998" s="185" t="s">
        <v>15</v>
      </c>
      <c r="I998" s="185" t="s">
        <v>15</v>
      </c>
      <c r="J998" s="135" t="s">
        <v>1450</v>
      </c>
      <c r="K998" s="186">
        <v>3012</v>
      </c>
      <c r="L998" s="187" t="s">
        <v>173</v>
      </c>
      <c r="M998" s="187" t="s">
        <v>175</v>
      </c>
    </row>
    <row r="999" spans="1:13" s="188" customFormat="1">
      <c r="A999" s="185" t="s">
        <v>1447</v>
      </c>
      <c r="B999" s="133" t="s">
        <v>4130</v>
      </c>
      <c r="C999" s="185" t="s">
        <v>3023</v>
      </c>
      <c r="D999" s="133" t="s">
        <v>1451</v>
      </c>
      <c r="E999" s="134">
        <v>1</v>
      </c>
      <c r="F999" s="135" t="s">
        <v>1449</v>
      </c>
      <c r="G999" s="185" t="s">
        <v>15</v>
      </c>
      <c r="H999" s="185" t="s">
        <v>15</v>
      </c>
      <c r="I999" s="185" t="s">
        <v>15</v>
      </c>
      <c r="J999" s="135" t="s">
        <v>1450</v>
      </c>
      <c r="K999" s="186">
        <v>2280</v>
      </c>
      <c r="L999" s="187" t="s">
        <v>173</v>
      </c>
      <c r="M999" s="187" t="s">
        <v>175</v>
      </c>
    </row>
    <row r="1000" spans="1:13" s="188" customFormat="1">
      <c r="A1000" s="185" t="s">
        <v>1447</v>
      </c>
      <c r="B1000" s="133" t="s">
        <v>4131</v>
      </c>
      <c r="C1000" s="185" t="s">
        <v>3023</v>
      </c>
      <c r="D1000" s="133" t="s">
        <v>1452</v>
      </c>
      <c r="E1000" s="134">
        <v>1</v>
      </c>
      <c r="F1000" s="135" t="s">
        <v>1449</v>
      </c>
      <c r="G1000" s="185" t="s">
        <v>15</v>
      </c>
      <c r="H1000" s="185" t="s">
        <v>15</v>
      </c>
      <c r="I1000" s="185" t="s">
        <v>15</v>
      </c>
      <c r="J1000" s="135" t="s">
        <v>1450</v>
      </c>
      <c r="K1000" s="186">
        <v>720</v>
      </c>
      <c r="L1000" s="187" t="s">
        <v>173</v>
      </c>
      <c r="M1000" s="187" t="s">
        <v>175</v>
      </c>
    </row>
    <row r="1001" spans="1:13" s="188" customFormat="1">
      <c r="A1001" s="185" t="s">
        <v>1447</v>
      </c>
      <c r="B1001" s="133" t="s">
        <v>4132</v>
      </c>
      <c r="C1001" s="185" t="s">
        <v>3023</v>
      </c>
      <c r="D1001" s="133" t="s">
        <v>1452</v>
      </c>
      <c r="E1001" s="134">
        <v>1</v>
      </c>
      <c r="F1001" s="135" t="s">
        <v>1449</v>
      </c>
      <c r="G1001" s="185" t="s">
        <v>15</v>
      </c>
      <c r="H1001" s="185" t="s">
        <v>15</v>
      </c>
      <c r="I1001" s="185" t="s">
        <v>15</v>
      </c>
      <c r="J1001" s="135" t="s">
        <v>1450</v>
      </c>
      <c r="K1001" s="186">
        <v>624</v>
      </c>
      <c r="L1001" s="187" t="s">
        <v>173</v>
      </c>
      <c r="M1001" s="187" t="s">
        <v>175</v>
      </c>
    </row>
    <row r="1002" spans="1:13" s="188" customFormat="1">
      <c r="A1002" s="185" t="s">
        <v>1447</v>
      </c>
      <c r="B1002" s="133" t="s">
        <v>4133</v>
      </c>
      <c r="C1002" s="185" t="s">
        <v>3023</v>
      </c>
      <c r="D1002" s="133" t="s">
        <v>1452</v>
      </c>
      <c r="E1002" s="134">
        <v>1</v>
      </c>
      <c r="F1002" s="135" t="s">
        <v>1449</v>
      </c>
      <c r="G1002" s="185" t="s">
        <v>15</v>
      </c>
      <c r="H1002" s="185" t="s">
        <v>15</v>
      </c>
      <c r="I1002" s="185" t="s">
        <v>15</v>
      </c>
      <c r="J1002" s="135" t="s">
        <v>1450</v>
      </c>
      <c r="K1002" s="186">
        <v>468</v>
      </c>
      <c r="L1002" s="187" t="s">
        <v>173</v>
      </c>
      <c r="M1002" s="187" t="s">
        <v>175</v>
      </c>
    </row>
    <row r="1003" spans="1:13" s="188" customFormat="1">
      <c r="A1003" s="185" t="s">
        <v>1447</v>
      </c>
      <c r="B1003" s="133" t="s">
        <v>4134</v>
      </c>
      <c r="C1003" s="185" t="s">
        <v>3023</v>
      </c>
      <c r="D1003" s="133" t="s">
        <v>1452</v>
      </c>
      <c r="E1003" s="134">
        <v>1</v>
      </c>
      <c r="F1003" s="135" t="s">
        <v>1449</v>
      </c>
      <c r="G1003" s="185" t="s">
        <v>15</v>
      </c>
      <c r="H1003" s="185" t="s">
        <v>15</v>
      </c>
      <c r="I1003" s="185" t="s">
        <v>15</v>
      </c>
      <c r="J1003" s="135" t="s">
        <v>1450</v>
      </c>
      <c r="K1003" s="186">
        <v>348</v>
      </c>
      <c r="L1003" s="187" t="s">
        <v>173</v>
      </c>
      <c r="M1003" s="187" t="s">
        <v>175</v>
      </c>
    </row>
    <row r="1004" spans="1:13" s="188" customFormat="1">
      <c r="A1004" s="185" t="s">
        <v>1447</v>
      </c>
      <c r="B1004" s="133" t="s">
        <v>4135</v>
      </c>
      <c r="C1004" s="185" t="s">
        <v>3023</v>
      </c>
      <c r="D1004" s="133" t="s">
        <v>1452</v>
      </c>
      <c r="E1004" s="134">
        <v>1</v>
      </c>
      <c r="F1004" s="135" t="s">
        <v>1449</v>
      </c>
      <c r="G1004" s="185" t="s">
        <v>15</v>
      </c>
      <c r="H1004" s="185" t="s">
        <v>15</v>
      </c>
      <c r="I1004" s="185" t="s">
        <v>15</v>
      </c>
      <c r="J1004" s="135" t="s">
        <v>1450</v>
      </c>
      <c r="K1004" s="186">
        <v>264</v>
      </c>
      <c r="L1004" s="187" t="s">
        <v>173</v>
      </c>
      <c r="M1004" s="187" t="s">
        <v>175</v>
      </c>
    </row>
    <row r="1005" spans="1:13" s="188" customFormat="1">
      <c r="A1005" s="185" t="s">
        <v>1447</v>
      </c>
      <c r="B1005" s="133" t="s">
        <v>4136</v>
      </c>
      <c r="C1005" s="185" t="s">
        <v>3023</v>
      </c>
      <c r="D1005" s="133" t="s">
        <v>1453</v>
      </c>
      <c r="E1005" s="134">
        <v>1</v>
      </c>
      <c r="F1005" s="135" t="s">
        <v>1449</v>
      </c>
      <c r="G1005" s="185" t="s">
        <v>15</v>
      </c>
      <c r="H1005" s="185" t="s">
        <v>15</v>
      </c>
      <c r="I1005" s="185" t="s">
        <v>15</v>
      </c>
      <c r="J1005" s="135" t="s">
        <v>1450</v>
      </c>
      <c r="K1005" s="186">
        <v>840</v>
      </c>
      <c r="L1005" s="187" t="s">
        <v>173</v>
      </c>
      <c r="M1005" s="187" t="s">
        <v>175</v>
      </c>
    </row>
    <row r="1006" spans="1:13" s="188" customFormat="1">
      <c r="A1006" s="185" t="s">
        <v>1447</v>
      </c>
      <c r="B1006" s="133" t="s">
        <v>4137</v>
      </c>
      <c r="C1006" s="185" t="s">
        <v>3023</v>
      </c>
      <c r="D1006" s="133" t="s">
        <v>1453</v>
      </c>
      <c r="E1006" s="134">
        <v>1</v>
      </c>
      <c r="F1006" s="135" t="s">
        <v>1449</v>
      </c>
      <c r="G1006" s="185" t="s">
        <v>15</v>
      </c>
      <c r="H1006" s="185" t="s">
        <v>15</v>
      </c>
      <c r="I1006" s="185" t="s">
        <v>15</v>
      </c>
      <c r="J1006" s="135" t="s">
        <v>1450</v>
      </c>
      <c r="K1006" s="186">
        <v>624</v>
      </c>
      <c r="L1006" s="187" t="s">
        <v>173</v>
      </c>
      <c r="M1006" s="187" t="s">
        <v>175</v>
      </c>
    </row>
    <row r="1007" spans="1:13" s="188" customFormat="1">
      <c r="A1007" s="185" t="s">
        <v>1447</v>
      </c>
      <c r="B1007" s="133" t="s">
        <v>4138</v>
      </c>
      <c r="C1007" s="185" t="s">
        <v>3023</v>
      </c>
      <c r="D1007" s="133" t="s">
        <v>1453</v>
      </c>
      <c r="E1007" s="134">
        <v>1</v>
      </c>
      <c r="F1007" s="135" t="s">
        <v>1449</v>
      </c>
      <c r="G1007" s="185" t="s">
        <v>15</v>
      </c>
      <c r="H1007" s="185" t="s">
        <v>15</v>
      </c>
      <c r="I1007" s="185" t="s">
        <v>15</v>
      </c>
      <c r="J1007" s="135" t="s">
        <v>1450</v>
      </c>
      <c r="K1007" s="186">
        <v>408</v>
      </c>
      <c r="L1007" s="187" t="s">
        <v>173</v>
      </c>
      <c r="M1007" s="187" t="s">
        <v>175</v>
      </c>
    </row>
    <row r="1008" spans="1:13" s="188" customFormat="1">
      <c r="A1008" s="185" t="s">
        <v>1447</v>
      </c>
      <c r="B1008" s="133" t="s">
        <v>4139</v>
      </c>
      <c r="C1008" s="185" t="s">
        <v>3023</v>
      </c>
      <c r="D1008" s="133" t="s">
        <v>1453</v>
      </c>
      <c r="E1008" s="134">
        <v>1</v>
      </c>
      <c r="F1008" s="135" t="s">
        <v>1449</v>
      </c>
      <c r="G1008" s="185" t="s">
        <v>15</v>
      </c>
      <c r="H1008" s="185" t="s">
        <v>15</v>
      </c>
      <c r="I1008" s="185" t="s">
        <v>15</v>
      </c>
      <c r="J1008" s="135" t="s">
        <v>1450</v>
      </c>
      <c r="K1008" s="186">
        <v>312</v>
      </c>
      <c r="L1008" s="187" t="s">
        <v>173</v>
      </c>
      <c r="M1008" s="187" t="s">
        <v>175</v>
      </c>
    </row>
    <row r="1009" spans="1:13" s="188" customFormat="1">
      <c r="A1009" s="185" t="s">
        <v>1447</v>
      </c>
      <c r="B1009" s="133" t="s">
        <v>4140</v>
      </c>
      <c r="C1009" s="185" t="s">
        <v>3023</v>
      </c>
      <c r="D1009" s="133" t="s">
        <v>1453</v>
      </c>
      <c r="E1009" s="134">
        <v>1</v>
      </c>
      <c r="F1009" s="135" t="s">
        <v>1449</v>
      </c>
      <c r="G1009" s="185" t="s">
        <v>15</v>
      </c>
      <c r="H1009" s="185" t="s">
        <v>15</v>
      </c>
      <c r="I1009" s="185" t="s">
        <v>15</v>
      </c>
      <c r="J1009" s="135" t="s">
        <v>1450</v>
      </c>
      <c r="K1009" s="186">
        <v>228</v>
      </c>
      <c r="L1009" s="187" t="s">
        <v>173</v>
      </c>
      <c r="M1009" s="187" t="s">
        <v>175</v>
      </c>
    </row>
    <row r="1010" spans="1:13" s="188" customFormat="1">
      <c r="A1010" s="185" t="s">
        <v>1447</v>
      </c>
      <c r="B1010" s="133" t="s">
        <v>4141</v>
      </c>
      <c r="C1010" s="185" t="s">
        <v>3023</v>
      </c>
      <c r="D1010" s="133" t="s">
        <v>1453</v>
      </c>
      <c r="E1010" s="134">
        <v>1</v>
      </c>
      <c r="F1010" s="135" t="s">
        <v>1449</v>
      </c>
      <c r="G1010" s="185" t="s">
        <v>15</v>
      </c>
      <c r="H1010" s="185" t="s">
        <v>15</v>
      </c>
      <c r="I1010" s="185" t="s">
        <v>15</v>
      </c>
      <c r="J1010" s="135" t="s">
        <v>1450</v>
      </c>
      <c r="K1010" s="186">
        <v>180</v>
      </c>
      <c r="L1010" s="187" t="s">
        <v>173</v>
      </c>
      <c r="M1010" s="187" t="s">
        <v>175</v>
      </c>
    </row>
    <row r="1011" spans="1:13" s="188" customFormat="1">
      <c r="A1011" s="185" t="s">
        <v>1447</v>
      </c>
      <c r="B1011" s="133" t="s">
        <v>4142</v>
      </c>
      <c r="C1011" s="185" t="s">
        <v>3023</v>
      </c>
      <c r="D1011" s="133" t="s">
        <v>1453</v>
      </c>
      <c r="E1011" s="134">
        <v>1</v>
      </c>
      <c r="F1011" s="135" t="s">
        <v>1449</v>
      </c>
      <c r="G1011" s="185" t="s">
        <v>15</v>
      </c>
      <c r="H1011" s="185" t="s">
        <v>15</v>
      </c>
      <c r="I1011" s="185" t="s">
        <v>15</v>
      </c>
      <c r="J1011" s="135" t="s">
        <v>1450</v>
      </c>
      <c r="K1011" s="186">
        <v>120</v>
      </c>
      <c r="L1011" s="187" t="s">
        <v>173</v>
      </c>
      <c r="M1011" s="187" t="s">
        <v>175</v>
      </c>
    </row>
    <row r="1012" spans="1:13" s="188" customFormat="1">
      <c r="A1012" s="185" t="s">
        <v>1447</v>
      </c>
      <c r="B1012" s="133" t="s">
        <v>4143</v>
      </c>
      <c r="C1012" s="185" t="s">
        <v>3023</v>
      </c>
      <c r="D1012" s="133" t="s">
        <v>1454</v>
      </c>
      <c r="E1012" s="134">
        <v>1</v>
      </c>
      <c r="F1012" s="135" t="s">
        <v>1449</v>
      </c>
      <c r="G1012" s="185" t="s">
        <v>15</v>
      </c>
      <c r="H1012" s="185" t="s">
        <v>15</v>
      </c>
      <c r="I1012" s="185" t="s">
        <v>15</v>
      </c>
      <c r="J1012" s="135" t="s">
        <v>1450</v>
      </c>
      <c r="K1012" s="186">
        <v>1560</v>
      </c>
      <c r="L1012" s="187" t="s">
        <v>173</v>
      </c>
      <c r="M1012" s="187" t="s">
        <v>175</v>
      </c>
    </row>
    <row r="1013" spans="1:13" s="188" customFormat="1">
      <c r="A1013" s="185" t="s">
        <v>1447</v>
      </c>
      <c r="B1013" s="133" t="s">
        <v>4144</v>
      </c>
      <c r="C1013" s="185" t="s">
        <v>3023</v>
      </c>
      <c r="D1013" s="133" t="s">
        <v>1454</v>
      </c>
      <c r="E1013" s="134">
        <v>1</v>
      </c>
      <c r="F1013" s="135" t="s">
        <v>1449</v>
      </c>
      <c r="G1013" s="185" t="s">
        <v>15</v>
      </c>
      <c r="H1013" s="185" t="s">
        <v>15</v>
      </c>
      <c r="I1013" s="185" t="s">
        <v>15</v>
      </c>
      <c r="J1013" s="135" t="s">
        <v>1450</v>
      </c>
      <c r="K1013" s="186">
        <v>1104</v>
      </c>
      <c r="L1013" s="187" t="s">
        <v>173</v>
      </c>
      <c r="M1013" s="187" t="s">
        <v>175</v>
      </c>
    </row>
    <row r="1014" spans="1:13" s="188" customFormat="1">
      <c r="A1014" s="185" t="s">
        <v>1447</v>
      </c>
      <c r="B1014" s="133" t="s">
        <v>4145</v>
      </c>
      <c r="C1014" s="185" t="s">
        <v>3023</v>
      </c>
      <c r="D1014" s="133" t="s">
        <v>1454</v>
      </c>
      <c r="E1014" s="134">
        <v>1</v>
      </c>
      <c r="F1014" s="135" t="s">
        <v>1449</v>
      </c>
      <c r="G1014" s="185" t="s">
        <v>15</v>
      </c>
      <c r="H1014" s="185" t="s">
        <v>15</v>
      </c>
      <c r="I1014" s="185" t="s">
        <v>15</v>
      </c>
      <c r="J1014" s="135" t="s">
        <v>1450</v>
      </c>
      <c r="K1014" s="186">
        <v>840</v>
      </c>
      <c r="L1014" s="187" t="s">
        <v>173</v>
      </c>
      <c r="M1014" s="187" t="s">
        <v>175</v>
      </c>
    </row>
    <row r="1015" spans="1:13" s="188" customFormat="1">
      <c r="A1015" s="185" t="s">
        <v>1447</v>
      </c>
      <c r="B1015" s="133" t="s">
        <v>4146</v>
      </c>
      <c r="C1015" s="185" t="s">
        <v>3023</v>
      </c>
      <c r="D1015" s="133" t="s">
        <v>1454</v>
      </c>
      <c r="E1015" s="134">
        <v>1</v>
      </c>
      <c r="F1015" s="135" t="s">
        <v>1449</v>
      </c>
      <c r="G1015" s="185" t="s">
        <v>15</v>
      </c>
      <c r="H1015" s="185" t="s">
        <v>15</v>
      </c>
      <c r="I1015" s="185" t="s">
        <v>15</v>
      </c>
      <c r="J1015" s="135" t="s">
        <v>1450</v>
      </c>
      <c r="K1015" s="186">
        <v>624</v>
      </c>
      <c r="L1015" s="187" t="s">
        <v>173</v>
      </c>
      <c r="M1015" s="187" t="s">
        <v>175</v>
      </c>
    </row>
    <row r="1016" spans="1:13" s="188" customFormat="1">
      <c r="A1016" s="185" t="s">
        <v>1447</v>
      </c>
      <c r="B1016" s="133" t="s">
        <v>4147</v>
      </c>
      <c r="C1016" s="185" t="s">
        <v>3023</v>
      </c>
      <c r="D1016" s="133" t="s">
        <v>1454</v>
      </c>
      <c r="E1016" s="134">
        <v>1</v>
      </c>
      <c r="F1016" s="135" t="s">
        <v>1449</v>
      </c>
      <c r="G1016" s="185" t="s">
        <v>15</v>
      </c>
      <c r="H1016" s="185" t="s">
        <v>15</v>
      </c>
      <c r="I1016" s="185" t="s">
        <v>15</v>
      </c>
      <c r="J1016" s="135" t="s">
        <v>1450</v>
      </c>
      <c r="K1016" s="186">
        <v>444</v>
      </c>
      <c r="L1016" s="187" t="s">
        <v>173</v>
      </c>
      <c r="M1016" s="187" t="s">
        <v>175</v>
      </c>
    </row>
    <row r="1017" spans="1:13" s="188" customFormat="1">
      <c r="A1017" s="185" t="s">
        <v>1447</v>
      </c>
      <c r="B1017" s="133" t="s">
        <v>4148</v>
      </c>
      <c r="C1017" s="185" t="s">
        <v>3023</v>
      </c>
      <c r="D1017" s="133" t="s">
        <v>1454</v>
      </c>
      <c r="E1017" s="134">
        <v>1</v>
      </c>
      <c r="F1017" s="135" t="s">
        <v>1449</v>
      </c>
      <c r="G1017" s="185" t="s">
        <v>15</v>
      </c>
      <c r="H1017" s="185" t="s">
        <v>15</v>
      </c>
      <c r="I1017" s="185" t="s">
        <v>15</v>
      </c>
      <c r="J1017" s="135" t="s">
        <v>1450</v>
      </c>
      <c r="K1017" s="186">
        <v>348</v>
      </c>
      <c r="L1017" s="187" t="s">
        <v>173</v>
      </c>
      <c r="M1017" s="187" t="s">
        <v>175</v>
      </c>
    </row>
    <row r="1018" spans="1:13" s="188" customFormat="1">
      <c r="A1018" s="185" t="s">
        <v>1447</v>
      </c>
      <c r="B1018" s="133" t="s">
        <v>4149</v>
      </c>
      <c r="C1018" s="185" t="s">
        <v>3023</v>
      </c>
      <c r="D1018" s="133" t="s">
        <v>1454</v>
      </c>
      <c r="E1018" s="134">
        <v>1</v>
      </c>
      <c r="F1018" s="135" t="s">
        <v>1449</v>
      </c>
      <c r="G1018" s="185" t="s">
        <v>15</v>
      </c>
      <c r="H1018" s="185" t="s">
        <v>15</v>
      </c>
      <c r="I1018" s="185" t="s">
        <v>15</v>
      </c>
      <c r="J1018" s="135" t="s">
        <v>1450</v>
      </c>
      <c r="K1018" s="186">
        <v>264</v>
      </c>
      <c r="L1018" s="187" t="s">
        <v>173</v>
      </c>
      <c r="M1018" s="187" t="s">
        <v>175</v>
      </c>
    </row>
    <row r="1019" spans="1:13" s="188" customFormat="1">
      <c r="A1019" s="185" t="s">
        <v>1447</v>
      </c>
      <c r="B1019" s="133" t="s">
        <v>4150</v>
      </c>
      <c r="C1019" s="185" t="s">
        <v>3023</v>
      </c>
      <c r="D1019" s="133" t="s">
        <v>1455</v>
      </c>
      <c r="E1019" s="134">
        <v>1</v>
      </c>
      <c r="F1019" s="135" t="s">
        <v>1449</v>
      </c>
      <c r="G1019" s="185" t="s">
        <v>15</v>
      </c>
      <c r="H1019" s="185" t="s">
        <v>15</v>
      </c>
      <c r="I1019" s="185" t="s">
        <v>15</v>
      </c>
      <c r="J1019" s="135" t="s">
        <v>1450</v>
      </c>
      <c r="K1019" s="186">
        <v>33204</v>
      </c>
      <c r="L1019" s="187" t="s">
        <v>173</v>
      </c>
      <c r="M1019" s="187" t="s">
        <v>175</v>
      </c>
    </row>
    <row r="1020" spans="1:13" s="188" customFormat="1">
      <c r="A1020" s="185" t="s">
        <v>1447</v>
      </c>
      <c r="B1020" s="133" t="s">
        <v>4151</v>
      </c>
      <c r="C1020" s="185" t="s">
        <v>3023</v>
      </c>
      <c r="D1020" s="133" t="s">
        <v>1455</v>
      </c>
      <c r="E1020" s="134">
        <v>1</v>
      </c>
      <c r="F1020" s="135" t="s">
        <v>1449</v>
      </c>
      <c r="G1020" s="185" t="s">
        <v>15</v>
      </c>
      <c r="H1020" s="185" t="s">
        <v>15</v>
      </c>
      <c r="I1020" s="185" t="s">
        <v>15</v>
      </c>
      <c r="J1020" s="135" t="s">
        <v>1450</v>
      </c>
      <c r="K1020" s="186">
        <v>24900</v>
      </c>
      <c r="L1020" s="187" t="s">
        <v>173</v>
      </c>
      <c r="M1020" s="187" t="s">
        <v>175</v>
      </c>
    </row>
    <row r="1021" spans="1:13" s="188" customFormat="1">
      <c r="A1021" s="185" t="s">
        <v>1447</v>
      </c>
      <c r="B1021" s="133" t="s">
        <v>4152</v>
      </c>
      <c r="C1021" s="185" t="s">
        <v>3023</v>
      </c>
      <c r="D1021" s="133" t="s">
        <v>1455</v>
      </c>
      <c r="E1021" s="134">
        <v>1</v>
      </c>
      <c r="F1021" s="135" t="s">
        <v>1449</v>
      </c>
      <c r="G1021" s="185" t="s">
        <v>15</v>
      </c>
      <c r="H1021" s="185" t="s">
        <v>15</v>
      </c>
      <c r="I1021" s="185" t="s">
        <v>15</v>
      </c>
      <c r="J1021" s="135" t="s">
        <v>1450</v>
      </c>
      <c r="K1021" s="186">
        <v>14532</v>
      </c>
      <c r="L1021" s="187" t="s">
        <v>173</v>
      </c>
      <c r="M1021" s="187" t="s">
        <v>175</v>
      </c>
    </row>
    <row r="1022" spans="1:13" s="188" customFormat="1">
      <c r="A1022" s="185" t="s">
        <v>1447</v>
      </c>
      <c r="B1022" s="133" t="s">
        <v>4153</v>
      </c>
      <c r="C1022" s="185" t="s">
        <v>3023</v>
      </c>
      <c r="D1022" s="133" t="s">
        <v>1455</v>
      </c>
      <c r="E1022" s="134">
        <v>1</v>
      </c>
      <c r="F1022" s="135" t="s">
        <v>1449</v>
      </c>
      <c r="G1022" s="185" t="s">
        <v>15</v>
      </c>
      <c r="H1022" s="185" t="s">
        <v>15</v>
      </c>
      <c r="I1022" s="185" t="s">
        <v>15</v>
      </c>
      <c r="J1022" s="135" t="s">
        <v>1450</v>
      </c>
      <c r="K1022" s="186">
        <v>9336</v>
      </c>
      <c r="L1022" s="187" t="s">
        <v>173</v>
      </c>
      <c r="M1022" s="187" t="s">
        <v>175</v>
      </c>
    </row>
    <row r="1023" spans="1:13" s="188" customFormat="1">
      <c r="A1023" s="185" t="s">
        <v>1447</v>
      </c>
      <c r="B1023" s="133" t="s">
        <v>4154</v>
      </c>
      <c r="C1023" s="185" t="s">
        <v>3023</v>
      </c>
      <c r="D1023" s="133" t="s">
        <v>1455</v>
      </c>
      <c r="E1023" s="134">
        <v>1</v>
      </c>
      <c r="F1023" s="135" t="s">
        <v>1449</v>
      </c>
      <c r="G1023" s="185" t="s">
        <v>15</v>
      </c>
      <c r="H1023" s="185" t="s">
        <v>15</v>
      </c>
      <c r="I1023" s="185" t="s">
        <v>15</v>
      </c>
      <c r="J1023" s="135" t="s">
        <v>1450</v>
      </c>
      <c r="K1023" s="186">
        <v>6012</v>
      </c>
      <c r="L1023" s="187" t="s">
        <v>173</v>
      </c>
      <c r="M1023" s="187" t="s">
        <v>175</v>
      </c>
    </row>
    <row r="1024" spans="1:13" s="188" customFormat="1">
      <c r="A1024" s="185" t="s">
        <v>1447</v>
      </c>
      <c r="B1024" s="133" t="s">
        <v>4155</v>
      </c>
      <c r="C1024" s="185" t="s">
        <v>3023</v>
      </c>
      <c r="D1024" s="133" t="s">
        <v>4156</v>
      </c>
      <c r="E1024" s="134">
        <v>1</v>
      </c>
      <c r="F1024" s="135" t="s">
        <v>1449</v>
      </c>
      <c r="G1024" s="185" t="s">
        <v>15</v>
      </c>
      <c r="H1024" s="185" t="s">
        <v>15</v>
      </c>
      <c r="I1024" s="185" t="s">
        <v>15</v>
      </c>
      <c r="J1024" s="135" t="s">
        <v>1450</v>
      </c>
      <c r="K1024" s="186">
        <v>103968</v>
      </c>
      <c r="L1024" s="187" t="s">
        <v>173</v>
      </c>
      <c r="M1024" s="187" t="s">
        <v>175</v>
      </c>
    </row>
    <row r="1025" spans="1:13" s="188" customFormat="1">
      <c r="A1025" s="185" t="s">
        <v>1447</v>
      </c>
      <c r="B1025" s="133" t="s">
        <v>4157</v>
      </c>
      <c r="C1025" s="185" t="s">
        <v>3023</v>
      </c>
      <c r="D1025" s="133" t="s">
        <v>4158</v>
      </c>
      <c r="E1025" s="134">
        <v>1</v>
      </c>
      <c r="F1025" s="135" t="s">
        <v>1449</v>
      </c>
      <c r="G1025" s="185" t="s">
        <v>15</v>
      </c>
      <c r="H1025" s="185" t="s">
        <v>15</v>
      </c>
      <c r="I1025" s="185" t="s">
        <v>15</v>
      </c>
      <c r="J1025" s="135" t="s">
        <v>1450</v>
      </c>
      <c r="K1025" s="186">
        <v>25956</v>
      </c>
      <c r="L1025" s="187" t="s">
        <v>173</v>
      </c>
      <c r="M1025" s="187" t="s">
        <v>175</v>
      </c>
    </row>
    <row r="1026" spans="1:13" s="188" customFormat="1">
      <c r="A1026" s="185" t="s">
        <v>1447</v>
      </c>
      <c r="B1026" s="133" t="s">
        <v>4159</v>
      </c>
      <c r="C1026" s="185" t="s">
        <v>3023</v>
      </c>
      <c r="D1026" s="133" t="s">
        <v>1456</v>
      </c>
      <c r="E1026" s="134">
        <v>1</v>
      </c>
      <c r="F1026" s="135" t="s">
        <v>1449</v>
      </c>
      <c r="G1026" s="185" t="s">
        <v>15</v>
      </c>
      <c r="H1026" s="185" t="s">
        <v>15</v>
      </c>
      <c r="I1026" s="185" t="s">
        <v>15</v>
      </c>
      <c r="J1026" s="135" t="s">
        <v>1450</v>
      </c>
      <c r="K1026" s="186">
        <v>1481688</v>
      </c>
      <c r="L1026" s="187" t="s">
        <v>173</v>
      </c>
      <c r="M1026" s="187" t="s">
        <v>175</v>
      </c>
    </row>
    <row r="1027" spans="1:13" s="188" customFormat="1">
      <c r="A1027" s="185" t="s">
        <v>1447</v>
      </c>
      <c r="B1027" s="133" t="s">
        <v>4160</v>
      </c>
      <c r="C1027" s="185" t="s">
        <v>3023</v>
      </c>
      <c r="D1027" s="133" t="s">
        <v>1455</v>
      </c>
      <c r="E1027" s="134">
        <v>1</v>
      </c>
      <c r="F1027" s="135" t="s">
        <v>1449</v>
      </c>
      <c r="G1027" s="185" t="s">
        <v>15</v>
      </c>
      <c r="H1027" s="185" t="s">
        <v>15</v>
      </c>
      <c r="I1027" s="185" t="s">
        <v>15</v>
      </c>
      <c r="J1027" s="135" t="s">
        <v>1450</v>
      </c>
      <c r="K1027" s="186">
        <v>33204</v>
      </c>
      <c r="L1027" s="187" t="s">
        <v>173</v>
      </c>
      <c r="M1027" s="187" t="s">
        <v>175</v>
      </c>
    </row>
    <row r="1028" spans="1:13" s="188" customFormat="1">
      <c r="A1028" s="185" t="s">
        <v>1447</v>
      </c>
      <c r="B1028" s="133" t="s">
        <v>4161</v>
      </c>
      <c r="C1028" s="185" t="s">
        <v>3023</v>
      </c>
      <c r="D1028" s="133" t="s">
        <v>1455</v>
      </c>
      <c r="E1028" s="134">
        <v>1</v>
      </c>
      <c r="F1028" s="135" t="s">
        <v>1449</v>
      </c>
      <c r="G1028" s="185" t="s">
        <v>15</v>
      </c>
      <c r="H1028" s="185" t="s">
        <v>15</v>
      </c>
      <c r="I1028" s="185" t="s">
        <v>15</v>
      </c>
      <c r="J1028" s="135" t="s">
        <v>1450</v>
      </c>
      <c r="K1028" s="186">
        <v>26460</v>
      </c>
      <c r="L1028" s="187" t="s">
        <v>173</v>
      </c>
      <c r="M1028" s="187" t="s">
        <v>175</v>
      </c>
    </row>
    <row r="1029" spans="1:13" s="188" customFormat="1">
      <c r="A1029" s="185" t="s">
        <v>1447</v>
      </c>
      <c r="B1029" s="133" t="s">
        <v>4162</v>
      </c>
      <c r="C1029" s="185" t="s">
        <v>3023</v>
      </c>
      <c r="D1029" s="133" t="s">
        <v>1455</v>
      </c>
      <c r="E1029" s="134">
        <v>1</v>
      </c>
      <c r="F1029" s="135" t="s">
        <v>1449</v>
      </c>
      <c r="G1029" s="185" t="s">
        <v>15</v>
      </c>
      <c r="H1029" s="185" t="s">
        <v>15</v>
      </c>
      <c r="I1029" s="185" t="s">
        <v>15</v>
      </c>
      <c r="J1029" s="135" t="s">
        <v>1450</v>
      </c>
      <c r="K1029" s="186">
        <v>19728</v>
      </c>
      <c r="L1029" s="187" t="s">
        <v>173</v>
      </c>
      <c r="M1029" s="187" t="s">
        <v>175</v>
      </c>
    </row>
    <row r="1030" spans="1:13" s="188" customFormat="1">
      <c r="A1030" s="185" t="s">
        <v>1447</v>
      </c>
      <c r="B1030" s="133" t="s">
        <v>4163</v>
      </c>
      <c r="C1030" s="185" t="s">
        <v>3023</v>
      </c>
      <c r="D1030" s="133" t="s">
        <v>1455</v>
      </c>
      <c r="E1030" s="134">
        <v>1</v>
      </c>
      <c r="F1030" s="135" t="s">
        <v>1449</v>
      </c>
      <c r="G1030" s="185" t="s">
        <v>15</v>
      </c>
      <c r="H1030" s="185" t="s">
        <v>15</v>
      </c>
      <c r="I1030" s="185" t="s">
        <v>15</v>
      </c>
      <c r="J1030" s="135" t="s">
        <v>1450</v>
      </c>
      <c r="K1030" s="186">
        <v>12624</v>
      </c>
      <c r="L1030" s="187" t="s">
        <v>173</v>
      </c>
      <c r="M1030" s="187" t="s">
        <v>175</v>
      </c>
    </row>
    <row r="1031" spans="1:13" s="188" customFormat="1">
      <c r="A1031" s="185" t="s">
        <v>1447</v>
      </c>
      <c r="B1031" s="133" t="s">
        <v>4164</v>
      </c>
      <c r="C1031" s="185" t="s">
        <v>3023</v>
      </c>
      <c r="D1031" s="133" t="s">
        <v>1455</v>
      </c>
      <c r="E1031" s="134">
        <v>1</v>
      </c>
      <c r="F1031" s="135" t="s">
        <v>1449</v>
      </c>
      <c r="G1031" s="185" t="s">
        <v>15</v>
      </c>
      <c r="H1031" s="185" t="s">
        <v>15</v>
      </c>
      <c r="I1031" s="185" t="s">
        <v>15</v>
      </c>
      <c r="J1031" s="135" t="s">
        <v>1450</v>
      </c>
      <c r="K1031" s="186">
        <v>7716</v>
      </c>
      <c r="L1031" s="187" t="s">
        <v>173</v>
      </c>
      <c r="M1031" s="187" t="s">
        <v>175</v>
      </c>
    </row>
    <row r="1032" spans="1:13" s="188" customFormat="1">
      <c r="A1032" s="185" t="s">
        <v>1447</v>
      </c>
      <c r="B1032" s="133" t="s">
        <v>4165</v>
      </c>
      <c r="C1032" s="185" t="s">
        <v>3023</v>
      </c>
      <c r="D1032" s="133" t="s">
        <v>1455</v>
      </c>
      <c r="E1032" s="134">
        <v>1</v>
      </c>
      <c r="F1032" s="135" t="s">
        <v>1449</v>
      </c>
      <c r="G1032" s="185" t="s">
        <v>15</v>
      </c>
      <c r="H1032" s="185" t="s">
        <v>15</v>
      </c>
      <c r="I1032" s="185" t="s">
        <v>15</v>
      </c>
      <c r="J1032" s="135" t="s">
        <v>1450</v>
      </c>
      <c r="K1032" s="186">
        <v>5484</v>
      </c>
      <c r="L1032" s="187" t="s">
        <v>173</v>
      </c>
      <c r="M1032" s="187" t="s">
        <v>175</v>
      </c>
    </row>
    <row r="1033" spans="1:13" s="188" customFormat="1">
      <c r="A1033" s="185" t="s">
        <v>1447</v>
      </c>
      <c r="B1033" s="133" t="s">
        <v>4166</v>
      </c>
      <c r="C1033" s="185" t="s">
        <v>3023</v>
      </c>
      <c r="D1033" s="133" t="s">
        <v>1457</v>
      </c>
      <c r="E1033" s="134">
        <v>1</v>
      </c>
      <c r="F1033" s="135" t="s">
        <v>1449</v>
      </c>
      <c r="G1033" s="185" t="s">
        <v>15</v>
      </c>
      <c r="H1033" s="185" t="s">
        <v>15</v>
      </c>
      <c r="I1033" s="185" t="s">
        <v>15</v>
      </c>
      <c r="J1033" s="135" t="s">
        <v>1450</v>
      </c>
      <c r="K1033" s="186">
        <v>1608</v>
      </c>
      <c r="L1033" s="187" t="s">
        <v>173</v>
      </c>
      <c r="M1033" s="187" t="s">
        <v>175</v>
      </c>
    </row>
    <row r="1034" spans="1:13" s="188" customFormat="1">
      <c r="A1034" s="185" t="s">
        <v>1447</v>
      </c>
      <c r="B1034" s="133" t="s">
        <v>4167</v>
      </c>
      <c r="C1034" s="185" t="s">
        <v>3023</v>
      </c>
      <c r="D1034" s="133" t="s">
        <v>1459</v>
      </c>
      <c r="E1034" s="134">
        <v>1</v>
      </c>
      <c r="F1034" s="135" t="s">
        <v>1449</v>
      </c>
      <c r="G1034" s="185" t="s">
        <v>15</v>
      </c>
      <c r="H1034" s="185" t="s">
        <v>15</v>
      </c>
      <c r="I1034" s="185" t="s">
        <v>15</v>
      </c>
      <c r="J1034" s="135" t="s">
        <v>1450</v>
      </c>
      <c r="K1034" s="186">
        <v>123132</v>
      </c>
      <c r="L1034" s="187" t="s">
        <v>173</v>
      </c>
      <c r="M1034" s="187" t="s">
        <v>175</v>
      </c>
    </row>
    <row r="1035" spans="1:13" s="188" customFormat="1">
      <c r="A1035" s="185" t="s">
        <v>1447</v>
      </c>
      <c r="B1035" s="133" t="s">
        <v>4168</v>
      </c>
      <c r="C1035" s="185" t="s">
        <v>3023</v>
      </c>
      <c r="D1035" s="133" t="s">
        <v>1460</v>
      </c>
      <c r="E1035" s="134">
        <v>1</v>
      </c>
      <c r="F1035" s="135" t="s">
        <v>1449</v>
      </c>
      <c r="G1035" s="185" t="s">
        <v>15</v>
      </c>
      <c r="H1035" s="185" t="s">
        <v>15</v>
      </c>
      <c r="I1035" s="185" t="s">
        <v>15</v>
      </c>
      <c r="J1035" s="135" t="s">
        <v>1450</v>
      </c>
      <c r="K1035" s="186">
        <v>161244</v>
      </c>
      <c r="L1035" s="187" t="s">
        <v>173</v>
      </c>
      <c r="M1035" s="187" t="s">
        <v>175</v>
      </c>
    </row>
    <row r="1036" spans="1:13" s="188" customFormat="1">
      <c r="A1036" s="185" t="s">
        <v>1447</v>
      </c>
      <c r="B1036" s="133" t="s">
        <v>4169</v>
      </c>
      <c r="C1036" s="185" t="s">
        <v>3023</v>
      </c>
      <c r="D1036" s="133" t="s">
        <v>1461</v>
      </c>
      <c r="E1036" s="134">
        <v>1</v>
      </c>
      <c r="F1036" s="135" t="s">
        <v>1449</v>
      </c>
      <c r="G1036" s="185" t="s">
        <v>15</v>
      </c>
      <c r="H1036" s="185" t="s">
        <v>15</v>
      </c>
      <c r="I1036" s="185" t="s">
        <v>15</v>
      </c>
      <c r="J1036" s="135" t="s">
        <v>1450</v>
      </c>
      <c r="K1036" s="186">
        <v>166032</v>
      </c>
      <c r="L1036" s="187" t="s">
        <v>173</v>
      </c>
      <c r="M1036" s="187" t="s">
        <v>175</v>
      </c>
    </row>
    <row r="1037" spans="1:13" s="188" customFormat="1">
      <c r="A1037" s="185" t="s">
        <v>1447</v>
      </c>
      <c r="B1037" s="133" t="s">
        <v>4170</v>
      </c>
      <c r="C1037" s="185" t="s">
        <v>3023</v>
      </c>
      <c r="D1037" s="133" t="s">
        <v>1462</v>
      </c>
      <c r="E1037" s="134">
        <v>1</v>
      </c>
      <c r="F1037" s="135" t="s">
        <v>1449</v>
      </c>
      <c r="G1037" s="185" t="s">
        <v>15</v>
      </c>
      <c r="H1037" s="185" t="s">
        <v>15</v>
      </c>
      <c r="I1037" s="185" t="s">
        <v>15</v>
      </c>
      <c r="J1037" s="135" t="s">
        <v>1450</v>
      </c>
      <c r="K1037" s="186">
        <v>180552</v>
      </c>
      <c r="L1037" s="187" t="s">
        <v>173</v>
      </c>
      <c r="M1037" s="187" t="s">
        <v>175</v>
      </c>
    </row>
    <row r="1038" spans="1:13" s="188" customFormat="1">
      <c r="A1038" s="185" t="s">
        <v>1447</v>
      </c>
      <c r="B1038" s="133" t="s">
        <v>4171</v>
      </c>
      <c r="C1038" s="185" t="s">
        <v>3023</v>
      </c>
      <c r="D1038" s="133" t="s">
        <v>1463</v>
      </c>
      <c r="E1038" s="134">
        <v>1</v>
      </c>
      <c r="F1038" s="135" t="s">
        <v>1449</v>
      </c>
      <c r="G1038" s="185" t="s">
        <v>15</v>
      </c>
      <c r="H1038" s="185" t="s">
        <v>15</v>
      </c>
      <c r="I1038" s="185" t="s">
        <v>15</v>
      </c>
      <c r="J1038" s="135" t="s">
        <v>1450</v>
      </c>
      <c r="K1038" s="186">
        <v>216576</v>
      </c>
      <c r="L1038" s="187" t="s">
        <v>173</v>
      </c>
      <c r="M1038" s="187" t="s">
        <v>175</v>
      </c>
    </row>
    <row r="1039" spans="1:13" s="188" customFormat="1">
      <c r="A1039" s="185" t="s">
        <v>1447</v>
      </c>
      <c r="B1039" s="133" t="s">
        <v>4172</v>
      </c>
      <c r="C1039" s="185" t="s">
        <v>3023</v>
      </c>
      <c r="D1039" s="133" t="s">
        <v>1464</v>
      </c>
      <c r="E1039" s="134">
        <v>1</v>
      </c>
      <c r="F1039" s="135" t="s">
        <v>1449</v>
      </c>
      <c r="G1039" s="185" t="s">
        <v>15</v>
      </c>
      <c r="H1039" s="185" t="s">
        <v>15</v>
      </c>
      <c r="I1039" s="185" t="s">
        <v>15</v>
      </c>
      <c r="J1039" s="135" t="s">
        <v>1450</v>
      </c>
      <c r="K1039" s="186">
        <v>263868</v>
      </c>
      <c r="L1039" s="187" t="s">
        <v>173</v>
      </c>
      <c r="M1039" s="187" t="s">
        <v>175</v>
      </c>
    </row>
    <row r="1040" spans="1:13" s="188" customFormat="1">
      <c r="A1040" s="185" t="s">
        <v>1447</v>
      </c>
      <c r="B1040" s="133" t="s">
        <v>4173</v>
      </c>
      <c r="C1040" s="185" t="s">
        <v>3023</v>
      </c>
      <c r="D1040" s="133" t="s">
        <v>1465</v>
      </c>
      <c r="E1040" s="134">
        <v>1</v>
      </c>
      <c r="F1040" s="135" t="s">
        <v>1449</v>
      </c>
      <c r="G1040" s="185" t="s">
        <v>15</v>
      </c>
      <c r="H1040" s="185" t="s">
        <v>15</v>
      </c>
      <c r="I1040" s="185" t="s">
        <v>15</v>
      </c>
      <c r="J1040" s="135" t="s">
        <v>1450</v>
      </c>
      <c r="K1040" s="186">
        <v>12456</v>
      </c>
      <c r="L1040" s="187" t="s">
        <v>173</v>
      </c>
      <c r="M1040" s="187" t="s">
        <v>175</v>
      </c>
    </row>
    <row r="1041" spans="1:13" s="188" customFormat="1">
      <c r="A1041" s="185" t="s">
        <v>1447</v>
      </c>
      <c r="B1041" s="133" t="s">
        <v>4174</v>
      </c>
      <c r="C1041" s="185" t="s">
        <v>3023</v>
      </c>
      <c r="D1041" s="133" t="s">
        <v>1466</v>
      </c>
      <c r="E1041" s="134">
        <v>1</v>
      </c>
      <c r="F1041" s="135" t="s">
        <v>1449</v>
      </c>
      <c r="G1041" s="185" t="s">
        <v>15</v>
      </c>
      <c r="H1041" s="185" t="s">
        <v>15</v>
      </c>
      <c r="I1041" s="185" t="s">
        <v>15</v>
      </c>
      <c r="J1041" s="135" t="s">
        <v>1450</v>
      </c>
      <c r="K1041" s="186">
        <v>16908</v>
      </c>
      <c r="L1041" s="187" t="s">
        <v>173</v>
      </c>
      <c r="M1041" s="187" t="s">
        <v>175</v>
      </c>
    </row>
    <row r="1042" spans="1:13" s="188" customFormat="1">
      <c r="A1042" s="185" t="s">
        <v>1447</v>
      </c>
      <c r="B1042" s="133" t="s">
        <v>4175</v>
      </c>
      <c r="C1042" s="185" t="s">
        <v>3023</v>
      </c>
      <c r="D1042" s="133" t="s">
        <v>1467</v>
      </c>
      <c r="E1042" s="134">
        <v>1</v>
      </c>
      <c r="F1042" s="135" t="s">
        <v>1449</v>
      </c>
      <c r="G1042" s="185" t="s">
        <v>15</v>
      </c>
      <c r="H1042" s="185" t="s">
        <v>15</v>
      </c>
      <c r="I1042" s="185" t="s">
        <v>15</v>
      </c>
      <c r="J1042" s="135" t="s">
        <v>1450</v>
      </c>
      <c r="K1042" s="186">
        <v>26532</v>
      </c>
      <c r="L1042" s="187" t="s">
        <v>173</v>
      </c>
      <c r="M1042" s="187" t="s">
        <v>175</v>
      </c>
    </row>
    <row r="1043" spans="1:13" s="188" customFormat="1">
      <c r="A1043" s="185" t="s">
        <v>1447</v>
      </c>
      <c r="B1043" s="133" t="s">
        <v>4176</v>
      </c>
      <c r="C1043" s="185" t="s">
        <v>3023</v>
      </c>
      <c r="D1043" s="133" t="s">
        <v>1468</v>
      </c>
      <c r="E1043" s="134">
        <v>1</v>
      </c>
      <c r="F1043" s="135" t="s">
        <v>1449</v>
      </c>
      <c r="G1043" s="185" t="s">
        <v>15</v>
      </c>
      <c r="H1043" s="185" t="s">
        <v>15</v>
      </c>
      <c r="I1043" s="185" t="s">
        <v>15</v>
      </c>
      <c r="J1043" s="135" t="s">
        <v>1450</v>
      </c>
      <c r="K1043" s="186">
        <v>17472</v>
      </c>
      <c r="L1043" s="187" t="s">
        <v>173</v>
      </c>
      <c r="M1043" s="187" t="s">
        <v>175</v>
      </c>
    </row>
    <row r="1044" spans="1:13" s="188" customFormat="1">
      <c r="A1044" s="185" t="s">
        <v>1447</v>
      </c>
      <c r="B1044" s="133" t="s">
        <v>4177</v>
      </c>
      <c r="C1044" s="185" t="s">
        <v>3023</v>
      </c>
      <c r="D1044" s="133" t="s">
        <v>1469</v>
      </c>
      <c r="E1044" s="134">
        <v>1</v>
      </c>
      <c r="F1044" s="135" t="s">
        <v>1449</v>
      </c>
      <c r="G1044" s="185" t="s">
        <v>15</v>
      </c>
      <c r="H1044" s="185" t="s">
        <v>15</v>
      </c>
      <c r="I1044" s="185" t="s">
        <v>15</v>
      </c>
      <c r="J1044" s="135" t="s">
        <v>1450</v>
      </c>
      <c r="K1044" s="186">
        <v>27420</v>
      </c>
      <c r="L1044" s="187" t="s">
        <v>173</v>
      </c>
      <c r="M1044" s="187" t="s">
        <v>175</v>
      </c>
    </row>
    <row r="1045" spans="1:13" s="188" customFormat="1">
      <c r="A1045" s="185" t="s">
        <v>1447</v>
      </c>
      <c r="B1045" s="133" t="s">
        <v>4178</v>
      </c>
      <c r="C1045" s="185" t="s">
        <v>3023</v>
      </c>
      <c r="D1045" s="133" t="s">
        <v>1470</v>
      </c>
      <c r="E1045" s="134">
        <v>1</v>
      </c>
      <c r="F1045" s="135" t="s">
        <v>1449</v>
      </c>
      <c r="G1045" s="185" t="s">
        <v>15</v>
      </c>
      <c r="H1045" s="185" t="s">
        <v>15</v>
      </c>
      <c r="I1045" s="185" t="s">
        <v>15</v>
      </c>
      <c r="J1045" s="135" t="s">
        <v>1450</v>
      </c>
      <c r="K1045" s="186">
        <v>12480</v>
      </c>
      <c r="L1045" s="187" t="s">
        <v>173</v>
      </c>
      <c r="M1045" s="187" t="s">
        <v>175</v>
      </c>
    </row>
    <row r="1046" spans="1:13" s="188" customFormat="1">
      <c r="A1046" s="185" t="s">
        <v>1447</v>
      </c>
      <c r="B1046" s="133" t="s">
        <v>4179</v>
      </c>
      <c r="C1046" s="185" t="s">
        <v>3023</v>
      </c>
      <c r="D1046" s="133" t="s">
        <v>1471</v>
      </c>
      <c r="E1046" s="134">
        <v>1</v>
      </c>
      <c r="F1046" s="135" t="s">
        <v>1449</v>
      </c>
      <c r="G1046" s="185" t="s">
        <v>15</v>
      </c>
      <c r="H1046" s="185" t="s">
        <v>15</v>
      </c>
      <c r="I1046" s="185" t="s">
        <v>15</v>
      </c>
      <c r="J1046" s="135" t="s">
        <v>1450</v>
      </c>
      <c r="K1046" s="186">
        <v>140784</v>
      </c>
      <c r="L1046" s="187" t="s">
        <v>173</v>
      </c>
      <c r="M1046" s="187" t="s">
        <v>175</v>
      </c>
    </row>
    <row r="1047" spans="1:13" s="188" customFormat="1">
      <c r="A1047" s="185" t="s">
        <v>1447</v>
      </c>
      <c r="B1047" s="133" t="s">
        <v>4180</v>
      </c>
      <c r="C1047" s="185" t="s">
        <v>3023</v>
      </c>
      <c r="D1047" s="133" t="s">
        <v>1472</v>
      </c>
      <c r="E1047" s="134">
        <v>1</v>
      </c>
      <c r="F1047" s="135" t="s">
        <v>1449</v>
      </c>
      <c r="G1047" s="185" t="s">
        <v>15</v>
      </c>
      <c r="H1047" s="185" t="s">
        <v>15</v>
      </c>
      <c r="I1047" s="185" t="s">
        <v>15</v>
      </c>
      <c r="J1047" s="135" t="s">
        <v>1450</v>
      </c>
      <c r="K1047" s="186">
        <v>221292</v>
      </c>
      <c r="L1047" s="187" t="s">
        <v>173</v>
      </c>
      <c r="M1047" s="187" t="s">
        <v>175</v>
      </c>
    </row>
    <row r="1048" spans="1:13" s="188" customFormat="1">
      <c r="A1048" s="185" t="s">
        <v>1447</v>
      </c>
      <c r="B1048" s="133" t="s">
        <v>4181</v>
      </c>
      <c r="C1048" s="185" t="s">
        <v>3023</v>
      </c>
      <c r="D1048" s="133" t="s">
        <v>1473</v>
      </c>
      <c r="E1048" s="134">
        <v>1</v>
      </c>
      <c r="F1048" s="135" t="s">
        <v>1449</v>
      </c>
      <c r="G1048" s="185" t="s">
        <v>15</v>
      </c>
      <c r="H1048" s="185" t="s">
        <v>15</v>
      </c>
      <c r="I1048" s="185" t="s">
        <v>15</v>
      </c>
      <c r="J1048" s="135" t="s">
        <v>1450</v>
      </c>
      <c r="K1048" s="186">
        <v>322800</v>
      </c>
      <c r="L1048" s="187" t="s">
        <v>173</v>
      </c>
      <c r="M1048" s="187" t="s">
        <v>175</v>
      </c>
    </row>
    <row r="1049" spans="1:13" s="188" customFormat="1">
      <c r="A1049" s="185" t="s">
        <v>1447</v>
      </c>
      <c r="B1049" s="136" t="s">
        <v>4182</v>
      </c>
      <c r="C1049" s="185" t="s">
        <v>3023</v>
      </c>
      <c r="D1049" s="133" t="s">
        <v>1474</v>
      </c>
      <c r="E1049" s="134">
        <v>1</v>
      </c>
      <c r="F1049" s="135" t="s">
        <v>1449</v>
      </c>
      <c r="G1049" s="185" t="s">
        <v>15</v>
      </c>
      <c r="H1049" s="185" t="s">
        <v>15</v>
      </c>
      <c r="I1049" s="185" t="s">
        <v>15</v>
      </c>
      <c r="J1049" s="135" t="s">
        <v>1450</v>
      </c>
      <c r="K1049" s="186">
        <v>0</v>
      </c>
      <c r="L1049" s="187" t="s">
        <v>173</v>
      </c>
      <c r="M1049" s="187" t="s">
        <v>175</v>
      </c>
    </row>
    <row r="1050" spans="1:13" s="188" customFormat="1">
      <c r="A1050" s="185" t="s">
        <v>1447</v>
      </c>
      <c r="B1050" s="133" t="s">
        <v>4183</v>
      </c>
      <c r="C1050" s="185" t="s">
        <v>3023</v>
      </c>
      <c r="D1050" s="133" t="s">
        <v>1475</v>
      </c>
      <c r="E1050" s="134">
        <v>1</v>
      </c>
      <c r="F1050" s="135" t="s">
        <v>1449</v>
      </c>
      <c r="G1050" s="185" t="s">
        <v>15</v>
      </c>
      <c r="H1050" s="185" t="s">
        <v>15</v>
      </c>
      <c r="I1050" s="185" t="s">
        <v>15</v>
      </c>
      <c r="J1050" s="135" t="s">
        <v>1450</v>
      </c>
      <c r="K1050" s="186">
        <v>100.80000000000001</v>
      </c>
      <c r="L1050" s="187" t="s">
        <v>173</v>
      </c>
      <c r="M1050" s="187" t="s">
        <v>175</v>
      </c>
    </row>
    <row r="1051" spans="1:13" s="188" customFormat="1">
      <c r="A1051" s="185" t="s">
        <v>1447</v>
      </c>
      <c r="B1051" s="133" t="s">
        <v>4184</v>
      </c>
      <c r="C1051" s="185" t="s">
        <v>3023</v>
      </c>
      <c r="D1051" s="133" t="s">
        <v>1475</v>
      </c>
      <c r="E1051" s="134">
        <v>1</v>
      </c>
      <c r="F1051" s="135" t="s">
        <v>1449</v>
      </c>
      <c r="G1051" s="185" t="s">
        <v>15</v>
      </c>
      <c r="H1051" s="185" t="s">
        <v>15</v>
      </c>
      <c r="I1051" s="185" t="s">
        <v>15</v>
      </c>
      <c r="J1051" s="135" t="s">
        <v>1450</v>
      </c>
      <c r="K1051" s="186">
        <v>67.44</v>
      </c>
      <c r="L1051" s="187" t="s">
        <v>173</v>
      </c>
      <c r="M1051" s="187" t="s">
        <v>175</v>
      </c>
    </row>
    <row r="1052" spans="1:13" s="188" customFormat="1">
      <c r="A1052" s="185" t="s">
        <v>1447</v>
      </c>
      <c r="B1052" s="133" t="s">
        <v>4185</v>
      </c>
      <c r="C1052" s="185" t="s">
        <v>3023</v>
      </c>
      <c r="D1052" s="133" t="s">
        <v>1475</v>
      </c>
      <c r="E1052" s="134">
        <v>1</v>
      </c>
      <c r="F1052" s="135" t="s">
        <v>1449</v>
      </c>
      <c r="G1052" s="185" t="s">
        <v>15</v>
      </c>
      <c r="H1052" s="185" t="s">
        <v>15</v>
      </c>
      <c r="I1052" s="185" t="s">
        <v>15</v>
      </c>
      <c r="J1052" s="135" t="s">
        <v>1450</v>
      </c>
      <c r="K1052" s="186">
        <v>57</v>
      </c>
      <c r="L1052" s="187" t="s">
        <v>173</v>
      </c>
      <c r="M1052" s="187" t="s">
        <v>175</v>
      </c>
    </row>
    <row r="1053" spans="1:13" s="188" customFormat="1">
      <c r="A1053" s="185" t="s">
        <v>1447</v>
      </c>
      <c r="B1053" s="133" t="s">
        <v>4186</v>
      </c>
      <c r="C1053" s="185" t="s">
        <v>3023</v>
      </c>
      <c r="D1053" s="133" t="s">
        <v>1475</v>
      </c>
      <c r="E1053" s="134">
        <v>1</v>
      </c>
      <c r="F1053" s="135" t="s">
        <v>1449</v>
      </c>
      <c r="G1053" s="185" t="s">
        <v>15</v>
      </c>
      <c r="H1053" s="185" t="s">
        <v>15</v>
      </c>
      <c r="I1053" s="185" t="s">
        <v>15</v>
      </c>
      <c r="J1053" s="135" t="s">
        <v>1450</v>
      </c>
      <c r="K1053" s="186">
        <v>49.320000000000007</v>
      </c>
      <c r="L1053" s="187" t="s">
        <v>173</v>
      </c>
      <c r="M1053" s="187" t="s">
        <v>175</v>
      </c>
    </row>
    <row r="1054" spans="1:13" s="188" customFormat="1">
      <c r="A1054" s="185" t="s">
        <v>1447</v>
      </c>
      <c r="B1054" s="133" t="s">
        <v>4187</v>
      </c>
      <c r="C1054" s="185" t="s">
        <v>3023</v>
      </c>
      <c r="D1054" s="133" t="s">
        <v>1475</v>
      </c>
      <c r="E1054" s="134">
        <v>1</v>
      </c>
      <c r="F1054" s="135" t="s">
        <v>1449</v>
      </c>
      <c r="G1054" s="185" t="s">
        <v>15</v>
      </c>
      <c r="H1054" s="185" t="s">
        <v>15</v>
      </c>
      <c r="I1054" s="185" t="s">
        <v>15</v>
      </c>
      <c r="J1054" s="135" t="s">
        <v>1450</v>
      </c>
      <c r="K1054" s="186">
        <v>41.519999999999996</v>
      </c>
      <c r="L1054" s="187" t="s">
        <v>173</v>
      </c>
      <c r="M1054" s="187" t="s">
        <v>175</v>
      </c>
    </row>
    <row r="1055" spans="1:13" s="188" customFormat="1">
      <c r="A1055" s="185" t="s">
        <v>1447</v>
      </c>
      <c r="B1055" s="133" t="s">
        <v>4188</v>
      </c>
      <c r="C1055" s="185" t="s">
        <v>3023</v>
      </c>
      <c r="D1055" s="133" t="s">
        <v>1475</v>
      </c>
      <c r="E1055" s="134">
        <v>1</v>
      </c>
      <c r="F1055" s="135" t="s">
        <v>1449</v>
      </c>
      <c r="G1055" s="185" t="s">
        <v>15</v>
      </c>
      <c r="H1055" s="185" t="s">
        <v>15</v>
      </c>
      <c r="I1055" s="185" t="s">
        <v>15</v>
      </c>
      <c r="J1055" s="135" t="s">
        <v>1450</v>
      </c>
      <c r="K1055" s="186">
        <v>31.08</v>
      </c>
      <c r="L1055" s="187" t="s">
        <v>173</v>
      </c>
      <c r="M1055" s="187" t="s">
        <v>175</v>
      </c>
    </row>
    <row r="1056" spans="1:13" s="188" customFormat="1">
      <c r="A1056" s="185" t="s">
        <v>1447</v>
      </c>
      <c r="B1056" s="133" t="s">
        <v>4189</v>
      </c>
      <c r="C1056" s="185" t="s">
        <v>3023</v>
      </c>
      <c r="D1056" s="133" t="s">
        <v>1475</v>
      </c>
      <c r="E1056" s="134">
        <v>1</v>
      </c>
      <c r="F1056" s="135" t="s">
        <v>1449</v>
      </c>
      <c r="G1056" s="185" t="s">
        <v>15</v>
      </c>
      <c r="H1056" s="185" t="s">
        <v>15</v>
      </c>
      <c r="I1056" s="185" t="s">
        <v>15</v>
      </c>
      <c r="J1056" s="135" t="s">
        <v>1450</v>
      </c>
      <c r="K1056" s="186">
        <v>23.4</v>
      </c>
      <c r="L1056" s="187" t="s">
        <v>173</v>
      </c>
      <c r="M1056" s="187" t="s">
        <v>175</v>
      </c>
    </row>
    <row r="1057" spans="1:13" s="188" customFormat="1">
      <c r="A1057" s="185" t="s">
        <v>1447</v>
      </c>
      <c r="B1057" s="133" t="s">
        <v>4190</v>
      </c>
      <c r="C1057" s="185" t="s">
        <v>3023</v>
      </c>
      <c r="D1057" s="133" t="s">
        <v>1475</v>
      </c>
      <c r="E1057" s="134">
        <v>1</v>
      </c>
      <c r="F1057" s="135" t="s">
        <v>1449</v>
      </c>
      <c r="G1057" s="185" t="s">
        <v>15</v>
      </c>
      <c r="H1057" s="185" t="s">
        <v>15</v>
      </c>
      <c r="I1057" s="185" t="s">
        <v>15</v>
      </c>
      <c r="J1057" s="135" t="s">
        <v>1450</v>
      </c>
      <c r="K1057" s="186">
        <v>12.96</v>
      </c>
      <c r="L1057" s="187" t="s">
        <v>173</v>
      </c>
      <c r="M1057" s="187" t="s">
        <v>175</v>
      </c>
    </row>
    <row r="1058" spans="1:13" s="188" customFormat="1">
      <c r="A1058" s="185" t="s">
        <v>1447</v>
      </c>
      <c r="B1058" s="133" t="s">
        <v>4191</v>
      </c>
      <c r="C1058" s="185" t="s">
        <v>3023</v>
      </c>
      <c r="D1058" s="133" t="s">
        <v>1476</v>
      </c>
      <c r="E1058" s="134">
        <v>1</v>
      </c>
      <c r="F1058" s="135" t="s">
        <v>1449</v>
      </c>
      <c r="G1058" s="185" t="s">
        <v>15</v>
      </c>
      <c r="H1058" s="185" t="s">
        <v>15</v>
      </c>
      <c r="I1058" s="185" t="s">
        <v>15</v>
      </c>
      <c r="J1058" s="135" t="s">
        <v>1450</v>
      </c>
      <c r="K1058" s="186">
        <v>152040</v>
      </c>
      <c r="L1058" s="187" t="s">
        <v>173</v>
      </c>
      <c r="M1058" s="187" t="s">
        <v>175</v>
      </c>
    </row>
    <row r="1059" spans="1:13" s="188" customFormat="1">
      <c r="A1059" s="185" t="s">
        <v>1447</v>
      </c>
      <c r="B1059" s="136" t="s">
        <v>4192</v>
      </c>
      <c r="C1059" s="185" t="s">
        <v>3023</v>
      </c>
      <c r="D1059" s="133" t="s">
        <v>1477</v>
      </c>
      <c r="E1059" s="134">
        <v>1</v>
      </c>
      <c r="F1059" s="135" t="s">
        <v>1449</v>
      </c>
      <c r="G1059" s="185" t="s">
        <v>15</v>
      </c>
      <c r="H1059" s="185" t="s">
        <v>15</v>
      </c>
      <c r="I1059" s="185" t="s">
        <v>15</v>
      </c>
      <c r="J1059" s="135" t="s">
        <v>1450</v>
      </c>
      <c r="K1059" s="186">
        <v>0</v>
      </c>
      <c r="L1059" s="187" t="s">
        <v>173</v>
      </c>
      <c r="M1059" s="187" t="s">
        <v>175</v>
      </c>
    </row>
    <row r="1060" spans="1:13" s="188" customFormat="1">
      <c r="A1060" s="185" t="s">
        <v>1447</v>
      </c>
      <c r="B1060" s="133" t="s">
        <v>4193</v>
      </c>
      <c r="C1060" s="185" t="s">
        <v>3023</v>
      </c>
      <c r="D1060" s="133" t="s">
        <v>1478</v>
      </c>
      <c r="E1060" s="134">
        <v>1</v>
      </c>
      <c r="F1060" s="135" t="s">
        <v>1449</v>
      </c>
      <c r="G1060" s="185" t="s">
        <v>15</v>
      </c>
      <c r="H1060" s="185" t="s">
        <v>15</v>
      </c>
      <c r="I1060" s="185" t="s">
        <v>15</v>
      </c>
      <c r="J1060" s="135" t="s">
        <v>1450</v>
      </c>
      <c r="K1060" s="186">
        <v>285768</v>
      </c>
      <c r="L1060" s="187" t="s">
        <v>173</v>
      </c>
      <c r="M1060" s="187" t="s">
        <v>175</v>
      </c>
    </row>
    <row r="1061" spans="1:13" s="188" customFormat="1">
      <c r="A1061" s="185" t="s">
        <v>1447</v>
      </c>
      <c r="B1061" s="133" t="s">
        <v>4194</v>
      </c>
      <c r="C1061" s="185" t="s">
        <v>3023</v>
      </c>
      <c r="D1061" s="133" t="s">
        <v>1479</v>
      </c>
      <c r="E1061" s="134">
        <v>1</v>
      </c>
      <c r="F1061" s="135" t="s">
        <v>1449</v>
      </c>
      <c r="G1061" s="185" t="s">
        <v>15</v>
      </c>
      <c r="H1061" s="185" t="s">
        <v>15</v>
      </c>
      <c r="I1061" s="185" t="s">
        <v>15</v>
      </c>
      <c r="J1061" s="135" t="s">
        <v>1450</v>
      </c>
      <c r="K1061" s="186">
        <v>199764</v>
      </c>
      <c r="L1061" s="187" t="s">
        <v>173</v>
      </c>
      <c r="M1061" s="187" t="s">
        <v>175</v>
      </c>
    </row>
    <row r="1062" spans="1:13" s="188" customFormat="1">
      <c r="A1062" s="185" t="s">
        <v>1447</v>
      </c>
      <c r="B1062" s="133" t="s">
        <v>4195</v>
      </c>
      <c r="C1062" s="185" t="s">
        <v>3023</v>
      </c>
      <c r="D1062" s="133" t="s">
        <v>1480</v>
      </c>
      <c r="E1062" s="134">
        <v>1</v>
      </c>
      <c r="F1062" s="135" t="s">
        <v>1449</v>
      </c>
      <c r="G1062" s="185" t="s">
        <v>15</v>
      </c>
      <c r="H1062" s="185" t="s">
        <v>15</v>
      </c>
      <c r="I1062" s="185" t="s">
        <v>15</v>
      </c>
      <c r="J1062" s="135" t="s">
        <v>1450</v>
      </c>
      <c r="K1062" s="186">
        <v>427968</v>
      </c>
      <c r="L1062" s="187" t="s">
        <v>173</v>
      </c>
      <c r="M1062" s="187" t="s">
        <v>175</v>
      </c>
    </row>
    <row r="1063" spans="1:13" s="188" customFormat="1">
      <c r="A1063" s="185" t="s">
        <v>1447</v>
      </c>
      <c r="B1063" s="133" t="s">
        <v>4196</v>
      </c>
      <c r="C1063" s="185" t="s">
        <v>3023</v>
      </c>
      <c r="D1063" s="133" t="s">
        <v>1481</v>
      </c>
      <c r="E1063" s="134">
        <v>1</v>
      </c>
      <c r="F1063" s="135" t="s">
        <v>1449</v>
      </c>
      <c r="G1063" s="185" t="s">
        <v>15</v>
      </c>
      <c r="H1063" s="185" t="s">
        <v>15</v>
      </c>
      <c r="I1063" s="185" t="s">
        <v>15</v>
      </c>
      <c r="J1063" s="135" t="s">
        <v>1450</v>
      </c>
      <c r="K1063" s="186">
        <v>631080</v>
      </c>
      <c r="L1063" s="187" t="s">
        <v>173</v>
      </c>
      <c r="M1063" s="187" t="s">
        <v>175</v>
      </c>
    </row>
    <row r="1064" spans="1:13" s="188" customFormat="1">
      <c r="A1064" s="185" t="s">
        <v>1447</v>
      </c>
      <c r="B1064" s="133" t="s">
        <v>4197</v>
      </c>
      <c r="C1064" s="185" t="s">
        <v>3023</v>
      </c>
      <c r="D1064" s="133" t="s">
        <v>1481</v>
      </c>
      <c r="E1064" s="134">
        <v>1</v>
      </c>
      <c r="F1064" s="135" t="s">
        <v>1449</v>
      </c>
      <c r="G1064" s="185" t="s">
        <v>15</v>
      </c>
      <c r="H1064" s="185" t="s">
        <v>15</v>
      </c>
      <c r="I1064" s="185" t="s">
        <v>15</v>
      </c>
      <c r="J1064" s="135" t="s">
        <v>1450</v>
      </c>
      <c r="K1064" s="186">
        <v>414000</v>
      </c>
      <c r="L1064" s="187" t="s">
        <v>173</v>
      </c>
      <c r="M1064" s="187" t="s">
        <v>175</v>
      </c>
    </row>
    <row r="1065" spans="1:13" s="188" customFormat="1">
      <c r="A1065" s="185" t="s">
        <v>1447</v>
      </c>
      <c r="B1065" s="133" t="s">
        <v>4198</v>
      </c>
      <c r="C1065" s="185" t="s">
        <v>3023</v>
      </c>
      <c r="D1065" s="133" t="s">
        <v>1482</v>
      </c>
      <c r="E1065" s="134">
        <v>1</v>
      </c>
      <c r="F1065" s="135" t="s">
        <v>1449</v>
      </c>
      <c r="G1065" s="185" t="s">
        <v>15</v>
      </c>
      <c r="H1065" s="185" t="s">
        <v>15</v>
      </c>
      <c r="I1065" s="185" t="s">
        <v>15</v>
      </c>
      <c r="J1065" s="135" t="s">
        <v>1450</v>
      </c>
      <c r="K1065" s="186">
        <v>914112</v>
      </c>
      <c r="L1065" s="187" t="s">
        <v>173</v>
      </c>
      <c r="M1065" s="187" t="s">
        <v>175</v>
      </c>
    </row>
    <row r="1066" spans="1:13" s="188" customFormat="1">
      <c r="A1066" s="185" t="s">
        <v>1447</v>
      </c>
      <c r="B1066" s="136" t="s">
        <v>4199</v>
      </c>
      <c r="C1066" s="185" t="s">
        <v>3023</v>
      </c>
      <c r="D1066" s="133" t="s">
        <v>4200</v>
      </c>
      <c r="E1066" s="134">
        <v>1</v>
      </c>
      <c r="F1066" s="135" t="s">
        <v>1449</v>
      </c>
      <c r="G1066" s="185" t="s">
        <v>15</v>
      </c>
      <c r="H1066" s="185" t="s">
        <v>15</v>
      </c>
      <c r="I1066" s="185" t="s">
        <v>15</v>
      </c>
      <c r="J1066" s="135" t="s">
        <v>1450</v>
      </c>
      <c r="K1066" s="186">
        <v>0</v>
      </c>
      <c r="L1066" s="187" t="s">
        <v>173</v>
      </c>
      <c r="M1066" s="187" t="s">
        <v>175</v>
      </c>
    </row>
    <row r="1067" spans="1:13" s="188" customFormat="1">
      <c r="A1067" s="185" t="s">
        <v>1447</v>
      </c>
      <c r="B1067" s="133" t="s">
        <v>4201</v>
      </c>
      <c r="C1067" s="185" t="s">
        <v>3023</v>
      </c>
      <c r="D1067" s="133" t="s">
        <v>1483</v>
      </c>
      <c r="E1067" s="134">
        <v>1</v>
      </c>
      <c r="F1067" s="135" t="s">
        <v>1449</v>
      </c>
      <c r="G1067" s="185" t="s">
        <v>15</v>
      </c>
      <c r="H1067" s="185" t="s">
        <v>15</v>
      </c>
      <c r="I1067" s="185" t="s">
        <v>15</v>
      </c>
      <c r="J1067" s="135" t="s">
        <v>1450</v>
      </c>
      <c r="K1067" s="186">
        <v>212616</v>
      </c>
      <c r="L1067" s="187" t="s">
        <v>173</v>
      </c>
      <c r="M1067" s="187" t="s">
        <v>175</v>
      </c>
    </row>
    <row r="1068" spans="1:13" s="188" customFormat="1">
      <c r="A1068" s="185" t="s">
        <v>1447</v>
      </c>
      <c r="B1068" s="133" t="s">
        <v>4202</v>
      </c>
      <c r="C1068" s="185" t="s">
        <v>3023</v>
      </c>
      <c r="D1068" s="133" t="s">
        <v>1484</v>
      </c>
      <c r="E1068" s="134">
        <v>1</v>
      </c>
      <c r="F1068" s="135" t="s">
        <v>1449</v>
      </c>
      <c r="G1068" s="185" t="s">
        <v>15</v>
      </c>
      <c r="H1068" s="185" t="s">
        <v>15</v>
      </c>
      <c r="I1068" s="185" t="s">
        <v>15</v>
      </c>
      <c r="J1068" s="135" t="s">
        <v>1450</v>
      </c>
      <c r="K1068" s="186">
        <v>249960</v>
      </c>
      <c r="L1068" s="187" t="s">
        <v>173</v>
      </c>
      <c r="M1068" s="187" t="s">
        <v>175</v>
      </c>
    </row>
    <row r="1069" spans="1:13" s="188" customFormat="1">
      <c r="A1069" s="185" t="s">
        <v>1447</v>
      </c>
      <c r="B1069" s="133" t="s">
        <v>4203</v>
      </c>
      <c r="C1069" s="185" t="s">
        <v>3023</v>
      </c>
      <c r="D1069" s="133" t="s">
        <v>1485</v>
      </c>
      <c r="E1069" s="134">
        <v>1</v>
      </c>
      <c r="F1069" s="135" t="s">
        <v>1449</v>
      </c>
      <c r="G1069" s="185" t="s">
        <v>15</v>
      </c>
      <c r="H1069" s="185" t="s">
        <v>15</v>
      </c>
      <c r="I1069" s="185" t="s">
        <v>15</v>
      </c>
      <c r="J1069" s="135" t="s">
        <v>1450</v>
      </c>
      <c r="K1069" s="186">
        <v>325836</v>
      </c>
      <c r="L1069" s="187" t="s">
        <v>173</v>
      </c>
      <c r="M1069" s="187" t="s">
        <v>175</v>
      </c>
    </row>
    <row r="1070" spans="1:13" s="188" customFormat="1">
      <c r="A1070" s="185" t="s">
        <v>1447</v>
      </c>
      <c r="B1070" s="133" t="s">
        <v>4204</v>
      </c>
      <c r="C1070" s="185" t="s">
        <v>3023</v>
      </c>
      <c r="D1070" s="133" t="s">
        <v>1486</v>
      </c>
      <c r="E1070" s="134">
        <v>1</v>
      </c>
      <c r="F1070" s="135" t="s">
        <v>1449</v>
      </c>
      <c r="G1070" s="185" t="s">
        <v>15</v>
      </c>
      <c r="H1070" s="185" t="s">
        <v>15</v>
      </c>
      <c r="I1070" s="185" t="s">
        <v>15</v>
      </c>
      <c r="J1070" s="135" t="s">
        <v>1450</v>
      </c>
      <c r="K1070" s="186">
        <v>453552</v>
      </c>
      <c r="L1070" s="187" t="s">
        <v>173</v>
      </c>
      <c r="M1070" s="187" t="s">
        <v>175</v>
      </c>
    </row>
    <row r="1071" spans="1:13" s="188" customFormat="1">
      <c r="A1071" s="185" t="s">
        <v>1447</v>
      </c>
      <c r="B1071" s="133" t="s">
        <v>4205</v>
      </c>
      <c r="C1071" s="185" t="s">
        <v>3023</v>
      </c>
      <c r="D1071" s="133" t="s">
        <v>1487</v>
      </c>
      <c r="E1071" s="134">
        <v>1</v>
      </c>
      <c r="F1071" s="135" t="s">
        <v>1449</v>
      </c>
      <c r="G1071" s="185" t="s">
        <v>15</v>
      </c>
      <c r="H1071" s="185" t="s">
        <v>15</v>
      </c>
      <c r="I1071" s="185" t="s">
        <v>15</v>
      </c>
      <c r="J1071" s="135" t="s">
        <v>1450</v>
      </c>
      <c r="K1071" s="186">
        <v>1011612</v>
      </c>
      <c r="L1071" s="187" t="s">
        <v>173</v>
      </c>
      <c r="M1071" s="187" t="s">
        <v>175</v>
      </c>
    </row>
    <row r="1072" spans="1:13" s="188" customFormat="1">
      <c r="A1072" s="185" t="s">
        <v>1447</v>
      </c>
      <c r="B1072" s="133" t="s">
        <v>4206</v>
      </c>
      <c r="C1072" s="185" t="s">
        <v>3023</v>
      </c>
      <c r="D1072" s="133" t="s">
        <v>1488</v>
      </c>
      <c r="E1072" s="134">
        <v>1</v>
      </c>
      <c r="F1072" s="135" t="s">
        <v>1449</v>
      </c>
      <c r="G1072" s="185" t="s">
        <v>15</v>
      </c>
      <c r="H1072" s="185" t="s">
        <v>15</v>
      </c>
      <c r="I1072" s="185" t="s">
        <v>15</v>
      </c>
      <c r="J1072" s="135" t="s">
        <v>1450</v>
      </c>
      <c r="K1072" s="186">
        <v>1521756</v>
      </c>
      <c r="L1072" s="187" t="s">
        <v>173</v>
      </c>
      <c r="M1072" s="187" t="s">
        <v>175</v>
      </c>
    </row>
    <row r="1073" spans="1:13" s="188" customFormat="1">
      <c r="A1073" s="185" t="s">
        <v>1447</v>
      </c>
      <c r="B1073" s="133" t="s">
        <v>4207</v>
      </c>
      <c r="C1073" s="185" t="s">
        <v>3023</v>
      </c>
      <c r="D1073" s="133" t="s">
        <v>1489</v>
      </c>
      <c r="E1073" s="134">
        <v>1</v>
      </c>
      <c r="F1073" s="135" t="s">
        <v>1449</v>
      </c>
      <c r="G1073" s="185" t="s">
        <v>15</v>
      </c>
      <c r="H1073" s="185" t="s">
        <v>15</v>
      </c>
      <c r="I1073" s="185" t="s">
        <v>15</v>
      </c>
      <c r="J1073" s="135" t="s">
        <v>1450</v>
      </c>
      <c r="K1073" s="186">
        <v>2915880</v>
      </c>
      <c r="L1073" s="187" t="s">
        <v>173</v>
      </c>
      <c r="M1073" s="187" t="s">
        <v>175</v>
      </c>
    </row>
    <row r="1074" spans="1:13" s="188" customFormat="1">
      <c r="A1074" s="185" t="s">
        <v>1447</v>
      </c>
      <c r="B1074" s="133" t="s">
        <v>4208</v>
      </c>
      <c r="C1074" s="185" t="s">
        <v>3023</v>
      </c>
      <c r="D1074" s="133" t="s">
        <v>1490</v>
      </c>
      <c r="E1074" s="134">
        <v>1</v>
      </c>
      <c r="F1074" s="135" t="s">
        <v>1449</v>
      </c>
      <c r="G1074" s="185" t="s">
        <v>15</v>
      </c>
      <c r="H1074" s="185" t="s">
        <v>15</v>
      </c>
      <c r="I1074" s="185" t="s">
        <v>15</v>
      </c>
      <c r="J1074" s="135" t="s">
        <v>1450</v>
      </c>
      <c r="K1074" s="186">
        <v>1041432</v>
      </c>
      <c r="L1074" s="187" t="s">
        <v>173</v>
      </c>
      <c r="M1074" s="187" t="s">
        <v>175</v>
      </c>
    </row>
    <row r="1075" spans="1:13" s="188" customFormat="1">
      <c r="A1075" s="185" t="s">
        <v>1447</v>
      </c>
      <c r="B1075" s="133" t="s">
        <v>4209</v>
      </c>
      <c r="C1075" s="185" t="s">
        <v>3023</v>
      </c>
      <c r="D1075" s="133" t="s">
        <v>1491</v>
      </c>
      <c r="E1075" s="134">
        <v>1</v>
      </c>
      <c r="F1075" s="135" t="s">
        <v>1449</v>
      </c>
      <c r="G1075" s="185" t="s">
        <v>15</v>
      </c>
      <c r="H1075" s="185" t="s">
        <v>15</v>
      </c>
      <c r="I1075" s="185" t="s">
        <v>15</v>
      </c>
      <c r="J1075" s="135" t="s">
        <v>1450</v>
      </c>
      <c r="K1075" s="186">
        <v>1294428</v>
      </c>
      <c r="L1075" s="187" t="s">
        <v>173</v>
      </c>
      <c r="M1075" s="187" t="s">
        <v>175</v>
      </c>
    </row>
    <row r="1076" spans="1:13" s="188" customFormat="1">
      <c r="A1076" s="185" t="s">
        <v>1447</v>
      </c>
      <c r="B1076" s="133" t="s">
        <v>4210</v>
      </c>
      <c r="C1076" s="185" t="s">
        <v>3023</v>
      </c>
      <c r="D1076" s="133" t="s">
        <v>1492</v>
      </c>
      <c r="E1076" s="134">
        <v>1</v>
      </c>
      <c r="F1076" s="135" t="s">
        <v>1449</v>
      </c>
      <c r="G1076" s="185" t="s">
        <v>15</v>
      </c>
      <c r="H1076" s="185" t="s">
        <v>15</v>
      </c>
      <c r="I1076" s="185" t="s">
        <v>15</v>
      </c>
      <c r="J1076" s="135" t="s">
        <v>1450</v>
      </c>
      <c r="K1076" s="186">
        <v>2094624</v>
      </c>
      <c r="L1076" s="187" t="s">
        <v>173</v>
      </c>
      <c r="M1076" s="187" t="s">
        <v>175</v>
      </c>
    </row>
    <row r="1077" spans="1:13" s="188" customFormat="1">
      <c r="A1077" s="185" t="s">
        <v>1447</v>
      </c>
      <c r="B1077" s="133" t="s">
        <v>4211</v>
      </c>
      <c r="C1077" s="185" t="s">
        <v>3023</v>
      </c>
      <c r="D1077" s="133" t="s">
        <v>1493</v>
      </c>
      <c r="E1077" s="134">
        <v>1</v>
      </c>
      <c r="F1077" s="135" t="s">
        <v>1449</v>
      </c>
      <c r="G1077" s="185" t="s">
        <v>15</v>
      </c>
      <c r="H1077" s="185" t="s">
        <v>15</v>
      </c>
      <c r="I1077" s="185" t="s">
        <v>15</v>
      </c>
      <c r="J1077" s="135" t="s">
        <v>1450</v>
      </c>
      <c r="K1077" s="186">
        <v>635940</v>
      </c>
      <c r="L1077" s="187" t="s">
        <v>173</v>
      </c>
      <c r="M1077" s="187" t="s">
        <v>175</v>
      </c>
    </row>
    <row r="1078" spans="1:13" s="188" customFormat="1">
      <c r="A1078" s="185" t="s">
        <v>1447</v>
      </c>
      <c r="B1078" s="133" t="s">
        <v>4212</v>
      </c>
      <c r="C1078" s="185" t="s">
        <v>3023</v>
      </c>
      <c r="D1078" s="133" t="s">
        <v>1494</v>
      </c>
      <c r="E1078" s="134">
        <v>1</v>
      </c>
      <c r="F1078" s="135" t="s">
        <v>1449</v>
      </c>
      <c r="G1078" s="185" t="s">
        <v>15</v>
      </c>
      <c r="H1078" s="185" t="s">
        <v>15</v>
      </c>
      <c r="I1078" s="185" t="s">
        <v>15</v>
      </c>
      <c r="J1078" s="135" t="s">
        <v>1450</v>
      </c>
      <c r="K1078" s="186">
        <v>770676</v>
      </c>
      <c r="L1078" s="187" t="s">
        <v>173</v>
      </c>
      <c r="M1078" s="187" t="s">
        <v>175</v>
      </c>
    </row>
    <row r="1079" spans="1:13" s="188" customFormat="1">
      <c r="A1079" s="185" t="s">
        <v>1447</v>
      </c>
      <c r="B1079" s="133" t="s">
        <v>4213</v>
      </c>
      <c r="C1079" s="185" t="s">
        <v>3023</v>
      </c>
      <c r="D1079" s="133" t="s">
        <v>1495</v>
      </c>
      <c r="E1079" s="134">
        <v>1</v>
      </c>
      <c r="F1079" s="135" t="s">
        <v>1449</v>
      </c>
      <c r="G1079" s="185" t="s">
        <v>15</v>
      </c>
      <c r="H1079" s="185" t="s">
        <v>15</v>
      </c>
      <c r="I1079" s="185" t="s">
        <v>15</v>
      </c>
      <c r="J1079" s="135" t="s">
        <v>1450</v>
      </c>
      <c r="K1079" s="186">
        <v>1074576</v>
      </c>
      <c r="L1079" s="187" t="s">
        <v>173</v>
      </c>
      <c r="M1079" s="187" t="s">
        <v>175</v>
      </c>
    </row>
    <row r="1080" spans="1:13" s="188" customFormat="1">
      <c r="A1080" s="185" t="s">
        <v>1447</v>
      </c>
      <c r="B1080" s="133" t="s">
        <v>4214</v>
      </c>
      <c r="C1080" s="185" t="s">
        <v>3023</v>
      </c>
      <c r="D1080" s="133" t="s">
        <v>1496</v>
      </c>
      <c r="E1080" s="134">
        <v>1</v>
      </c>
      <c r="F1080" s="135" t="s">
        <v>1449</v>
      </c>
      <c r="G1080" s="185" t="s">
        <v>15</v>
      </c>
      <c r="H1080" s="185" t="s">
        <v>15</v>
      </c>
      <c r="I1080" s="185" t="s">
        <v>15</v>
      </c>
      <c r="J1080" s="135" t="s">
        <v>1450</v>
      </c>
      <c r="K1080" s="186">
        <v>1614888</v>
      </c>
      <c r="L1080" s="187" t="s">
        <v>173</v>
      </c>
      <c r="M1080" s="187" t="s">
        <v>175</v>
      </c>
    </row>
    <row r="1081" spans="1:13" s="188" customFormat="1">
      <c r="A1081" s="185" t="s">
        <v>1447</v>
      </c>
      <c r="B1081" s="133" t="s">
        <v>4215</v>
      </c>
      <c r="C1081" s="185" t="s">
        <v>3023</v>
      </c>
      <c r="D1081" s="133" t="s">
        <v>1497</v>
      </c>
      <c r="E1081" s="134">
        <v>1</v>
      </c>
      <c r="F1081" s="135" t="s">
        <v>1449</v>
      </c>
      <c r="G1081" s="185" t="s">
        <v>15</v>
      </c>
      <c r="H1081" s="185" t="s">
        <v>15</v>
      </c>
      <c r="I1081" s="185" t="s">
        <v>15</v>
      </c>
      <c r="J1081" s="135" t="s">
        <v>1450</v>
      </c>
      <c r="K1081" s="186">
        <v>2112840</v>
      </c>
      <c r="L1081" s="187" t="s">
        <v>173</v>
      </c>
      <c r="M1081" s="187" t="s">
        <v>175</v>
      </c>
    </row>
    <row r="1082" spans="1:13" s="188" customFormat="1">
      <c r="A1082" s="185" t="s">
        <v>1447</v>
      </c>
      <c r="B1082" s="133" t="s">
        <v>4216</v>
      </c>
      <c r="C1082" s="185" t="s">
        <v>3023</v>
      </c>
      <c r="D1082" s="133" t="s">
        <v>1498</v>
      </c>
      <c r="E1082" s="134">
        <v>1</v>
      </c>
      <c r="F1082" s="135" t="s">
        <v>1449</v>
      </c>
      <c r="G1082" s="185" t="s">
        <v>15</v>
      </c>
      <c r="H1082" s="185" t="s">
        <v>15</v>
      </c>
      <c r="I1082" s="185" t="s">
        <v>15</v>
      </c>
      <c r="J1082" s="135" t="s">
        <v>1450</v>
      </c>
      <c r="K1082" s="186">
        <v>4495764</v>
      </c>
      <c r="L1082" s="187" t="s">
        <v>173</v>
      </c>
      <c r="M1082" s="187" t="s">
        <v>175</v>
      </c>
    </row>
    <row r="1083" spans="1:13" s="188" customFormat="1">
      <c r="A1083" s="185" t="s">
        <v>1447</v>
      </c>
      <c r="B1083" s="133" t="s">
        <v>4217</v>
      </c>
      <c r="C1083" s="185" t="s">
        <v>3023</v>
      </c>
      <c r="D1083" s="133" t="s">
        <v>1499</v>
      </c>
      <c r="E1083" s="134">
        <v>1</v>
      </c>
      <c r="F1083" s="135" t="s">
        <v>1449</v>
      </c>
      <c r="G1083" s="185" t="s">
        <v>15</v>
      </c>
      <c r="H1083" s="185" t="s">
        <v>15</v>
      </c>
      <c r="I1083" s="185" t="s">
        <v>15</v>
      </c>
      <c r="J1083" s="135" t="s">
        <v>1450</v>
      </c>
      <c r="K1083" s="186">
        <v>39396</v>
      </c>
      <c r="L1083" s="187" t="s">
        <v>173</v>
      </c>
      <c r="M1083" s="187" t="s">
        <v>175</v>
      </c>
    </row>
    <row r="1084" spans="1:13" s="188" customFormat="1">
      <c r="A1084" s="185" t="s">
        <v>1447</v>
      </c>
      <c r="B1084" s="133" t="s">
        <v>4218</v>
      </c>
      <c r="C1084" s="185" t="s">
        <v>3023</v>
      </c>
      <c r="D1084" s="133" t="s">
        <v>1500</v>
      </c>
      <c r="E1084" s="134">
        <v>1</v>
      </c>
      <c r="F1084" s="135" t="s">
        <v>1449</v>
      </c>
      <c r="G1084" s="185" t="s">
        <v>15</v>
      </c>
      <c r="H1084" s="185" t="s">
        <v>15</v>
      </c>
      <c r="I1084" s="185" t="s">
        <v>15</v>
      </c>
      <c r="J1084" s="135" t="s">
        <v>1450</v>
      </c>
      <c r="K1084" s="186">
        <v>20256</v>
      </c>
      <c r="L1084" s="187" t="s">
        <v>173</v>
      </c>
      <c r="M1084" s="187" t="s">
        <v>175</v>
      </c>
    </row>
    <row r="1085" spans="1:13" s="188" customFormat="1">
      <c r="A1085" s="185" t="s">
        <v>1447</v>
      </c>
      <c r="B1085" s="133" t="s">
        <v>4219</v>
      </c>
      <c r="C1085" s="185" t="s">
        <v>3023</v>
      </c>
      <c r="D1085" s="133" t="s">
        <v>1501</v>
      </c>
      <c r="E1085" s="134">
        <v>1</v>
      </c>
      <c r="F1085" s="135" t="s">
        <v>1449</v>
      </c>
      <c r="G1085" s="185" t="s">
        <v>15</v>
      </c>
      <c r="H1085" s="185" t="s">
        <v>15</v>
      </c>
      <c r="I1085" s="185" t="s">
        <v>15</v>
      </c>
      <c r="J1085" s="135" t="s">
        <v>1450</v>
      </c>
      <c r="K1085" s="186">
        <v>557088</v>
      </c>
      <c r="L1085" s="187" t="s">
        <v>173</v>
      </c>
      <c r="M1085" s="187" t="s">
        <v>175</v>
      </c>
    </row>
    <row r="1086" spans="1:13" s="188" customFormat="1">
      <c r="A1086" s="185" t="s">
        <v>1447</v>
      </c>
      <c r="B1086" s="133" t="s">
        <v>4220</v>
      </c>
      <c r="C1086" s="185" t="s">
        <v>3023</v>
      </c>
      <c r="D1086" s="133" t="s">
        <v>1502</v>
      </c>
      <c r="E1086" s="134">
        <v>1</v>
      </c>
      <c r="F1086" s="135" t="s">
        <v>1449</v>
      </c>
      <c r="G1086" s="185" t="s">
        <v>15</v>
      </c>
      <c r="H1086" s="185" t="s">
        <v>15</v>
      </c>
      <c r="I1086" s="185" t="s">
        <v>15</v>
      </c>
      <c r="J1086" s="135" t="s">
        <v>1450</v>
      </c>
      <c r="K1086" s="186">
        <v>769812</v>
      </c>
      <c r="L1086" s="187" t="s">
        <v>173</v>
      </c>
      <c r="M1086" s="187" t="s">
        <v>175</v>
      </c>
    </row>
    <row r="1087" spans="1:13" s="188" customFormat="1">
      <c r="A1087" s="185" t="s">
        <v>1447</v>
      </c>
      <c r="B1087" s="133" t="s">
        <v>4221</v>
      </c>
      <c r="C1087" s="185" t="s">
        <v>3023</v>
      </c>
      <c r="D1087" s="133" t="s">
        <v>4222</v>
      </c>
      <c r="E1087" s="134">
        <v>1</v>
      </c>
      <c r="F1087" s="135" t="s">
        <v>1449</v>
      </c>
      <c r="G1087" s="185" t="s">
        <v>15</v>
      </c>
      <c r="H1087" s="185" t="s">
        <v>15</v>
      </c>
      <c r="I1087" s="185" t="s">
        <v>15</v>
      </c>
      <c r="J1087" s="135" t="s">
        <v>1450</v>
      </c>
      <c r="K1087" s="186">
        <v>288</v>
      </c>
      <c r="L1087" s="187" t="s">
        <v>173</v>
      </c>
      <c r="M1087" s="187" t="s">
        <v>175</v>
      </c>
    </row>
    <row r="1088" spans="1:13" s="188" customFormat="1">
      <c r="A1088" s="185" t="s">
        <v>1447</v>
      </c>
      <c r="B1088" s="133" t="s">
        <v>4223</v>
      </c>
      <c r="C1088" s="185" t="s">
        <v>3023</v>
      </c>
      <c r="D1088" s="133" t="s">
        <v>4222</v>
      </c>
      <c r="E1088" s="134">
        <v>1</v>
      </c>
      <c r="F1088" s="135" t="s">
        <v>1449</v>
      </c>
      <c r="G1088" s="185" t="s">
        <v>15</v>
      </c>
      <c r="H1088" s="185" t="s">
        <v>15</v>
      </c>
      <c r="I1088" s="185" t="s">
        <v>15</v>
      </c>
      <c r="J1088" s="135" t="s">
        <v>1450</v>
      </c>
      <c r="K1088" s="186">
        <v>240</v>
      </c>
      <c r="L1088" s="187" t="s">
        <v>173</v>
      </c>
      <c r="M1088" s="187" t="s">
        <v>175</v>
      </c>
    </row>
    <row r="1089" spans="1:13" s="188" customFormat="1">
      <c r="A1089" s="185" t="s">
        <v>1447</v>
      </c>
      <c r="B1089" s="133" t="s">
        <v>4224</v>
      </c>
      <c r="C1089" s="185" t="s">
        <v>3023</v>
      </c>
      <c r="D1089" s="133" t="s">
        <v>4222</v>
      </c>
      <c r="E1089" s="134">
        <v>1</v>
      </c>
      <c r="F1089" s="135" t="s">
        <v>1449</v>
      </c>
      <c r="G1089" s="185" t="s">
        <v>15</v>
      </c>
      <c r="H1089" s="185" t="s">
        <v>15</v>
      </c>
      <c r="I1089" s="185" t="s">
        <v>15</v>
      </c>
      <c r="J1089" s="135" t="s">
        <v>1450</v>
      </c>
      <c r="K1089" s="186">
        <v>180</v>
      </c>
      <c r="L1089" s="187" t="s">
        <v>173</v>
      </c>
      <c r="M1089" s="187" t="s">
        <v>175</v>
      </c>
    </row>
    <row r="1090" spans="1:13" s="188" customFormat="1">
      <c r="A1090" s="185" t="s">
        <v>1447</v>
      </c>
      <c r="B1090" s="133" t="s">
        <v>4225</v>
      </c>
      <c r="C1090" s="185" t="s">
        <v>3023</v>
      </c>
      <c r="D1090" s="133" t="s">
        <v>4222</v>
      </c>
      <c r="E1090" s="134">
        <v>1</v>
      </c>
      <c r="F1090" s="135" t="s">
        <v>1449</v>
      </c>
      <c r="G1090" s="185" t="s">
        <v>15</v>
      </c>
      <c r="H1090" s="185" t="s">
        <v>15</v>
      </c>
      <c r="I1090" s="185" t="s">
        <v>15</v>
      </c>
      <c r="J1090" s="135" t="s">
        <v>1450</v>
      </c>
      <c r="K1090" s="186">
        <v>132</v>
      </c>
      <c r="L1090" s="187" t="s">
        <v>173</v>
      </c>
      <c r="M1090" s="187" t="s">
        <v>175</v>
      </c>
    </row>
    <row r="1091" spans="1:13" s="188" customFormat="1">
      <c r="A1091" s="185" t="s">
        <v>1447</v>
      </c>
      <c r="B1091" s="133" t="s">
        <v>4226</v>
      </c>
      <c r="C1091" s="185" t="s">
        <v>3023</v>
      </c>
      <c r="D1091" s="133" t="s">
        <v>4222</v>
      </c>
      <c r="E1091" s="134">
        <v>1</v>
      </c>
      <c r="F1091" s="135" t="s">
        <v>1449</v>
      </c>
      <c r="G1091" s="185" t="s">
        <v>15</v>
      </c>
      <c r="H1091" s="185" t="s">
        <v>15</v>
      </c>
      <c r="I1091" s="185" t="s">
        <v>15</v>
      </c>
      <c r="J1091" s="135" t="s">
        <v>1450</v>
      </c>
      <c r="K1091" s="186">
        <v>87.12</v>
      </c>
      <c r="L1091" s="187" t="s">
        <v>173</v>
      </c>
      <c r="M1091" s="187" t="s">
        <v>175</v>
      </c>
    </row>
    <row r="1092" spans="1:13" s="188" customFormat="1">
      <c r="A1092" s="185" t="s">
        <v>1447</v>
      </c>
      <c r="B1092" s="133" t="s">
        <v>4227</v>
      </c>
      <c r="C1092" s="185" t="s">
        <v>3023</v>
      </c>
      <c r="D1092" s="133" t="s">
        <v>1504</v>
      </c>
      <c r="E1092" s="134">
        <v>1</v>
      </c>
      <c r="F1092" s="135" t="s">
        <v>1449</v>
      </c>
      <c r="G1092" s="185" t="s">
        <v>15</v>
      </c>
      <c r="H1092" s="185" t="s">
        <v>15</v>
      </c>
      <c r="I1092" s="185" t="s">
        <v>15</v>
      </c>
      <c r="J1092" s="135" t="s">
        <v>1450</v>
      </c>
      <c r="K1092" s="186">
        <v>156888</v>
      </c>
      <c r="L1092" s="187" t="s">
        <v>173</v>
      </c>
      <c r="M1092" s="187" t="s">
        <v>175</v>
      </c>
    </row>
    <row r="1093" spans="1:13" s="188" customFormat="1">
      <c r="A1093" s="185" t="s">
        <v>1447</v>
      </c>
      <c r="B1093" s="133" t="s">
        <v>4228</v>
      </c>
      <c r="C1093" s="185" t="s">
        <v>3023</v>
      </c>
      <c r="D1093" s="133" t="s">
        <v>1505</v>
      </c>
      <c r="E1093" s="134">
        <v>1</v>
      </c>
      <c r="F1093" s="135" t="s">
        <v>1449</v>
      </c>
      <c r="G1093" s="185" t="s">
        <v>15</v>
      </c>
      <c r="H1093" s="185" t="s">
        <v>15</v>
      </c>
      <c r="I1093" s="185" t="s">
        <v>15</v>
      </c>
      <c r="J1093" s="135" t="s">
        <v>1450</v>
      </c>
      <c r="K1093" s="186">
        <v>217356</v>
      </c>
      <c r="L1093" s="187" t="s">
        <v>173</v>
      </c>
      <c r="M1093" s="187" t="s">
        <v>175</v>
      </c>
    </row>
    <row r="1094" spans="1:13" s="188" customFormat="1">
      <c r="A1094" s="185" t="s">
        <v>1447</v>
      </c>
      <c r="B1094" s="133" t="s">
        <v>4229</v>
      </c>
      <c r="C1094" s="185" t="s">
        <v>3023</v>
      </c>
      <c r="D1094" s="133" t="s">
        <v>1506</v>
      </c>
      <c r="E1094" s="134">
        <v>1</v>
      </c>
      <c r="F1094" s="135" t="s">
        <v>1449</v>
      </c>
      <c r="G1094" s="185" t="s">
        <v>15</v>
      </c>
      <c r="H1094" s="185" t="s">
        <v>15</v>
      </c>
      <c r="I1094" s="185" t="s">
        <v>15</v>
      </c>
      <c r="J1094" s="135" t="s">
        <v>1450</v>
      </c>
      <c r="K1094" s="186">
        <v>222252</v>
      </c>
      <c r="L1094" s="187" t="s">
        <v>173</v>
      </c>
      <c r="M1094" s="187" t="s">
        <v>175</v>
      </c>
    </row>
    <row r="1095" spans="1:13" s="188" customFormat="1">
      <c r="A1095" s="185" t="s">
        <v>1447</v>
      </c>
      <c r="B1095" s="133" t="s">
        <v>4230</v>
      </c>
      <c r="C1095" s="185" t="s">
        <v>3023</v>
      </c>
      <c r="D1095" s="133" t="s">
        <v>1507</v>
      </c>
      <c r="E1095" s="134">
        <v>1</v>
      </c>
      <c r="F1095" s="135" t="s">
        <v>1449</v>
      </c>
      <c r="G1095" s="185" t="s">
        <v>15</v>
      </c>
      <c r="H1095" s="185" t="s">
        <v>15</v>
      </c>
      <c r="I1095" s="185" t="s">
        <v>15</v>
      </c>
      <c r="J1095" s="135" t="s">
        <v>1450</v>
      </c>
      <c r="K1095" s="186">
        <v>236148</v>
      </c>
      <c r="L1095" s="187" t="s">
        <v>173</v>
      </c>
      <c r="M1095" s="187" t="s">
        <v>175</v>
      </c>
    </row>
    <row r="1096" spans="1:13" s="188" customFormat="1">
      <c r="A1096" s="185" t="s">
        <v>1447</v>
      </c>
      <c r="B1096" s="133" t="s">
        <v>4231</v>
      </c>
      <c r="C1096" s="185" t="s">
        <v>3023</v>
      </c>
      <c r="D1096" s="133" t="s">
        <v>1508</v>
      </c>
      <c r="E1096" s="134">
        <v>1</v>
      </c>
      <c r="F1096" s="135" t="s">
        <v>1449</v>
      </c>
      <c r="G1096" s="185" t="s">
        <v>15</v>
      </c>
      <c r="H1096" s="185" t="s">
        <v>15</v>
      </c>
      <c r="I1096" s="185" t="s">
        <v>15</v>
      </c>
      <c r="J1096" s="135" t="s">
        <v>1450</v>
      </c>
      <c r="K1096" s="186">
        <v>272112</v>
      </c>
      <c r="L1096" s="187" t="s">
        <v>173</v>
      </c>
      <c r="M1096" s="187" t="s">
        <v>175</v>
      </c>
    </row>
    <row r="1097" spans="1:13" s="188" customFormat="1">
      <c r="A1097" s="185" t="s">
        <v>1447</v>
      </c>
      <c r="B1097" s="133" t="s">
        <v>4232</v>
      </c>
      <c r="C1097" s="185" t="s">
        <v>3023</v>
      </c>
      <c r="D1097" s="133" t="s">
        <v>1509</v>
      </c>
      <c r="E1097" s="134">
        <v>1</v>
      </c>
      <c r="F1097" s="135" t="s">
        <v>1449</v>
      </c>
      <c r="G1097" s="185" t="s">
        <v>15</v>
      </c>
      <c r="H1097" s="185" t="s">
        <v>15</v>
      </c>
      <c r="I1097" s="185" t="s">
        <v>15</v>
      </c>
      <c r="J1097" s="135" t="s">
        <v>1450</v>
      </c>
      <c r="K1097" s="186">
        <v>320304</v>
      </c>
      <c r="L1097" s="187" t="s">
        <v>173</v>
      </c>
      <c r="M1097" s="187" t="s">
        <v>175</v>
      </c>
    </row>
    <row r="1098" spans="1:13" s="188" customFormat="1">
      <c r="A1098" s="185" t="s">
        <v>1447</v>
      </c>
      <c r="B1098" s="133" t="s">
        <v>4233</v>
      </c>
      <c r="C1098" s="185" t="s">
        <v>3023</v>
      </c>
      <c r="D1098" s="133" t="s">
        <v>1510</v>
      </c>
      <c r="E1098" s="134">
        <v>1</v>
      </c>
      <c r="F1098" s="135" t="s">
        <v>1449</v>
      </c>
      <c r="G1098" s="185" t="s">
        <v>15</v>
      </c>
      <c r="H1098" s="185" t="s">
        <v>15</v>
      </c>
      <c r="I1098" s="185" t="s">
        <v>15</v>
      </c>
      <c r="J1098" s="135" t="s">
        <v>1450</v>
      </c>
      <c r="K1098" s="186">
        <v>50</v>
      </c>
      <c r="L1098" s="187" t="s">
        <v>173</v>
      </c>
      <c r="M1098" s="187" t="s">
        <v>175</v>
      </c>
    </row>
    <row r="1099" spans="1:13" s="188" customFormat="1">
      <c r="A1099" s="185" t="s">
        <v>1447</v>
      </c>
      <c r="B1099" s="133" t="s">
        <v>4234</v>
      </c>
      <c r="C1099" s="185" t="s">
        <v>3023</v>
      </c>
      <c r="D1099" s="133" t="s">
        <v>1458</v>
      </c>
      <c r="E1099" s="134">
        <v>1</v>
      </c>
      <c r="F1099" s="135" t="s">
        <v>1449</v>
      </c>
      <c r="G1099" s="185" t="s">
        <v>15</v>
      </c>
      <c r="H1099" s="185" t="s">
        <v>15</v>
      </c>
      <c r="I1099" s="185" t="s">
        <v>15</v>
      </c>
      <c r="J1099" s="135" t="s">
        <v>1450</v>
      </c>
      <c r="K1099" s="186">
        <v>35172</v>
      </c>
      <c r="L1099" s="187" t="s">
        <v>173</v>
      </c>
      <c r="M1099" s="187" t="s">
        <v>175</v>
      </c>
    </row>
    <row r="1100" spans="1:13" s="188" customFormat="1">
      <c r="A1100" s="185" t="s">
        <v>1447</v>
      </c>
      <c r="B1100" s="133" t="s">
        <v>4235</v>
      </c>
      <c r="C1100" s="185" t="s">
        <v>3023</v>
      </c>
      <c r="D1100" s="133" t="s">
        <v>1503</v>
      </c>
      <c r="E1100" s="134">
        <v>1</v>
      </c>
      <c r="F1100" s="135" t="s">
        <v>1449</v>
      </c>
      <c r="G1100" s="185" t="s">
        <v>15</v>
      </c>
      <c r="H1100" s="185" t="s">
        <v>15</v>
      </c>
      <c r="I1100" s="185" t="s">
        <v>15</v>
      </c>
      <c r="J1100" s="135" t="s">
        <v>1450</v>
      </c>
      <c r="K1100" s="186">
        <v>8628</v>
      </c>
      <c r="L1100" s="187" t="s">
        <v>173</v>
      </c>
      <c r="M1100" s="187" t="s">
        <v>175</v>
      </c>
    </row>
    <row r="1101" spans="1:13" s="188" customFormat="1">
      <c r="A1101" s="185" t="s">
        <v>1447</v>
      </c>
      <c r="B1101" s="133" t="s">
        <v>4236</v>
      </c>
      <c r="C1101" s="185" t="s">
        <v>3023</v>
      </c>
      <c r="D1101" s="133" t="s">
        <v>1503</v>
      </c>
      <c r="E1101" s="134">
        <v>1</v>
      </c>
      <c r="F1101" s="135" t="s">
        <v>1449</v>
      </c>
      <c r="G1101" s="185" t="s">
        <v>15</v>
      </c>
      <c r="H1101" s="185" t="s">
        <v>15</v>
      </c>
      <c r="I1101" s="185" t="s">
        <v>15</v>
      </c>
      <c r="J1101" s="135" t="s">
        <v>1450</v>
      </c>
      <c r="K1101" s="186">
        <v>4788</v>
      </c>
      <c r="L1101" s="187" t="s">
        <v>173</v>
      </c>
      <c r="M1101" s="187" t="s">
        <v>175</v>
      </c>
    </row>
    <row r="1102" spans="1:13" s="188" customFormat="1">
      <c r="A1102" s="185" t="s">
        <v>1447</v>
      </c>
      <c r="B1102" s="133" t="s">
        <v>4237</v>
      </c>
      <c r="C1102" s="185" t="s">
        <v>3023</v>
      </c>
      <c r="D1102" s="133" t="s">
        <v>1503</v>
      </c>
      <c r="E1102" s="134">
        <v>1</v>
      </c>
      <c r="F1102" s="135" t="s">
        <v>1449</v>
      </c>
      <c r="G1102" s="185" t="s">
        <v>15</v>
      </c>
      <c r="H1102" s="185" t="s">
        <v>15</v>
      </c>
      <c r="I1102" s="185" t="s">
        <v>15</v>
      </c>
      <c r="J1102" s="135" t="s">
        <v>1450</v>
      </c>
      <c r="K1102" s="186">
        <v>2796</v>
      </c>
      <c r="L1102" s="187" t="s">
        <v>173</v>
      </c>
      <c r="M1102" s="187" t="s">
        <v>175</v>
      </c>
    </row>
    <row r="1103" spans="1:13" s="188" customFormat="1">
      <c r="A1103" s="185" t="s">
        <v>1447</v>
      </c>
      <c r="B1103" s="133" t="s">
        <v>4238</v>
      </c>
      <c r="C1103" s="185" t="s">
        <v>3023</v>
      </c>
      <c r="D1103" s="133" t="s">
        <v>1503</v>
      </c>
      <c r="E1103" s="134">
        <v>1</v>
      </c>
      <c r="F1103" s="135" t="s">
        <v>1449</v>
      </c>
      <c r="G1103" s="185" t="s">
        <v>15</v>
      </c>
      <c r="H1103" s="185" t="s">
        <v>15</v>
      </c>
      <c r="I1103" s="185" t="s">
        <v>15</v>
      </c>
      <c r="J1103" s="135" t="s">
        <v>1450</v>
      </c>
      <c r="K1103" s="186">
        <v>1968</v>
      </c>
      <c r="L1103" s="187" t="s">
        <v>173</v>
      </c>
      <c r="M1103" s="187" t="s">
        <v>175</v>
      </c>
    </row>
    <row r="1104" spans="1:13" s="188" customFormat="1">
      <c r="A1104" s="185" t="s">
        <v>1447</v>
      </c>
      <c r="B1104" s="133" t="s">
        <v>4239</v>
      </c>
      <c r="C1104" s="185" t="s">
        <v>3023</v>
      </c>
      <c r="D1104" s="133" t="s">
        <v>1503</v>
      </c>
      <c r="E1104" s="134">
        <v>1</v>
      </c>
      <c r="F1104" s="135" t="s">
        <v>1449</v>
      </c>
      <c r="G1104" s="185" t="s">
        <v>15</v>
      </c>
      <c r="H1104" s="185" t="s">
        <v>15</v>
      </c>
      <c r="I1104" s="185" t="s">
        <v>15</v>
      </c>
      <c r="J1104" s="135" t="s">
        <v>1450</v>
      </c>
      <c r="K1104" s="186">
        <v>1308</v>
      </c>
      <c r="L1104" s="187" t="s">
        <v>173</v>
      </c>
      <c r="M1104" s="187" t="s">
        <v>175</v>
      </c>
    </row>
    <row r="1105" spans="1:13" s="188" customFormat="1">
      <c r="A1105" s="185" t="s">
        <v>1447</v>
      </c>
      <c r="B1105" s="133" t="s">
        <v>4240</v>
      </c>
      <c r="C1105" s="185" t="s">
        <v>3023</v>
      </c>
      <c r="D1105" s="133" t="s">
        <v>1503</v>
      </c>
      <c r="E1105" s="134">
        <v>1</v>
      </c>
      <c r="F1105" s="135" t="s">
        <v>1449</v>
      </c>
      <c r="G1105" s="185" t="s">
        <v>15</v>
      </c>
      <c r="H1105" s="185" t="s">
        <v>15</v>
      </c>
      <c r="I1105" s="185" t="s">
        <v>15</v>
      </c>
      <c r="J1105" s="135" t="s">
        <v>1450</v>
      </c>
      <c r="K1105" s="186">
        <v>756</v>
      </c>
      <c r="L1105" s="187" t="s">
        <v>173</v>
      </c>
      <c r="M1105" s="187" t="s">
        <v>175</v>
      </c>
    </row>
    <row r="1106" spans="1:13" s="188" customFormat="1">
      <c r="A1106" s="185" t="s">
        <v>1447</v>
      </c>
      <c r="B1106" s="133" t="s">
        <v>4241</v>
      </c>
      <c r="C1106" s="185" t="s">
        <v>3023</v>
      </c>
      <c r="D1106" s="133" t="s">
        <v>1503</v>
      </c>
      <c r="E1106" s="134">
        <v>1</v>
      </c>
      <c r="F1106" s="135" t="s">
        <v>1449</v>
      </c>
      <c r="G1106" s="185" t="s">
        <v>15</v>
      </c>
      <c r="H1106" s="185" t="s">
        <v>15</v>
      </c>
      <c r="I1106" s="185" t="s">
        <v>15</v>
      </c>
      <c r="J1106" s="135" t="s">
        <v>1450</v>
      </c>
      <c r="K1106" s="186">
        <v>564</v>
      </c>
      <c r="L1106" s="187" t="s">
        <v>173</v>
      </c>
      <c r="M1106" s="187" t="s">
        <v>175</v>
      </c>
    </row>
    <row r="1107" spans="1:13" s="188" customFormat="1">
      <c r="A1107" s="185" t="s">
        <v>1447</v>
      </c>
      <c r="B1107" s="133" t="s">
        <v>4242</v>
      </c>
      <c r="C1107" s="185" t="s">
        <v>3023</v>
      </c>
      <c r="D1107" s="133" t="s">
        <v>1503</v>
      </c>
      <c r="E1107" s="134">
        <v>1</v>
      </c>
      <c r="F1107" s="135" t="s">
        <v>1449</v>
      </c>
      <c r="G1107" s="185" t="s">
        <v>15</v>
      </c>
      <c r="H1107" s="185" t="s">
        <v>15</v>
      </c>
      <c r="I1107" s="185" t="s">
        <v>15</v>
      </c>
      <c r="J1107" s="135" t="s">
        <v>1450</v>
      </c>
      <c r="K1107" s="186">
        <v>456</v>
      </c>
      <c r="L1107" s="187" t="s">
        <v>173</v>
      </c>
      <c r="M1107" s="187" t="s">
        <v>175</v>
      </c>
    </row>
    <row r="1108" spans="1:13" s="188" customFormat="1">
      <c r="A1108" s="185" t="s">
        <v>1447</v>
      </c>
      <c r="B1108" s="133" t="s">
        <v>4243</v>
      </c>
      <c r="C1108" s="185" t="s">
        <v>3023</v>
      </c>
      <c r="D1108" s="133" t="s">
        <v>1503</v>
      </c>
      <c r="E1108" s="134">
        <v>1</v>
      </c>
      <c r="F1108" s="135" t="s">
        <v>1449</v>
      </c>
      <c r="G1108" s="185" t="s">
        <v>15</v>
      </c>
      <c r="H1108" s="185" t="s">
        <v>15</v>
      </c>
      <c r="I1108" s="185" t="s">
        <v>15</v>
      </c>
      <c r="J1108" s="135" t="s">
        <v>1450</v>
      </c>
      <c r="K1108" s="186">
        <v>336</v>
      </c>
      <c r="L1108" s="187" t="s">
        <v>173</v>
      </c>
      <c r="M1108" s="187" t="s">
        <v>175</v>
      </c>
    </row>
    <row r="1109" spans="1:13" s="188" customFormat="1">
      <c r="A1109" s="185" t="s">
        <v>1447</v>
      </c>
      <c r="B1109" s="133" t="s">
        <v>4244</v>
      </c>
      <c r="C1109" s="185" t="s">
        <v>3023</v>
      </c>
      <c r="D1109" s="133" t="s">
        <v>4245</v>
      </c>
      <c r="E1109" s="134">
        <v>1</v>
      </c>
      <c r="F1109" s="135" t="s">
        <v>1449</v>
      </c>
      <c r="G1109" s="185" t="s">
        <v>15</v>
      </c>
      <c r="H1109" s="185" t="s">
        <v>15</v>
      </c>
      <c r="I1109" s="185" t="s">
        <v>15</v>
      </c>
      <c r="J1109" s="135" t="s">
        <v>1450</v>
      </c>
      <c r="K1109" s="186">
        <v>47124</v>
      </c>
      <c r="L1109" s="187" t="s">
        <v>173</v>
      </c>
      <c r="M1109" s="187" t="s">
        <v>175</v>
      </c>
    </row>
    <row r="1110" spans="1:13" s="188" customFormat="1">
      <c r="A1110" s="185" t="s">
        <v>1447</v>
      </c>
      <c r="B1110" s="133" t="s">
        <v>4246</v>
      </c>
      <c r="C1110" s="185" t="s">
        <v>3023</v>
      </c>
      <c r="D1110" s="133" t="s">
        <v>4247</v>
      </c>
      <c r="E1110" s="134">
        <v>1</v>
      </c>
      <c r="F1110" s="135" t="s">
        <v>1449</v>
      </c>
      <c r="G1110" s="185" t="s">
        <v>15</v>
      </c>
      <c r="H1110" s="185" t="s">
        <v>15</v>
      </c>
      <c r="I1110" s="185" t="s">
        <v>15</v>
      </c>
      <c r="J1110" s="135" t="s">
        <v>1450</v>
      </c>
      <c r="K1110" s="186">
        <v>15660</v>
      </c>
      <c r="L1110" s="187" t="s">
        <v>173</v>
      </c>
      <c r="M1110" s="187" t="s">
        <v>175</v>
      </c>
    </row>
    <row r="1111" spans="1:13" s="188" customFormat="1">
      <c r="A1111" s="185" t="s">
        <v>1447</v>
      </c>
      <c r="B1111" s="133" t="s">
        <v>4248</v>
      </c>
      <c r="C1111" s="185" t="s">
        <v>3023</v>
      </c>
      <c r="D1111" s="133" t="s">
        <v>4249</v>
      </c>
      <c r="E1111" s="134">
        <v>1</v>
      </c>
      <c r="F1111" s="135" t="s">
        <v>1449</v>
      </c>
      <c r="G1111" s="185" t="s">
        <v>15</v>
      </c>
      <c r="H1111" s="185" t="s">
        <v>15</v>
      </c>
      <c r="I1111" s="185" t="s">
        <v>15</v>
      </c>
      <c r="J1111" s="135" t="s">
        <v>1450</v>
      </c>
      <c r="K1111" s="186">
        <v>98640</v>
      </c>
      <c r="L1111" s="187" t="s">
        <v>173</v>
      </c>
      <c r="M1111" s="187" t="s">
        <v>175</v>
      </c>
    </row>
    <row r="1112" spans="1:13" s="188" customFormat="1">
      <c r="A1112" s="185" t="s">
        <v>1447</v>
      </c>
      <c r="B1112" s="133" t="s">
        <v>4250</v>
      </c>
      <c r="C1112" s="185" t="s">
        <v>3023</v>
      </c>
      <c r="D1112" s="133" t="s">
        <v>4251</v>
      </c>
      <c r="E1112" s="134">
        <v>1</v>
      </c>
      <c r="F1112" s="135" t="s">
        <v>1449</v>
      </c>
      <c r="G1112" s="185" t="s">
        <v>15</v>
      </c>
      <c r="H1112" s="185" t="s">
        <v>15</v>
      </c>
      <c r="I1112" s="185" t="s">
        <v>15</v>
      </c>
      <c r="J1112" s="135" t="s">
        <v>1450</v>
      </c>
      <c r="K1112" s="186">
        <v>54324</v>
      </c>
      <c r="L1112" s="187" t="s">
        <v>173</v>
      </c>
      <c r="M1112" s="187" t="s">
        <v>175</v>
      </c>
    </row>
    <row r="1113" spans="1:13" s="188" customFormat="1">
      <c r="A1113" s="185" t="s">
        <v>1447</v>
      </c>
      <c r="B1113" s="133" t="s">
        <v>4252</v>
      </c>
      <c r="C1113" s="185" t="s">
        <v>3023</v>
      </c>
      <c r="D1113" s="133" t="s">
        <v>4253</v>
      </c>
      <c r="E1113" s="134">
        <v>1</v>
      </c>
      <c r="F1113" s="135" t="s">
        <v>1449</v>
      </c>
      <c r="G1113" s="185" t="s">
        <v>15</v>
      </c>
      <c r="H1113" s="185" t="s">
        <v>15</v>
      </c>
      <c r="I1113" s="185" t="s">
        <v>15</v>
      </c>
      <c r="J1113" s="135" t="s">
        <v>1450</v>
      </c>
      <c r="K1113" s="186">
        <v>92016</v>
      </c>
      <c r="L1113" s="187" t="s">
        <v>173</v>
      </c>
      <c r="M1113" s="187" t="s">
        <v>175</v>
      </c>
    </row>
    <row r="1114" spans="1:13" s="188" customFormat="1">
      <c r="A1114" s="185" t="s">
        <v>1447</v>
      </c>
      <c r="B1114" s="133" t="s">
        <v>4254</v>
      </c>
      <c r="C1114" s="185" t="s">
        <v>3023</v>
      </c>
      <c r="D1114" s="133" t="s">
        <v>4255</v>
      </c>
      <c r="E1114" s="134">
        <v>1</v>
      </c>
      <c r="F1114" s="135" t="s">
        <v>1449</v>
      </c>
      <c r="G1114" s="185" t="s">
        <v>15</v>
      </c>
      <c r="H1114" s="185" t="s">
        <v>15</v>
      </c>
      <c r="I1114" s="185" t="s">
        <v>15</v>
      </c>
      <c r="J1114" s="135" t="s">
        <v>1450</v>
      </c>
      <c r="K1114" s="186">
        <v>175620</v>
      </c>
      <c r="L1114" s="187" t="s">
        <v>173</v>
      </c>
      <c r="M1114" s="187" t="s">
        <v>175</v>
      </c>
    </row>
    <row r="1115" spans="1:13" s="188" customFormat="1">
      <c r="A1115" s="185" t="s">
        <v>1447</v>
      </c>
      <c r="B1115" s="133" t="s">
        <v>4256</v>
      </c>
      <c r="C1115" s="185" t="s">
        <v>3023</v>
      </c>
      <c r="D1115" s="133" t="s">
        <v>4257</v>
      </c>
      <c r="E1115" s="134">
        <v>1</v>
      </c>
      <c r="F1115" s="135" t="s">
        <v>1449</v>
      </c>
      <c r="G1115" s="185" t="s">
        <v>15</v>
      </c>
      <c r="H1115" s="185" t="s">
        <v>15</v>
      </c>
      <c r="I1115" s="185" t="s">
        <v>15</v>
      </c>
      <c r="J1115" s="135" t="s">
        <v>1450</v>
      </c>
      <c r="K1115" s="186">
        <v>101664</v>
      </c>
      <c r="L1115" s="187" t="s">
        <v>173</v>
      </c>
      <c r="M1115" s="187" t="s">
        <v>175</v>
      </c>
    </row>
    <row r="1116" spans="1:13" s="188" customFormat="1">
      <c r="A1116" s="185" t="s">
        <v>1447</v>
      </c>
      <c r="B1116" s="133" t="s">
        <v>4258</v>
      </c>
      <c r="C1116" s="185" t="s">
        <v>3023</v>
      </c>
      <c r="D1116" s="133" t="s">
        <v>4259</v>
      </c>
      <c r="E1116" s="134">
        <v>1</v>
      </c>
      <c r="F1116" s="135" t="s">
        <v>1449</v>
      </c>
      <c r="G1116" s="185" t="s">
        <v>15</v>
      </c>
      <c r="H1116" s="185" t="s">
        <v>15</v>
      </c>
      <c r="I1116" s="185" t="s">
        <v>15</v>
      </c>
      <c r="J1116" s="135" t="s">
        <v>1450</v>
      </c>
      <c r="K1116" s="186">
        <v>63624</v>
      </c>
      <c r="L1116" s="187" t="s">
        <v>173</v>
      </c>
      <c r="M1116" s="187" t="s">
        <v>175</v>
      </c>
    </row>
    <row r="1117" spans="1:13" s="188" customFormat="1">
      <c r="A1117" s="185" t="s">
        <v>1447</v>
      </c>
      <c r="B1117" s="133" t="s">
        <v>4260</v>
      </c>
      <c r="C1117" s="185" t="s">
        <v>3023</v>
      </c>
      <c r="D1117" s="133" t="s">
        <v>4261</v>
      </c>
      <c r="E1117" s="134">
        <v>1</v>
      </c>
      <c r="F1117" s="135" t="s">
        <v>1449</v>
      </c>
      <c r="G1117" s="185" t="s">
        <v>15</v>
      </c>
      <c r="H1117" s="185" t="s">
        <v>15</v>
      </c>
      <c r="I1117" s="185" t="s">
        <v>15</v>
      </c>
      <c r="J1117" s="135" t="s">
        <v>1450</v>
      </c>
      <c r="K1117" s="186">
        <v>115548</v>
      </c>
      <c r="L1117" s="187" t="s">
        <v>173</v>
      </c>
      <c r="M1117" s="187" t="s">
        <v>175</v>
      </c>
    </row>
    <row r="1118" spans="1:13" s="188" customFormat="1">
      <c r="A1118" s="185" t="s">
        <v>1447</v>
      </c>
      <c r="B1118" s="133" t="s">
        <v>4262</v>
      </c>
      <c r="C1118" s="185" t="s">
        <v>3023</v>
      </c>
      <c r="D1118" s="133" t="s">
        <v>4263</v>
      </c>
      <c r="E1118" s="134">
        <v>1</v>
      </c>
      <c r="F1118" s="135" t="s">
        <v>1449</v>
      </c>
      <c r="G1118" s="185" t="s">
        <v>15</v>
      </c>
      <c r="H1118" s="185" t="s">
        <v>15</v>
      </c>
      <c r="I1118" s="185" t="s">
        <v>15</v>
      </c>
      <c r="J1118" s="135" t="s">
        <v>1450</v>
      </c>
      <c r="K1118" s="186">
        <v>151596</v>
      </c>
      <c r="L1118" s="187" t="s">
        <v>173</v>
      </c>
      <c r="M1118" s="187" t="s">
        <v>175</v>
      </c>
    </row>
    <row r="1119" spans="1:13" s="188" customFormat="1">
      <c r="A1119" s="185" t="s">
        <v>1447</v>
      </c>
      <c r="B1119" s="133" t="s">
        <v>4264</v>
      </c>
      <c r="C1119" s="185" t="s">
        <v>3023</v>
      </c>
      <c r="D1119" s="133" t="s">
        <v>4265</v>
      </c>
      <c r="E1119" s="134">
        <v>1</v>
      </c>
      <c r="F1119" s="135" t="s">
        <v>1449</v>
      </c>
      <c r="G1119" s="185" t="s">
        <v>15</v>
      </c>
      <c r="H1119" s="185" t="s">
        <v>15</v>
      </c>
      <c r="I1119" s="185" t="s">
        <v>15</v>
      </c>
      <c r="J1119" s="135" t="s">
        <v>1450</v>
      </c>
      <c r="K1119" s="186">
        <v>116196</v>
      </c>
      <c r="L1119" s="187" t="s">
        <v>173</v>
      </c>
      <c r="M1119" s="187" t="s">
        <v>175</v>
      </c>
    </row>
    <row r="1120" spans="1:13" s="188" customFormat="1">
      <c r="A1120" s="185" t="s">
        <v>1447</v>
      </c>
      <c r="B1120" s="133" t="s">
        <v>4266</v>
      </c>
      <c r="C1120" s="185" t="s">
        <v>3023</v>
      </c>
      <c r="D1120" s="133" t="s">
        <v>1511</v>
      </c>
      <c r="E1120" s="134">
        <v>1</v>
      </c>
      <c r="F1120" s="135" t="s">
        <v>1449</v>
      </c>
      <c r="G1120" s="185" t="s">
        <v>15</v>
      </c>
      <c r="H1120" s="185" t="s">
        <v>15</v>
      </c>
      <c r="I1120" s="185" t="s">
        <v>15</v>
      </c>
      <c r="J1120" s="135" t="s">
        <v>1450</v>
      </c>
      <c r="K1120" s="186">
        <v>186768</v>
      </c>
      <c r="L1120" s="187" t="s">
        <v>173</v>
      </c>
      <c r="M1120" s="187" t="s">
        <v>175</v>
      </c>
    </row>
    <row r="1121" spans="1:13" s="188" customFormat="1">
      <c r="A1121" s="185" t="s">
        <v>1447</v>
      </c>
      <c r="B1121" s="133" t="s">
        <v>4267</v>
      </c>
      <c r="C1121" s="185" t="s">
        <v>3023</v>
      </c>
      <c r="D1121" s="133" t="s">
        <v>1512</v>
      </c>
      <c r="E1121" s="134">
        <v>1</v>
      </c>
      <c r="F1121" s="135" t="s">
        <v>1449</v>
      </c>
      <c r="G1121" s="185" t="s">
        <v>15</v>
      </c>
      <c r="H1121" s="185" t="s">
        <v>15</v>
      </c>
      <c r="I1121" s="185" t="s">
        <v>15</v>
      </c>
      <c r="J1121" s="135" t="s">
        <v>1450</v>
      </c>
      <c r="K1121" s="186">
        <v>624</v>
      </c>
      <c r="L1121" s="187" t="s">
        <v>173</v>
      </c>
      <c r="M1121" s="187" t="s">
        <v>175</v>
      </c>
    </row>
    <row r="1122" spans="1:13" s="188" customFormat="1">
      <c r="A1122" s="185" t="s">
        <v>1447</v>
      </c>
      <c r="B1122" s="133" t="s">
        <v>4268</v>
      </c>
      <c r="C1122" s="185" t="s">
        <v>3023</v>
      </c>
      <c r="D1122" s="133" t="s">
        <v>1513</v>
      </c>
      <c r="E1122" s="134">
        <v>1</v>
      </c>
      <c r="F1122" s="135" t="s">
        <v>1449</v>
      </c>
      <c r="G1122" s="185" t="s">
        <v>15</v>
      </c>
      <c r="H1122" s="185" t="s">
        <v>15</v>
      </c>
      <c r="I1122" s="185" t="s">
        <v>15</v>
      </c>
      <c r="J1122" s="135" t="s">
        <v>1450</v>
      </c>
      <c r="K1122" s="186">
        <v>744</v>
      </c>
      <c r="L1122" s="187" t="s">
        <v>173</v>
      </c>
      <c r="M1122" s="187" t="s">
        <v>175</v>
      </c>
    </row>
    <row r="1123" spans="1:13" s="188" customFormat="1">
      <c r="A1123" s="185" t="s">
        <v>1447</v>
      </c>
      <c r="B1123" s="133" t="s">
        <v>4269</v>
      </c>
      <c r="C1123" s="185" t="s">
        <v>3023</v>
      </c>
      <c r="D1123" s="133" t="s">
        <v>1513</v>
      </c>
      <c r="E1123" s="134">
        <v>1</v>
      </c>
      <c r="F1123" s="135" t="s">
        <v>1449</v>
      </c>
      <c r="G1123" s="185" t="s">
        <v>15</v>
      </c>
      <c r="H1123" s="185" t="s">
        <v>15</v>
      </c>
      <c r="I1123" s="185" t="s">
        <v>15</v>
      </c>
      <c r="J1123" s="135" t="s">
        <v>1450</v>
      </c>
      <c r="K1123" s="186">
        <v>612</v>
      </c>
      <c r="L1123" s="187" t="s">
        <v>173</v>
      </c>
      <c r="M1123" s="187" t="s">
        <v>175</v>
      </c>
    </row>
    <row r="1124" spans="1:13" s="188" customFormat="1">
      <c r="A1124" s="185" t="s">
        <v>1447</v>
      </c>
      <c r="B1124" s="133" t="s">
        <v>4270</v>
      </c>
      <c r="C1124" s="185" t="s">
        <v>3023</v>
      </c>
      <c r="D1124" s="133" t="s">
        <v>1513</v>
      </c>
      <c r="E1124" s="134">
        <v>1</v>
      </c>
      <c r="F1124" s="135" t="s">
        <v>1449</v>
      </c>
      <c r="G1124" s="185" t="s">
        <v>15</v>
      </c>
      <c r="H1124" s="185" t="s">
        <v>15</v>
      </c>
      <c r="I1124" s="185" t="s">
        <v>15</v>
      </c>
      <c r="J1124" s="135" t="s">
        <v>1450</v>
      </c>
      <c r="K1124" s="186">
        <v>540</v>
      </c>
      <c r="L1124" s="187" t="s">
        <v>173</v>
      </c>
      <c r="M1124" s="187" t="s">
        <v>175</v>
      </c>
    </row>
    <row r="1125" spans="1:13" s="188" customFormat="1">
      <c r="A1125" s="185" t="s">
        <v>1447</v>
      </c>
      <c r="B1125" s="133" t="s">
        <v>4271</v>
      </c>
      <c r="C1125" s="185" t="s">
        <v>3023</v>
      </c>
      <c r="D1125" s="133" t="s">
        <v>1513</v>
      </c>
      <c r="E1125" s="134">
        <v>1</v>
      </c>
      <c r="F1125" s="135" t="s">
        <v>1449</v>
      </c>
      <c r="G1125" s="185" t="s">
        <v>15</v>
      </c>
      <c r="H1125" s="185" t="s">
        <v>15</v>
      </c>
      <c r="I1125" s="185" t="s">
        <v>15</v>
      </c>
      <c r="J1125" s="135" t="s">
        <v>1450</v>
      </c>
      <c r="K1125" s="186">
        <v>408</v>
      </c>
      <c r="L1125" s="187" t="s">
        <v>173</v>
      </c>
      <c r="M1125" s="187" t="s">
        <v>175</v>
      </c>
    </row>
    <row r="1126" spans="1:13" s="188" customFormat="1">
      <c r="A1126" s="185" t="s">
        <v>1447</v>
      </c>
      <c r="B1126" s="133" t="s">
        <v>4272</v>
      </c>
      <c r="C1126" s="185" t="s">
        <v>3023</v>
      </c>
      <c r="D1126" s="133" t="s">
        <v>1513</v>
      </c>
      <c r="E1126" s="134">
        <v>1</v>
      </c>
      <c r="F1126" s="135" t="s">
        <v>1449</v>
      </c>
      <c r="G1126" s="185" t="s">
        <v>15</v>
      </c>
      <c r="H1126" s="185" t="s">
        <v>15</v>
      </c>
      <c r="I1126" s="185" t="s">
        <v>15</v>
      </c>
      <c r="J1126" s="135" t="s">
        <v>1450</v>
      </c>
      <c r="K1126" s="186">
        <v>336</v>
      </c>
      <c r="L1126" s="187" t="s">
        <v>173</v>
      </c>
      <c r="M1126" s="187" t="s">
        <v>175</v>
      </c>
    </row>
    <row r="1127" spans="1:13" s="188" customFormat="1">
      <c r="A1127" s="185" t="s">
        <v>1447</v>
      </c>
      <c r="B1127" s="133" t="s">
        <v>4273</v>
      </c>
      <c r="C1127" s="185" t="s">
        <v>3023</v>
      </c>
      <c r="D1127" s="133" t="s">
        <v>1514</v>
      </c>
      <c r="E1127" s="134">
        <v>1</v>
      </c>
      <c r="F1127" s="135" t="s">
        <v>1449</v>
      </c>
      <c r="G1127" s="185" t="s">
        <v>15</v>
      </c>
      <c r="H1127" s="185" t="s">
        <v>15</v>
      </c>
      <c r="I1127" s="185" t="s">
        <v>15</v>
      </c>
      <c r="J1127" s="135" t="s">
        <v>1450</v>
      </c>
      <c r="K1127" s="186">
        <v>15.600000000000001</v>
      </c>
      <c r="L1127" s="187" t="s">
        <v>173</v>
      </c>
      <c r="M1127" s="187" t="s">
        <v>175</v>
      </c>
    </row>
    <row r="1128" spans="1:13" s="188" customFormat="1">
      <c r="A1128" s="185" t="s">
        <v>1447</v>
      </c>
      <c r="B1128" s="133" t="s">
        <v>4274</v>
      </c>
      <c r="C1128" s="185" t="s">
        <v>3023</v>
      </c>
      <c r="D1128" s="133" t="s">
        <v>1515</v>
      </c>
      <c r="E1128" s="134">
        <v>1</v>
      </c>
      <c r="F1128" s="135" t="s">
        <v>1449</v>
      </c>
      <c r="G1128" s="185" t="s">
        <v>15</v>
      </c>
      <c r="H1128" s="185" t="s">
        <v>15</v>
      </c>
      <c r="I1128" s="185" t="s">
        <v>15</v>
      </c>
      <c r="J1128" s="135" t="s">
        <v>1450</v>
      </c>
      <c r="K1128" s="186">
        <v>1188</v>
      </c>
      <c r="L1128" s="187" t="s">
        <v>173</v>
      </c>
      <c r="M1128" s="187" t="s">
        <v>175</v>
      </c>
    </row>
    <row r="1129" spans="1:13" s="188" customFormat="1">
      <c r="A1129" s="185" t="s">
        <v>1447</v>
      </c>
      <c r="B1129" s="133" t="s">
        <v>4275</v>
      </c>
      <c r="C1129" s="185" t="s">
        <v>3023</v>
      </c>
      <c r="D1129" s="133" t="s">
        <v>1515</v>
      </c>
      <c r="E1129" s="134">
        <v>1</v>
      </c>
      <c r="F1129" s="135" t="s">
        <v>1449</v>
      </c>
      <c r="G1129" s="185" t="s">
        <v>15</v>
      </c>
      <c r="H1129" s="185" t="s">
        <v>15</v>
      </c>
      <c r="I1129" s="185" t="s">
        <v>15</v>
      </c>
      <c r="J1129" s="135" t="s">
        <v>1450</v>
      </c>
      <c r="K1129" s="186">
        <v>936</v>
      </c>
      <c r="L1129" s="187" t="s">
        <v>173</v>
      </c>
      <c r="M1129" s="187" t="s">
        <v>175</v>
      </c>
    </row>
    <row r="1130" spans="1:13" s="188" customFormat="1">
      <c r="A1130" s="185" t="s">
        <v>1447</v>
      </c>
      <c r="B1130" s="133" t="s">
        <v>4276</v>
      </c>
      <c r="C1130" s="185" t="s">
        <v>3023</v>
      </c>
      <c r="D1130" s="133" t="s">
        <v>1515</v>
      </c>
      <c r="E1130" s="134">
        <v>1</v>
      </c>
      <c r="F1130" s="135" t="s">
        <v>1449</v>
      </c>
      <c r="G1130" s="185" t="s">
        <v>15</v>
      </c>
      <c r="H1130" s="185" t="s">
        <v>15</v>
      </c>
      <c r="I1130" s="185" t="s">
        <v>15</v>
      </c>
      <c r="J1130" s="135" t="s">
        <v>1450</v>
      </c>
      <c r="K1130" s="186">
        <v>744</v>
      </c>
      <c r="L1130" s="187" t="s">
        <v>173</v>
      </c>
      <c r="M1130" s="187" t="s">
        <v>175</v>
      </c>
    </row>
    <row r="1131" spans="1:13" s="188" customFormat="1">
      <c r="A1131" s="185" t="s">
        <v>1447</v>
      </c>
      <c r="B1131" s="133" t="s">
        <v>4277</v>
      </c>
      <c r="C1131" s="185" t="s">
        <v>3023</v>
      </c>
      <c r="D1131" s="133" t="s">
        <v>1515</v>
      </c>
      <c r="E1131" s="134">
        <v>1</v>
      </c>
      <c r="F1131" s="135" t="s">
        <v>1449</v>
      </c>
      <c r="G1131" s="185" t="s">
        <v>15</v>
      </c>
      <c r="H1131" s="185" t="s">
        <v>15</v>
      </c>
      <c r="I1131" s="185" t="s">
        <v>15</v>
      </c>
      <c r="J1131" s="135" t="s">
        <v>1450</v>
      </c>
      <c r="K1131" s="186">
        <v>624</v>
      </c>
      <c r="L1131" s="187" t="s">
        <v>173</v>
      </c>
      <c r="M1131" s="187" t="s">
        <v>175</v>
      </c>
    </row>
    <row r="1132" spans="1:13" s="188" customFormat="1">
      <c r="A1132" s="185" t="s">
        <v>1447</v>
      </c>
      <c r="B1132" s="133" t="s">
        <v>4278</v>
      </c>
      <c r="C1132" s="185" t="s">
        <v>3023</v>
      </c>
      <c r="D1132" s="133" t="s">
        <v>1515</v>
      </c>
      <c r="E1132" s="134">
        <v>1</v>
      </c>
      <c r="F1132" s="135" t="s">
        <v>1449</v>
      </c>
      <c r="G1132" s="185" t="s">
        <v>15</v>
      </c>
      <c r="H1132" s="185" t="s">
        <v>15</v>
      </c>
      <c r="I1132" s="185" t="s">
        <v>15</v>
      </c>
      <c r="J1132" s="135" t="s">
        <v>1450</v>
      </c>
      <c r="K1132" s="186">
        <v>504</v>
      </c>
      <c r="L1132" s="187" t="s">
        <v>173</v>
      </c>
      <c r="M1132" s="187" t="s">
        <v>175</v>
      </c>
    </row>
    <row r="1133" spans="1:13" s="188" customFormat="1">
      <c r="A1133" s="185" t="s">
        <v>1447</v>
      </c>
      <c r="B1133" s="133" t="s">
        <v>4279</v>
      </c>
      <c r="C1133" s="185" t="s">
        <v>3023</v>
      </c>
      <c r="D1133" s="133" t="s">
        <v>4280</v>
      </c>
      <c r="E1133" s="134">
        <v>1</v>
      </c>
      <c r="F1133" s="135" t="s">
        <v>1449</v>
      </c>
      <c r="G1133" s="185" t="s">
        <v>15</v>
      </c>
      <c r="H1133" s="185" t="s">
        <v>15</v>
      </c>
      <c r="I1133" s="185" t="s">
        <v>15</v>
      </c>
      <c r="J1133" s="135" t="s">
        <v>1450</v>
      </c>
      <c r="K1133" s="186">
        <v>936</v>
      </c>
      <c r="L1133" s="187" t="s">
        <v>173</v>
      </c>
      <c r="M1133" s="187" t="s">
        <v>175</v>
      </c>
    </row>
    <row r="1134" spans="1:13" s="188" customFormat="1">
      <c r="A1134" s="185" t="s">
        <v>1447</v>
      </c>
      <c r="B1134" s="133" t="s">
        <v>4281</v>
      </c>
      <c r="C1134" s="185" t="s">
        <v>3023</v>
      </c>
      <c r="D1134" s="133" t="s">
        <v>4280</v>
      </c>
      <c r="E1134" s="134">
        <v>1</v>
      </c>
      <c r="F1134" s="135" t="s">
        <v>1449</v>
      </c>
      <c r="G1134" s="185" t="s">
        <v>15</v>
      </c>
      <c r="H1134" s="185" t="s">
        <v>15</v>
      </c>
      <c r="I1134" s="185" t="s">
        <v>15</v>
      </c>
      <c r="J1134" s="135" t="s">
        <v>1450</v>
      </c>
      <c r="K1134" s="186">
        <v>744</v>
      </c>
      <c r="L1134" s="187" t="s">
        <v>173</v>
      </c>
      <c r="M1134" s="187" t="s">
        <v>175</v>
      </c>
    </row>
    <row r="1135" spans="1:13" s="188" customFormat="1">
      <c r="A1135" s="185" t="s">
        <v>1447</v>
      </c>
      <c r="B1135" s="133" t="s">
        <v>4282</v>
      </c>
      <c r="C1135" s="185" t="s">
        <v>3023</v>
      </c>
      <c r="D1135" s="133" t="s">
        <v>4280</v>
      </c>
      <c r="E1135" s="134">
        <v>1</v>
      </c>
      <c r="F1135" s="135" t="s">
        <v>1449</v>
      </c>
      <c r="G1135" s="185" t="s">
        <v>15</v>
      </c>
      <c r="H1135" s="185" t="s">
        <v>15</v>
      </c>
      <c r="I1135" s="185" t="s">
        <v>15</v>
      </c>
      <c r="J1135" s="135" t="s">
        <v>1450</v>
      </c>
      <c r="K1135" s="186">
        <v>660</v>
      </c>
      <c r="L1135" s="187" t="s">
        <v>173</v>
      </c>
      <c r="M1135" s="187" t="s">
        <v>175</v>
      </c>
    </row>
    <row r="1136" spans="1:13" s="188" customFormat="1">
      <c r="A1136" s="185" t="s">
        <v>1447</v>
      </c>
      <c r="B1136" s="133" t="s">
        <v>4283</v>
      </c>
      <c r="C1136" s="185" t="s">
        <v>3023</v>
      </c>
      <c r="D1136" s="133" t="s">
        <v>4280</v>
      </c>
      <c r="E1136" s="134">
        <v>1</v>
      </c>
      <c r="F1136" s="135" t="s">
        <v>1449</v>
      </c>
      <c r="G1136" s="185" t="s">
        <v>15</v>
      </c>
      <c r="H1136" s="185" t="s">
        <v>15</v>
      </c>
      <c r="I1136" s="185" t="s">
        <v>15</v>
      </c>
      <c r="J1136" s="135" t="s">
        <v>1450</v>
      </c>
      <c r="K1136" s="186">
        <v>588</v>
      </c>
      <c r="L1136" s="187" t="s">
        <v>173</v>
      </c>
      <c r="M1136" s="187" t="s">
        <v>175</v>
      </c>
    </row>
    <row r="1137" spans="1:13" s="188" customFormat="1">
      <c r="A1137" s="185" t="s">
        <v>1447</v>
      </c>
      <c r="B1137" s="133" t="s">
        <v>4284</v>
      </c>
      <c r="C1137" s="185" t="s">
        <v>3023</v>
      </c>
      <c r="D1137" s="133" t="s">
        <v>4285</v>
      </c>
      <c r="E1137" s="134">
        <v>1</v>
      </c>
      <c r="F1137" s="135" t="s">
        <v>1449</v>
      </c>
      <c r="G1137" s="185" t="s">
        <v>15</v>
      </c>
      <c r="H1137" s="185" t="s">
        <v>15</v>
      </c>
      <c r="I1137" s="185" t="s">
        <v>15</v>
      </c>
      <c r="J1137" s="135" t="s">
        <v>1450</v>
      </c>
      <c r="K1137" s="186">
        <v>49800</v>
      </c>
      <c r="L1137" s="187" t="s">
        <v>173</v>
      </c>
      <c r="M1137" s="187" t="s">
        <v>175</v>
      </c>
    </row>
    <row r="1138" spans="1:13" s="188" customFormat="1">
      <c r="A1138" s="185" t="s">
        <v>1447</v>
      </c>
      <c r="B1138" s="133" t="s">
        <v>4286</v>
      </c>
      <c r="C1138" s="185" t="s">
        <v>3023</v>
      </c>
      <c r="D1138" s="133" t="s">
        <v>4285</v>
      </c>
      <c r="E1138" s="134">
        <v>1</v>
      </c>
      <c r="F1138" s="135" t="s">
        <v>1449</v>
      </c>
      <c r="G1138" s="185" t="s">
        <v>15</v>
      </c>
      <c r="H1138" s="185" t="s">
        <v>15</v>
      </c>
      <c r="I1138" s="185" t="s">
        <v>15</v>
      </c>
      <c r="J1138" s="135" t="s">
        <v>1450</v>
      </c>
      <c r="K1138" s="186">
        <v>32376</v>
      </c>
      <c r="L1138" s="187" t="s">
        <v>173</v>
      </c>
      <c r="M1138" s="187" t="s">
        <v>175</v>
      </c>
    </row>
    <row r="1139" spans="1:13" s="188" customFormat="1">
      <c r="A1139" s="185" t="s">
        <v>1447</v>
      </c>
      <c r="B1139" s="133" t="s">
        <v>4287</v>
      </c>
      <c r="C1139" s="185" t="s">
        <v>3023</v>
      </c>
      <c r="D1139" s="133" t="s">
        <v>4285</v>
      </c>
      <c r="E1139" s="134">
        <v>1</v>
      </c>
      <c r="F1139" s="135" t="s">
        <v>1449</v>
      </c>
      <c r="G1139" s="185" t="s">
        <v>15</v>
      </c>
      <c r="H1139" s="185" t="s">
        <v>15</v>
      </c>
      <c r="I1139" s="185" t="s">
        <v>15</v>
      </c>
      <c r="J1139" s="135" t="s">
        <v>1450</v>
      </c>
      <c r="K1139" s="186">
        <v>22416</v>
      </c>
      <c r="L1139" s="187" t="s">
        <v>173</v>
      </c>
      <c r="M1139" s="187" t="s">
        <v>175</v>
      </c>
    </row>
    <row r="1140" spans="1:13" s="188" customFormat="1">
      <c r="A1140" s="185" t="s">
        <v>1447</v>
      </c>
      <c r="B1140" s="133" t="s">
        <v>4288</v>
      </c>
      <c r="C1140" s="185" t="s">
        <v>3023</v>
      </c>
      <c r="D1140" s="133" t="s">
        <v>4285</v>
      </c>
      <c r="E1140" s="134">
        <v>1</v>
      </c>
      <c r="F1140" s="135" t="s">
        <v>1449</v>
      </c>
      <c r="G1140" s="185" t="s">
        <v>15</v>
      </c>
      <c r="H1140" s="185" t="s">
        <v>15</v>
      </c>
      <c r="I1140" s="185" t="s">
        <v>15</v>
      </c>
      <c r="J1140" s="135" t="s">
        <v>1450</v>
      </c>
      <c r="K1140" s="186">
        <v>16812</v>
      </c>
      <c r="L1140" s="187" t="s">
        <v>173</v>
      </c>
      <c r="M1140" s="187" t="s">
        <v>175</v>
      </c>
    </row>
    <row r="1141" spans="1:13" s="188" customFormat="1">
      <c r="A1141" s="185" t="s">
        <v>1447</v>
      </c>
      <c r="B1141" s="133" t="s">
        <v>4289</v>
      </c>
      <c r="C1141" s="185" t="s">
        <v>3023</v>
      </c>
      <c r="D1141" s="133" t="s">
        <v>4285</v>
      </c>
      <c r="E1141" s="134">
        <v>1</v>
      </c>
      <c r="F1141" s="135" t="s">
        <v>1449</v>
      </c>
      <c r="G1141" s="185" t="s">
        <v>15</v>
      </c>
      <c r="H1141" s="185" t="s">
        <v>15</v>
      </c>
      <c r="I1141" s="185" t="s">
        <v>15</v>
      </c>
      <c r="J1141" s="135" t="s">
        <v>1450</v>
      </c>
      <c r="K1141" s="186">
        <v>13068</v>
      </c>
      <c r="L1141" s="187" t="s">
        <v>173</v>
      </c>
      <c r="M1141" s="187" t="s">
        <v>175</v>
      </c>
    </row>
    <row r="1142" spans="1:13" s="188" customFormat="1">
      <c r="A1142" s="185" t="s">
        <v>1447</v>
      </c>
      <c r="B1142" s="133" t="s">
        <v>4290</v>
      </c>
      <c r="C1142" s="185" t="s">
        <v>3023</v>
      </c>
      <c r="D1142" s="133" t="s">
        <v>4291</v>
      </c>
      <c r="E1142" s="134">
        <v>1</v>
      </c>
      <c r="F1142" s="135" t="s">
        <v>1449</v>
      </c>
      <c r="G1142" s="185" t="s">
        <v>15</v>
      </c>
      <c r="H1142" s="185" t="s">
        <v>15</v>
      </c>
      <c r="I1142" s="185" t="s">
        <v>15</v>
      </c>
      <c r="J1142" s="135" t="s">
        <v>1450</v>
      </c>
      <c r="K1142" s="186">
        <v>940</v>
      </c>
      <c r="L1142" s="187" t="s">
        <v>173</v>
      </c>
      <c r="M1142" s="187" t="s">
        <v>175</v>
      </c>
    </row>
    <row r="1143" spans="1:13" s="188" customFormat="1">
      <c r="A1143" s="185" t="s">
        <v>1447</v>
      </c>
      <c r="B1143" s="133" t="s">
        <v>4292</v>
      </c>
      <c r="C1143" s="185" t="s">
        <v>3023</v>
      </c>
      <c r="D1143" s="133" t="s">
        <v>4291</v>
      </c>
      <c r="E1143" s="134">
        <v>1</v>
      </c>
      <c r="F1143" s="135" t="s">
        <v>1449</v>
      </c>
      <c r="G1143" s="185" t="s">
        <v>15</v>
      </c>
      <c r="H1143" s="185" t="s">
        <v>15</v>
      </c>
      <c r="I1143" s="185" t="s">
        <v>15</v>
      </c>
      <c r="J1143" s="135" t="s">
        <v>1450</v>
      </c>
      <c r="K1143" s="186">
        <v>825</v>
      </c>
      <c r="L1143" s="187" t="s">
        <v>173</v>
      </c>
      <c r="M1143" s="187" t="s">
        <v>175</v>
      </c>
    </row>
    <row r="1144" spans="1:13" s="188" customFormat="1">
      <c r="A1144" s="185" t="s">
        <v>1447</v>
      </c>
      <c r="B1144" s="133" t="s">
        <v>4293</v>
      </c>
      <c r="C1144" s="185" t="s">
        <v>3023</v>
      </c>
      <c r="D1144" s="133" t="s">
        <v>4291</v>
      </c>
      <c r="E1144" s="134">
        <v>1</v>
      </c>
      <c r="F1144" s="135" t="s">
        <v>1449</v>
      </c>
      <c r="G1144" s="185" t="s">
        <v>15</v>
      </c>
      <c r="H1144" s="185" t="s">
        <v>15</v>
      </c>
      <c r="I1144" s="185" t="s">
        <v>15</v>
      </c>
      <c r="J1144" s="135" t="s">
        <v>1450</v>
      </c>
      <c r="K1144" s="186">
        <v>725</v>
      </c>
      <c r="L1144" s="187" t="s">
        <v>173</v>
      </c>
      <c r="M1144" s="187" t="s">
        <v>175</v>
      </c>
    </row>
    <row r="1145" spans="1:13" s="188" customFormat="1">
      <c r="A1145" s="185" t="s">
        <v>1447</v>
      </c>
      <c r="B1145" s="133" t="s">
        <v>4294</v>
      </c>
      <c r="C1145" s="185" t="s">
        <v>3023</v>
      </c>
      <c r="D1145" s="133" t="s">
        <v>4291</v>
      </c>
      <c r="E1145" s="134">
        <v>1</v>
      </c>
      <c r="F1145" s="135" t="s">
        <v>1449</v>
      </c>
      <c r="G1145" s="185" t="s">
        <v>15</v>
      </c>
      <c r="H1145" s="185" t="s">
        <v>15</v>
      </c>
      <c r="I1145" s="185" t="s">
        <v>15</v>
      </c>
      <c r="J1145" s="135" t="s">
        <v>1450</v>
      </c>
      <c r="K1145" s="186">
        <v>680</v>
      </c>
      <c r="L1145" s="187" t="s">
        <v>173</v>
      </c>
      <c r="M1145" s="187" t="s">
        <v>175</v>
      </c>
    </row>
    <row r="1146" spans="1:13" s="188" customFormat="1">
      <c r="A1146" s="185" t="s">
        <v>1447</v>
      </c>
      <c r="B1146" s="133" t="s">
        <v>4295</v>
      </c>
      <c r="C1146" s="185" t="s">
        <v>3023</v>
      </c>
      <c r="D1146" s="133" t="s">
        <v>1517</v>
      </c>
      <c r="E1146" s="134">
        <v>1</v>
      </c>
      <c r="F1146" s="135" t="s">
        <v>1449</v>
      </c>
      <c r="G1146" s="185" t="s">
        <v>15</v>
      </c>
      <c r="H1146" s="185" t="s">
        <v>15</v>
      </c>
      <c r="I1146" s="185" t="s">
        <v>15</v>
      </c>
      <c r="J1146" s="135" t="s">
        <v>1450</v>
      </c>
      <c r="K1146" s="186">
        <v>94032</v>
      </c>
      <c r="L1146" s="187" t="s">
        <v>173</v>
      </c>
      <c r="M1146" s="187" t="s">
        <v>175</v>
      </c>
    </row>
    <row r="1147" spans="1:13" s="188" customFormat="1">
      <c r="A1147" s="185" t="s">
        <v>1447</v>
      </c>
      <c r="B1147" s="133" t="s">
        <v>4296</v>
      </c>
      <c r="C1147" s="185" t="s">
        <v>3023</v>
      </c>
      <c r="D1147" s="133" t="s">
        <v>1518</v>
      </c>
      <c r="E1147" s="134">
        <v>1</v>
      </c>
      <c r="F1147" s="135" t="s">
        <v>1449</v>
      </c>
      <c r="G1147" s="185" t="s">
        <v>15</v>
      </c>
      <c r="H1147" s="185" t="s">
        <v>15</v>
      </c>
      <c r="I1147" s="185" t="s">
        <v>15</v>
      </c>
      <c r="J1147" s="135" t="s">
        <v>1450</v>
      </c>
      <c r="K1147" s="186">
        <v>14940</v>
      </c>
      <c r="L1147" s="187" t="s">
        <v>173</v>
      </c>
      <c r="M1147" s="187" t="s">
        <v>175</v>
      </c>
    </row>
    <row r="1148" spans="1:13" s="188" customFormat="1">
      <c r="A1148" s="185" t="s">
        <v>1447</v>
      </c>
      <c r="B1148" s="133" t="s">
        <v>4297</v>
      </c>
      <c r="C1148" s="185" t="s">
        <v>3023</v>
      </c>
      <c r="D1148" s="133" t="s">
        <v>1518</v>
      </c>
      <c r="E1148" s="134">
        <v>1</v>
      </c>
      <c r="F1148" s="135" t="s">
        <v>1449</v>
      </c>
      <c r="G1148" s="185" t="s">
        <v>15</v>
      </c>
      <c r="H1148" s="185" t="s">
        <v>15</v>
      </c>
      <c r="I1148" s="185" t="s">
        <v>15</v>
      </c>
      <c r="J1148" s="135" t="s">
        <v>1450</v>
      </c>
      <c r="K1148" s="186">
        <v>9816</v>
      </c>
      <c r="L1148" s="187" t="s">
        <v>173</v>
      </c>
      <c r="M1148" s="187" t="s">
        <v>175</v>
      </c>
    </row>
    <row r="1149" spans="1:13" s="188" customFormat="1">
      <c r="A1149" s="185" t="s">
        <v>1447</v>
      </c>
      <c r="B1149" s="133" t="s">
        <v>4298</v>
      </c>
      <c r="C1149" s="185" t="s">
        <v>3023</v>
      </c>
      <c r="D1149" s="133" t="s">
        <v>1518</v>
      </c>
      <c r="E1149" s="134">
        <v>1</v>
      </c>
      <c r="F1149" s="135" t="s">
        <v>1449</v>
      </c>
      <c r="G1149" s="185" t="s">
        <v>15</v>
      </c>
      <c r="H1149" s="185" t="s">
        <v>15</v>
      </c>
      <c r="I1149" s="185" t="s">
        <v>15</v>
      </c>
      <c r="J1149" s="135" t="s">
        <v>1450</v>
      </c>
      <c r="K1149" s="186">
        <v>8712</v>
      </c>
      <c r="L1149" s="187" t="s">
        <v>173</v>
      </c>
      <c r="M1149" s="187" t="s">
        <v>175</v>
      </c>
    </row>
    <row r="1150" spans="1:13" s="188" customFormat="1">
      <c r="A1150" s="185" t="s">
        <v>1447</v>
      </c>
      <c r="B1150" s="133" t="s">
        <v>4299</v>
      </c>
      <c r="C1150" s="185" t="s">
        <v>3023</v>
      </c>
      <c r="D1150" s="133" t="s">
        <v>1518</v>
      </c>
      <c r="E1150" s="134">
        <v>1</v>
      </c>
      <c r="F1150" s="135" t="s">
        <v>1449</v>
      </c>
      <c r="G1150" s="185" t="s">
        <v>15</v>
      </c>
      <c r="H1150" s="185" t="s">
        <v>15</v>
      </c>
      <c r="I1150" s="185" t="s">
        <v>15</v>
      </c>
      <c r="J1150" s="135" t="s">
        <v>1450</v>
      </c>
      <c r="K1150" s="186">
        <v>8400</v>
      </c>
      <c r="L1150" s="187" t="s">
        <v>173</v>
      </c>
      <c r="M1150" s="187" t="s">
        <v>175</v>
      </c>
    </row>
    <row r="1151" spans="1:13" s="188" customFormat="1">
      <c r="A1151" s="185" t="s">
        <v>1447</v>
      </c>
      <c r="B1151" s="133" t="s">
        <v>4300</v>
      </c>
      <c r="C1151" s="185" t="s">
        <v>3023</v>
      </c>
      <c r="D1151" s="133" t="s">
        <v>1518</v>
      </c>
      <c r="E1151" s="134">
        <v>1</v>
      </c>
      <c r="F1151" s="135" t="s">
        <v>1449</v>
      </c>
      <c r="G1151" s="185" t="s">
        <v>15</v>
      </c>
      <c r="H1151" s="185" t="s">
        <v>15</v>
      </c>
      <c r="I1151" s="185" t="s">
        <v>15</v>
      </c>
      <c r="J1151" s="135" t="s">
        <v>1450</v>
      </c>
      <c r="K1151" s="186">
        <v>7080</v>
      </c>
      <c r="L1151" s="187" t="s">
        <v>173</v>
      </c>
      <c r="M1151" s="187" t="s">
        <v>175</v>
      </c>
    </row>
    <row r="1152" spans="1:13" s="188" customFormat="1">
      <c r="A1152" s="185" t="s">
        <v>1447</v>
      </c>
      <c r="B1152" s="133" t="s">
        <v>4301</v>
      </c>
      <c r="C1152" s="185" t="s">
        <v>3023</v>
      </c>
      <c r="D1152" s="133" t="s">
        <v>1519</v>
      </c>
      <c r="E1152" s="134">
        <v>1</v>
      </c>
      <c r="F1152" s="135" t="s">
        <v>1449</v>
      </c>
      <c r="G1152" s="185" t="s">
        <v>15</v>
      </c>
      <c r="H1152" s="185" t="s">
        <v>15</v>
      </c>
      <c r="I1152" s="185" t="s">
        <v>15</v>
      </c>
      <c r="J1152" s="135" t="s">
        <v>1450</v>
      </c>
      <c r="K1152" s="186">
        <v>56028</v>
      </c>
      <c r="L1152" s="187" t="s">
        <v>173</v>
      </c>
      <c r="M1152" s="187" t="s">
        <v>175</v>
      </c>
    </row>
    <row r="1153" spans="1:13" s="188" customFormat="1">
      <c r="A1153" s="185" t="s">
        <v>1447</v>
      </c>
      <c r="B1153" s="133" t="s">
        <v>4302</v>
      </c>
      <c r="C1153" s="185" t="s">
        <v>3023</v>
      </c>
      <c r="D1153" s="133" t="s">
        <v>1520</v>
      </c>
      <c r="E1153" s="134">
        <v>1</v>
      </c>
      <c r="F1153" s="135" t="s">
        <v>1449</v>
      </c>
      <c r="G1153" s="185" t="s">
        <v>15</v>
      </c>
      <c r="H1153" s="185" t="s">
        <v>15</v>
      </c>
      <c r="I1153" s="185" t="s">
        <v>15</v>
      </c>
      <c r="J1153" s="135" t="s">
        <v>1450</v>
      </c>
      <c r="K1153" s="186">
        <v>10992</v>
      </c>
      <c r="L1153" s="187" t="s">
        <v>173</v>
      </c>
      <c r="M1153" s="187" t="s">
        <v>175</v>
      </c>
    </row>
    <row r="1154" spans="1:13" s="188" customFormat="1">
      <c r="A1154" s="185" t="s">
        <v>1447</v>
      </c>
      <c r="B1154" s="133" t="s">
        <v>4303</v>
      </c>
      <c r="C1154" s="185" t="s">
        <v>3023</v>
      </c>
      <c r="D1154" s="133" t="s">
        <v>1520</v>
      </c>
      <c r="E1154" s="134">
        <v>1</v>
      </c>
      <c r="F1154" s="135" t="s">
        <v>1449</v>
      </c>
      <c r="G1154" s="185" t="s">
        <v>15</v>
      </c>
      <c r="H1154" s="185" t="s">
        <v>15</v>
      </c>
      <c r="I1154" s="185" t="s">
        <v>15</v>
      </c>
      <c r="J1154" s="135" t="s">
        <v>1450</v>
      </c>
      <c r="K1154" s="186">
        <v>6408</v>
      </c>
      <c r="L1154" s="187" t="s">
        <v>173</v>
      </c>
      <c r="M1154" s="187" t="s">
        <v>175</v>
      </c>
    </row>
    <row r="1155" spans="1:13" s="188" customFormat="1">
      <c r="A1155" s="185" t="s">
        <v>1447</v>
      </c>
      <c r="B1155" s="133" t="s">
        <v>4304</v>
      </c>
      <c r="C1155" s="185" t="s">
        <v>3023</v>
      </c>
      <c r="D1155" s="133" t="s">
        <v>1520</v>
      </c>
      <c r="E1155" s="134">
        <v>1</v>
      </c>
      <c r="F1155" s="135" t="s">
        <v>1449</v>
      </c>
      <c r="G1155" s="185" t="s">
        <v>15</v>
      </c>
      <c r="H1155" s="185" t="s">
        <v>15</v>
      </c>
      <c r="I1155" s="185" t="s">
        <v>15</v>
      </c>
      <c r="J1155" s="135" t="s">
        <v>1450</v>
      </c>
      <c r="K1155" s="186">
        <v>5484</v>
      </c>
      <c r="L1155" s="187" t="s">
        <v>173</v>
      </c>
      <c r="M1155" s="187" t="s">
        <v>175</v>
      </c>
    </row>
    <row r="1156" spans="1:13" s="188" customFormat="1">
      <c r="A1156" s="185" t="s">
        <v>1447</v>
      </c>
      <c r="B1156" s="133" t="s">
        <v>4305</v>
      </c>
      <c r="C1156" s="185" t="s">
        <v>3023</v>
      </c>
      <c r="D1156" s="133" t="s">
        <v>1520</v>
      </c>
      <c r="E1156" s="134">
        <v>1</v>
      </c>
      <c r="F1156" s="135" t="s">
        <v>1449</v>
      </c>
      <c r="G1156" s="185" t="s">
        <v>15</v>
      </c>
      <c r="H1156" s="185" t="s">
        <v>15</v>
      </c>
      <c r="I1156" s="185" t="s">
        <v>15</v>
      </c>
      <c r="J1156" s="135" t="s">
        <v>1450</v>
      </c>
      <c r="K1156" s="186">
        <v>4104</v>
      </c>
      <c r="L1156" s="187" t="s">
        <v>173</v>
      </c>
      <c r="M1156" s="187" t="s">
        <v>175</v>
      </c>
    </row>
    <row r="1157" spans="1:13" s="188" customFormat="1">
      <c r="A1157" s="185" t="s">
        <v>1447</v>
      </c>
      <c r="B1157" s="133" t="s">
        <v>4306</v>
      </c>
      <c r="C1157" s="185" t="s">
        <v>3023</v>
      </c>
      <c r="D1157" s="133" t="s">
        <v>1520</v>
      </c>
      <c r="E1157" s="134">
        <v>1</v>
      </c>
      <c r="F1157" s="135" t="s">
        <v>1449</v>
      </c>
      <c r="G1157" s="185" t="s">
        <v>15</v>
      </c>
      <c r="H1157" s="185" t="s">
        <v>15</v>
      </c>
      <c r="I1157" s="185" t="s">
        <v>15</v>
      </c>
      <c r="J1157" s="135" t="s">
        <v>1450</v>
      </c>
      <c r="K1157" s="186">
        <v>3672</v>
      </c>
      <c r="L1157" s="187" t="s">
        <v>173</v>
      </c>
      <c r="M1157" s="187" t="s">
        <v>175</v>
      </c>
    </row>
    <row r="1158" spans="1:13" s="188" customFormat="1">
      <c r="A1158" s="185" t="s">
        <v>1447</v>
      </c>
      <c r="B1158" s="133" t="s">
        <v>4307</v>
      </c>
      <c r="C1158" s="185" t="s">
        <v>3023</v>
      </c>
      <c r="D1158" s="133" t="s">
        <v>4308</v>
      </c>
      <c r="E1158" s="134">
        <v>1</v>
      </c>
      <c r="F1158" s="135" t="s">
        <v>1449</v>
      </c>
      <c r="G1158" s="185" t="s">
        <v>15</v>
      </c>
      <c r="H1158" s="185" t="s">
        <v>15</v>
      </c>
      <c r="I1158" s="185" t="s">
        <v>15</v>
      </c>
      <c r="J1158" s="135" t="s">
        <v>1450</v>
      </c>
      <c r="K1158" s="186">
        <v>94032</v>
      </c>
      <c r="L1158" s="187" t="s">
        <v>173</v>
      </c>
      <c r="M1158" s="187" t="s">
        <v>175</v>
      </c>
    </row>
    <row r="1159" spans="1:13" s="188" customFormat="1">
      <c r="A1159" s="185" t="s">
        <v>1447</v>
      </c>
      <c r="B1159" s="133" t="s">
        <v>4309</v>
      </c>
      <c r="C1159" s="185" t="s">
        <v>3023</v>
      </c>
      <c r="D1159" s="133" t="s">
        <v>4310</v>
      </c>
      <c r="E1159" s="134">
        <v>1</v>
      </c>
      <c r="F1159" s="135" t="s">
        <v>1449</v>
      </c>
      <c r="G1159" s="185" t="s">
        <v>15</v>
      </c>
      <c r="H1159" s="185" t="s">
        <v>15</v>
      </c>
      <c r="I1159" s="185" t="s">
        <v>15</v>
      </c>
      <c r="J1159" s="135" t="s">
        <v>1450</v>
      </c>
      <c r="K1159" s="186">
        <v>14940</v>
      </c>
      <c r="L1159" s="187" t="s">
        <v>173</v>
      </c>
      <c r="M1159" s="187" t="s">
        <v>175</v>
      </c>
    </row>
    <row r="1160" spans="1:13" s="188" customFormat="1">
      <c r="A1160" s="185" t="s">
        <v>1447</v>
      </c>
      <c r="B1160" s="133" t="s">
        <v>4311</v>
      </c>
      <c r="C1160" s="185" t="s">
        <v>3023</v>
      </c>
      <c r="D1160" s="133" t="s">
        <v>4310</v>
      </c>
      <c r="E1160" s="134">
        <v>1</v>
      </c>
      <c r="F1160" s="135" t="s">
        <v>1449</v>
      </c>
      <c r="G1160" s="185" t="s">
        <v>15</v>
      </c>
      <c r="H1160" s="185" t="s">
        <v>15</v>
      </c>
      <c r="I1160" s="185" t="s">
        <v>15</v>
      </c>
      <c r="J1160" s="135" t="s">
        <v>1450</v>
      </c>
      <c r="K1160" s="186">
        <v>9816</v>
      </c>
      <c r="L1160" s="187" t="s">
        <v>173</v>
      </c>
      <c r="M1160" s="187" t="s">
        <v>175</v>
      </c>
    </row>
    <row r="1161" spans="1:13" s="188" customFormat="1">
      <c r="A1161" s="185" t="s">
        <v>1447</v>
      </c>
      <c r="B1161" s="133" t="s">
        <v>4312</v>
      </c>
      <c r="C1161" s="185" t="s">
        <v>3023</v>
      </c>
      <c r="D1161" s="133" t="s">
        <v>4310</v>
      </c>
      <c r="E1161" s="134">
        <v>1</v>
      </c>
      <c r="F1161" s="135" t="s">
        <v>1449</v>
      </c>
      <c r="G1161" s="185" t="s">
        <v>15</v>
      </c>
      <c r="H1161" s="185" t="s">
        <v>15</v>
      </c>
      <c r="I1161" s="185" t="s">
        <v>15</v>
      </c>
      <c r="J1161" s="135" t="s">
        <v>1450</v>
      </c>
      <c r="K1161" s="186">
        <v>8712</v>
      </c>
      <c r="L1161" s="187" t="s">
        <v>173</v>
      </c>
      <c r="M1161" s="187" t="s">
        <v>175</v>
      </c>
    </row>
    <row r="1162" spans="1:13" s="188" customFormat="1">
      <c r="A1162" s="185" t="s">
        <v>1447</v>
      </c>
      <c r="B1162" s="133" t="s">
        <v>4313</v>
      </c>
      <c r="C1162" s="185" t="s">
        <v>3023</v>
      </c>
      <c r="D1162" s="133" t="s">
        <v>4310</v>
      </c>
      <c r="E1162" s="134">
        <v>1</v>
      </c>
      <c r="F1162" s="135" t="s">
        <v>1449</v>
      </c>
      <c r="G1162" s="185" t="s">
        <v>15</v>
      </c>
      <c r="H1162" s="185" t="s">
        <v>15</v>
      </c>
      <c r="I1162" s="185" t="s">
        <v>15</v>
      </c>
      <c r="J1162" s="135" t="s">
        <v>1450</v>
      </c>
      <c r="K1162" s="186">
        <v>6300</v>
      </c>
      <c r="L1162" s="187" t="s">
        <v>173</v>
      </c>
      <c r="M1162" s="187" t="s">
        <v>175</v>
      </c>
    </row>
    <row r="1163" spans="1:13" s="188" customFormat="1">
      <c r="A1163" s="185" t="s">
        <v>1447</v>
      </c>
      <c r="B1163" s="133" t="s">
        <v>4314</v>
      </c>
      <c r="C1163" s="185" t="s">
        <v>3023</v>
      </c>
      <c r="D1163" s="133" t="s">
        <v>4310</v>
      </c>
      <c r="E1163" s="134">
        <v>1</v>
      </c>
      <c r="F1163" s="135" t="s">
        <v>1449</v>
      </c>
      <c r="G1163" s="185" t="s">
        <v>15</v>
      </c>
      <c r="H1163" s="185" t="s">
        <v>15</v>
      </c>
      <c r="I1163" s="185" t="s">
        <v>15</v>
      </c>
      <c r="J1163" s="135" t="s">
        <v>1450</v>
      </c>
      <c r="K1163" s="186">
        <v>5448</v>
      </c>
      <c r="L1163" s="187" t="s">
        <v>173</v>
      </c>
      <c r="M1163" s="187" t="s">
        <v>175</v>
      </c>
    </row>
    <row r="1164" spans="1:13" s="188" customFormat="1">
      <c r="A1164" s="185" t="s">
        <v>1447</v>
      </c>
      <c r="B1164" s="133" t="s">
        <v>4315</v>
      </c>
      <c r="C1164" s="185" t="s">
        <v>3023</v>
      </c>
      <c r="D1164" s="133" t="s">
        <v>1521</v>
      </c>
      <c r="E1164" s="134">
        <v>1</v>
      </c>
      <c r="F1164" s="135" t="s">
        <v>1449</v>
      </c>
      <c r="G1164" s="185" t="s">
        <v>15</v>
      </c>
      <c r="H1164" s="185" t="s">
        <v>15</v>
      </c>
      <c r="I1164" s="185" t="s">
        <v>15</v>
      </c>
      <c r="J1164" s="135" t="s">
        <v>1450</v>
      </c>
      <c r="K1164" s="186">
        <v>94032</v>
      </c>
      <c r="L1164" s="187" t="s">
        <v>173</v>
      </c>
      <c r="M1164" s="187" t="s">
        <v>175</v>
      </c>
    </row>
    <row r="1165" spans="1:13" s="188" customFormat="1">
      <c r="A1165" s="185" t="s">
        <v>1447</v>
      </c>
      <c r="B1165" s="133" t="s">
        <v>4316</v>
      </c>
      <c r="C1165" s="185" t="s">
        <v>3023</v>
      </c>
      <c r="D1165" s="133" t="s">
        <v>1522</v>
      </c>
      <c r="E1165" s="134">
        <v>1</v>
      </c>
      <c r="F1165" s="135" t="s">
        <v>1449</v>
      </c>
      <c r="G1165" s="185" t="s">
        <v>15</v>
      </c>
      <c r="H1165" s="185" t="s">
        <v>15</v>
      </c>
      <c r="I1165" s="185" t="s">
        <v>15</v>
      </c>
      <c r="J1165" s="135" t="s">
        <v>1450</v>
      </c>
      <c r="K1165" s="186">
        <v>14940</v>
      </c>
      <c r="L1165" s="187" t="s">
        <v>173</v>
      </c>
      <c r="M1165" s="187" t="s">
        <v>175</v>
      </c>
    </row>
    <row r="1166" spans="1:13" s="188" customFormat="1">
      <c r="A1166" s="185" t="s">
        <v>1447</v>
      </c>
      <c r="B1166" s="133" t="s">
        <v>4317</v>
      </c>
      <c r="C1166" s="185" t="s">
        <v>3023</v>
      </c>
      <c r="D1166" s="133" t="s">
        <v>1522</v>
      </c>
      <c r="E1166" s="134">
        <v>1</v>
      </c>
      <c r="F1166" s="135" t="s">
        <v>1449</v>
      </c>
      <c r="G1166" s="185" t="s">
        <v>15</v>
      </c>
      <c r="H1166" s="185" t="s">
        <v>15</v>
      </c>
      <c r="I1166" s="185" t="s">
        <v>15</v>
      </c>
      <c r="J1166" s="135" t="s">
        <v>1450</v>
      </c>
      <c r="K1166" s="186">
        <v>9816</v>
      </c>
      <c r="L1166" s="187" t="s">
        <v>173</v>
      </c>
      <c r="M1166" s="187" t="s">
        <v>175</v>
      </c>
    </row>
    <row r="1167" spans="1:13" s="188" customFormat="1">
      <c r="A1167" s="185" t="s">
        <v>1447</v>
      </c>
      <c r="B1167" s="133" t="s">
        <v>4318</v>
      </c>
      <c r="C1167" s="185" t="s">
        <v>3023</v>
      </c>
      <c r="D1167" s="133" t="s">
        <v>1522</v>
      </c>
      <c r="E1167" s="134">
        <v>1</v>
      </c>
      <c r="F1167" s="135" t="s">
        <v>1449</v>
      </c>
      <c r="G1167" s="185" t="s">
        <v>15</v>
      </c>
      <c r="H1167" s="185" t="s">
        <v>15</v>
      </c>
      <c r="I1167" s="185" t="s">
        <v>15</v>
      </c>
      <c r="J1167" s="135" t="s">
        <v>1450</v>
      </c>
      <c r="K1167" s="186">
        <v>8712</v>
      </c>
      <c r="L1167" s="187" t="s">
        <v>173</v>
      </c>
      <c r="M1167" s="187" t="s">
        <v>175</v>
      </c>
    </row>
    <row r="1168" spans="1:13" s="188" customFormat="1">
      <c r="A1168" s="185" t="s">
        <v>1447</v>
      </c>
      <c r="B1168" s="133" t="s">
        <v>4319</v>
      </c>
      <c r="C1168" s="185" t="s">
        <v>3023</v>
      </c>
      <c r="D1168" s="133" t="s">
        <v>1522</v>
      </c>
      <c r="E1168" s="134">
        <v>1</v>
      </c>
      <c r="F1168" s="135" t="s">
        <v>1449</v>
      </c>
      <c r="G1168" s="185" t="s">
        <v>15</v>
      </c>
      <c r="H1168" s="185" t="s">
        <v>15</v>
      </c>
      <c r="I1168" s="185" t="s">
        <v>15</v>
      </c>
      <c r="J1168" s="135" t="s">
        <v>1450</v>
      </c>
      <c r="K1168" s="186">
        <v>6300</v>
      </c>
      <c r="L1168" s="187" t="s">
        <v>173</v>
      </c>
      <c r="M1168" s="187" t="s">
        <v>175</v>
      </c>
    </row>
    <row r="1169" spans="1:13" s="188" customFormat="1">
      <c r="A1169" s="185" t="s">
        <v>1447</v>
      </c>
      <c r="B1169" s="133" t="s">
        <v>4320</v>
      </c>
      <c r="C1169" s="185" t="s">
        <v>3023</v>
      </c>
      <c r="D1169" s="133" t="s">
        <v>1522</v>
      </c>
      <c r="E1169" s="134">
        <v>1</v>
      </c>
      <c r="F1169" s="135" t="s">
        <v>1449</v>
      </c>
      <c r="G1169" s="185" t="s">
        <v>15</v>
      </c>
      <c r="H1169" s="185" t="s">
        <v>15</v>
      </c>
      <c r="I1169" s="185" t="s">
        <v>15</v>
      </c>
      <c r="J1169" s="135" t="s">
        <v>1450</v>
      </c>
      <c r="K1169" s="186">
        <v>5448</v>
      </c>
      <c r="L1169" s="187" t="s">
        <v>173</v>
      </c>
      <c r="M1169" s="187" t="s">
        <v>175</v>
      </c>
    </row>
    <row r="1170" spans="1:13" s="188" customFormat="1">
      <c r="A1170" s="185" t="s">
        <v>1447</v>
      </c>
      <c r="B1170" s="133" t="s">
        <v>4321</v>
      </c>
      <c r="C1170" s="185" t="s">
        <v>3023</v>
      </c>
      <c r="D1170" s="133" t="s">
        <v>1523</v>
      </c>
      <c r="E1170" s="134">
        <v>1</v>
      </c>
      <c r="F1170" s="135" t="s">
        <v>1449</v>
      </c>
      <c r="G1170" s="185" t="s">
        <v>15</v>
      </c>
      <c r="H1170" s="185" t="s">
        <v>15</v>
      </c>
      <c r="I1170" s="185" t="s">
        <v>15</v>
      </c>
      <c r="J1170" s="135" t="s">
        <v>1450</v>
      </c>
      <c r="K1170" s="186">
        <v>97534</v>
      </c>
      <c r="L1170" s="187" t="s">
        <v>173</v>
      </c>
      <c r="M1170" s="187" t="s">
        <v>175</v>
      </c>
    </row>
    <row r="1171" spans="1:13" s="188" customFormat="1">
      <c r="A1171" s="185" t="s">
        <v>1447</v>
      </c>
      <c r="B1171" s="133" t="s">
        <v>4322</v>
      </c>
      <c r="C1171" s="185" t="s">
        <v>3023</v>
      </c>
      <c r="D1171" s="133" t="s">
        <v>1524</v>
      </c>
      <c r="E1171" s="134">
        <v>1</v>
      </c>
      <c r="F1171" s="135" t="s">
        <v>1449</v>
      </c>
      <c r="G1171" s="185" t="s">
        <v>15</v>
      </c>
      <c r="H1171" s="185" t="s">
        <v>15</v>
      </c>
      <c r="I1171" s="185" t="s">
        <v>15</v>
      </c>
      <c r="J1171" s="135" t="s">
        <v>1450</v>
      </c>
      <c r="K1171" s="186">
        <v>1.05</v>
      </c>
      <c r="L1171" s="187" t="s">
        <v>173</v>
      </c>
      <c r="M1171" s="187" t="s">
        <v>175</v>
      </c>
    </row>
    <row r="1172" spans="1:13" s="188" customFormat="1">
      <c r="A1172" s="185" t="s">
        <v>1447</v>
      </c>
      <c r="B1172" s="133" t="s">
        <v>4323</v>
      </c>
      <c r="C1172" s="185" t="s">
        <v>3023</v>
      </c>
      <c r="D1172" s="133" t="s">
        <v>1524</v>
      </c>
      <c r="E1172" s="134">
        <v>1</v>
      </c>
      <c r="F1172" s="135" t="s">
        <v>1449</v>
      </c>
      <c r="G1172" s="185" t="s">
        <v>15</v>
      </c>
      <c r="H1172" s="185" t="s">
        <v>15</v>
      </c>
      <c r="I1172" s="185" t="s">
        <v>15</v>
      </c>
      <c r="J1172" s="135" t="s">
        <v>1450</v>
      </c>
      <c r="K1172" s="186">
        <v>0.86</v>
      </c>
      <c r="L1172" s="187" t="s">
        <v>173</v>
      </c>
      <c r="M1172" s="187" t="s">
        <v>175</v>
      </c>
    </row>
    <row r="1173" spans="1:13" s="188" customFormat="1">
      <c r="A1173" s="185" t="s">
        <v>1447</v>
      </c>
      <c r="B1173" s="133" t="s">
        <v>4324</v>
      </c>
      <c r="C1173" s="185" t="s">
        <v>3023</v>
      </c>
      <c r="D1173" s="133" t="s">
        <v>1524</v>
      </c>
      <c r="E1173" s="134">
        <v>1</v>
      </c>
      <c r="F1173" s="135" t="s">
        <v>1449</v>
      </c>
      <c r="G1173" s="185" t="s">
        <v>15</v>
      </c>
      <c r="H1173" s="185" t="s">
        <v>15</v>
      </c>
      <c r="I1173" s="185" t="s">
        <v>15</v>
      </c>
      <c r="J1173" s="135" t="s">
        <v>1450</v>
      </c>
      <c r="K1173" s="186">
        <v>0.75</v>
      </c>
      <c r="L1173" s="187" t="s">
        <v>173</v>
      </c>
      <c r="M1173" s="187" t="s">
        <v>175</v>
      </c>
    </row>
    <row r="1174" spans="1:13" s="188" customFormat="1">
      <c r="A1174" s="185" t="s">
        <v>1447</v>
      </c>
      <c r="B1174" s="133" t="s">
        <v>4325</v>
      </c>
      <c r="C1174" s="185" t="s">
        <v>3023</v>
      </c>
      <c r="D1174" s="133" t="s">
        <v>1524</v>
      </c>
      <c r="E1174" s="134">
        <v>1</v>
      </c>
      <c r="F1174" s="135" t="s">
        <v>1449</v>
      </c>
      <c r="G1174" s="185" t="s">
        <v>15</v>
      </c>
      <c r="H1174" s="185" t="s">
        <v>15</v>
      </c>
      <c r="I1174" s="185" t="s">
        <v>15</v>
      </c>
      <c r="J1174" s="135" t="s">
        <v>1450</v>
      </c>
      <c r="K1174" s="186">
        <v>0.56000000000000005</v>
      </c>
      <c r="L1174" s="187" t="s">
        <v>173</v>
      </c>
      <c r="M1174" s="187" t="s">
        <v>175</v>
      </c>
    </row>
    <row r="1175" spans="1:13" s="188" customFormat="1">
      <c r="A1175" s="185" t="s">
        <v>1447</v>
      </c>
      <c r="B1175" s="136" t="s">
        <v>4326</v>
      </c>
      <c r="C1175" s="185" t="s">
        <v>3023</v>
      </c>
      <c r="D1175" s="133" t="s">
        <v>1524</v>
      </c>
      <c r="E1175" s="134">
        <v>1</v>
      </c>
      <c r="F1175" s="135" t="s">
        <v>1449</v>
      </c>
      <c r="G1175" s="185" t="s">
        <v>15</v>
      </c>
      <c r="H1175" s="185" t="s">
        <v>15</v>
      </c>
      <c r="I1175" s="185" t="s">
        <v>15</v>
      </c>
      <c r="J1175" s="135" t="s">
        <v>1450</v>
      </c>
      <c r="K1175" s="186">
        <v>0.49</v>
      </c>
      <c r="L1175" s="187" t="s">
        <v>173</v>
      </c>
      <c r="M1175" s="187" t="s">
        <v>175</v>
      </c>
    </row>
    <row r="1176" spans="1:13" s="188" customFormat="1">
      <c r="A1176" s="185" t="s">
        <v>1447</v>
      </c>
      <c r="B1176" s="133" t="s">
        <v>4327</v>
      </c>
      <c r="C1176" s="185" t="s">
        <v>3023</v>
      </c>
      <c r="D1176" s="133" t="s">
        <v>4328</v>
      </c>
      <c r="E1176" s="134">
        <v>1</v>
      </c>
      <c r="F1176" s="135" t="s">
        <v>1449</v>
      </c>
      <c r="G1176" s="185" t="s">
        <v>15</v>
      </c>
      <c r="H1176" s="185" t="s">
        <v>15</v>
      </c>
      <c r="I1176" s="185" t="s">
        <v>15</v>
      </c>
      <c r="J1176" s="135" t="s">
        <v>1450</v>
      </c>
      <c r="K1176" s="186">
        <v>850832</v>
      </c>
      <c r="L1176" s="187" t="s">
        <v>173</v>
      </c>
      <c r="M1176" s="187" t="s">
        <v>175</v>
      </c>
    </row>
    <row r="1177" spans="1:13" s="188" customFormat="1">
      <c r="A1177" s="185" t="s">
        <v>1447</v>
      </c>
      <c r="B1177" s="133" t="s">
        <v>4329</v>
      </c>
      <c r="C1177" s="185" t="s">
        <v>3023</v>
      </c>
      <c r="D1177" s="133" t="s">
        <v>4330</v>
      </c>
      <c r="E1177" s="134">
        <v>1</v>
      </c>
      <c r="F1177" s="135" t="s">
        <v>1449</v>
      </c>
      <c r="G1177" s="185" t="s">
        <v>15</v>
      </c>
      <c r="H1177" s="185" t="s">
        <v>15</v>
      </c>
      <c r="I1177" s="185" t="s">
        <v>15</v>
      </c>
      <c r="J1177" s="135" t="s">
        <v>1450</v>
      </c>
      <c r="K1177" s="186">
        <v>4.8899999999999997</v>
      </c>
      <c r="L1177" s="187" t="s">
        <v>173</v>
      </c>
      <c r="M1177" s="187" t="s">
        <v>175</v>
      </c>
    </row>
    <row r="1178" spans="1:13" s="188" customFormat="1">
      <c r="A1178" s="185" t="s">
        <v>1447</v>
      </c>
      <c r="B1178" s="133" t="s">
        <v>4331</v>
      </c>
      <c r="C1178" s="185" t="s">
        <v>3023</v>
      </c>
      <c r="D1178" s="133" t="s">
        <v>4330</v>
      </c>
      <c r="E1178" s="134">
        <v>1</v>
      </c>
      <c r="F1178" s="135" t="s">
        <v>1449</v>
      </c>
      <c r="G1178" s="185" t="s">
        <v>15</v>
      </c>
      <c r="H1178" s="185" t="s">
        <v>15</v>
      </c>
      <c r="I1178" s="185" t="s">
        <v>15</v>
      </c>
      <c r="J1178" s="135" t="s">
        <v>1450</v>
      </c>
      <c r="K1178" s="186">
        <v>4.03</v>
      </c>
      <c r="L1178" s="187" t="s">
        <v>173</v>
      </c>
      <c r="M1178" s="187" t="s">
        <v>175</v>
      </c>
    </row>
    <row r="1179" spans="1:13" s="188" customFormat="1">
      <c r="A1179" s="185" t="s">
        <v>1447</v>
      </c>
      <c r="B1179" s="133" t="s">
        <v>4332</v>
      </c>
      <c r="C1179" s="185" t="s">
        <v>3023</v>
      </c>
      <c r="D1179" s="133" t="s">
        <v>4330</v>
      </c>
      <c r="E1179" s="134">
        <v>1</v>
      </c>
      <c r="F1179" s="135" t="s">
        <v>1449</v>
      </c>
      <c r="G1179" s="185" t="s">
        <v>15</v>
      </c>
      <c r="H1179" s="185" t="s">
        <v>15</v>
      </c>
      <c r="I1179" s="185" t="s">
        <v>15</v>
      </c>
      <c r="J1179" s="135" t="s">
        <v>1450</v>
      </c>
      <c r="K1179" s="186">
        <v>3.31</v>
      </c>
      <c r="L1179" s="187" t="s">
        <v>173</v>
      </c>
      <c r="M1179" s="187" t="s">
        <v>175</v>
      </c>
    </row>
    <row r="1180" spans="1:13" s="188" customFormat="1">
      <c r="A1180" s="185" t="s">
        <v>1447</v>
      </c>
      <c r="B1180" s="133" t="s">
        <v>4333</v>
      </c>
      <c r="C1180" s="185" t="s">
        <v>3023</v>
      </c>
      <c r="D1180" s="133" t="s">
        <v>4330</v>
      </c>
      <c r="E1180" s="134">
        <v>1</v>
      </c>
      <c r="F1180" s="135" t="s">
        <v>1449</v>
      </c>
      <c r="G1180" s="185" t="s">
        <v>15</v>
      </c>
      <c r="H1180" s="185" t="s">
        <v>15</v>
      </c>
      <c r="I1180" s="185" t="s">
        <v>15</v>
      </c>
      <c r="J1180" s="135" t="s">
        <v>1450</v>
      </c>
      <c r="K1180" s="186">
        <v>2.73</v>
      </c>
      <c r="L1180" s="187" t="s">
        <v>173</v>
      </c>
      <c r="M1180" s="187" t="s">
        <v>175</v>
      </c>
    </row>
    <row r="1181" spans="1:13" s="188" customFormat="1">
      <c r="A1181" s="185" t="s">
        <v>1447</v>
      </c>
      <c r="B1181" s="133" t="s">
        <v>4334</v>
      </c>
      <c r="C1181" s="185" t="s">
        <v>3023</v>
      </c>
      <c r="D1181" s="133" t="s">
        <v>4330</v>
      </c>
      <c r="E1181" s="134">
        <v>1</v>
      </c>
      <c r="F1181" s="135" t="s">
        <v>1449</v>
      </c>
      <c r="G1181" s="185" t="s">
        <v>15</v>
      </c>
      <c r="H1181" s="185" t="s">
        <v>15</v>
      </c>
      <c r="I1181" s="185" t="s">
        <v>15</v>
      </c>
      <c r="J1181" s="135" t="s">
        <v>1450</v>
      </c>
      <c r="K1181" s="186">
        <v>2.2999999999999998</v>
      </c>
      <c r="L1181" s="187" t="s">
        <v>173</v>
      </c>
      <c r="M1181" s="187" t="s">
        <v>175</v>
      </c>
    </row>
    <row r="1182" spans="1:13" s="188" customFormat="1">
      <c r="A1182" s="185" t="s">
        <v>1447</v>
      </c>
      <c r="B1182" s="133" t="s">
        <v>4335</v>
      </c>
      <c r="C1182" s="185" t="s">
        <v>3023</v>
      </c>
      <c r="D1182" s="133" t="s">
        <v>1525</v>
      </c>
      <c r="E1182" s="134">
        <v>1</v>
      </c>
      <c r="F1182" s="135" t="s">
        <v>1449</v>
      </c>
      <c r="G1182" s="185" t="s">
        <v>15</v>
      </c>
      <c r="H1182" s="185" t="s">
        <v>15</v>
      </c>
      <c r="I1182" s="185" t="s">
        <v>15</v>
      </c>
      <c r="J1182" s="135" t="s">
        <v>1450</v>
      </c>
      <c r="K1182" s="186">
        <v>11232</v>
      </c>
      <c r="L1182" s="187" t="s">
        <v>173</v>
      </c>
      <c r="M1182" s="187" t="s">
        <v>175</v>
      </c>
    </row>
    <row r="1183" spans="1:13" s="188" customFormat="1">
      <c r="A1183" s="185" t="s">
        <v>1447</v>
      </c>
      <c r="B1183" s="133" t="s">
        <v>4336</v>
      </c>
      <c r="C1183" s="185" t="s">
        <v>3023</v>
      </c>
      <c r="D1183" s="133" t="s">
        <v>1526</v>
      </c>
      <c r="E1183" s="134">
        <v>1</v>
      </c>
      <c r="F1183" s="135" t="s">
        <v>1449</v>
      </c>
      <c r="G1183" s="185" t="s">
        <v>15</v>
      </c>
      <c r="H1183" s="185" t="s">
        <v>15</v>
      </c>
      <c r="I1183" s="185" t="s">
        <v>15</v>
      </c>
      <c r="J1183" s="135" t="s">
        <v>1450</v>
      </c>
      <c r="K1183" s="186">
        <v>684</v>
      </c>
      <c r="L1183" s="187" t="s">
        <v>173</v>
      </c>
      <c r="M1183" s="187" t="s">
        <v>175</v>
      </c>
    </row>
    <row r="1184" spans="1:13" s="188" customFormat="1">
      <c r="A1184" s="185" t="s">
        <v>1447</v>
      </c>
      <c r="B1184" s="133" t="s">
        <v>4337</v>
      </c>
      <c r="C1184" s="185" t="s">
        <v>3023</v>
      </c>
      <c r="D1184" s="133" t="s">
        <v>1527</v>
      </c>
      <c r="E1184" s="134">
        <v>1</v>
      </c>
      <c r="F1184" s="135" t="s">
        <v>1449</v>
      </c>
      <c r="G1184" s="185" t="s">
        <v>15</v>
      </c>
      <c r="H1184" s="185" t="s">
        <v>15</v>
      </c>
      <c r="I1184" s="185" t="s">
        <v>15</v>
      </c>
      <c r="J1184" s="135" t="s">
        <v>1450</v>
      </c>
      <c r="K1184" s="186">
        <v>62256</v>
      </c>
      <c r="L1184" s="187" t="s">
        <v>173</v>
      </c>
      <c r="M1184" s="187" t="s">
        <v>175</v>
      </c>
    </row>
    <row r="1185" spans="1:13" s="188" customFormat="1">
      <c r="A1185" s="185" t="s">
        <v>1447</v>
      </c>
      <c r="B1185" s="133" t="s">
        <v>4338</v>
      </c>
      <c r="C1185" s="185" t="s">
        <v>3023</v>
      </c>
      <c r="D1185" s="133" t="s">
        <v>1528</v>
      </c>
      <c r="E1185" s="134">
        <v>1</v>
      </c>
      <c r="F1185" s="135" t="s">
        <v>1449</v>
      </c>
      <c r="G1185" s="185" t="s">
        <v>15</v>
      </c>
      <c r="H1185" s="185" t="s">
        <v>15</v>
      </c>
      <c r="I1185" s="185" t="s">
        <v>15</v>
      </c>
      <c r="J1185" s="135" t="s">
        <v>1450</v>
      </c>
      <c r="K1185" s="186">
        <v>62256</v>
      </c>
      <c r="L1185" s="187" t="s">
        <v>173</v>
      </c>
      <c r="M1185" s="187" t="s">
        <v>175</v>
      </c>
    </row>
    <row r="1186" spans="1:13" s="188" customFormat="1">
      <c r="A1186" s="185" t="s">
        <v>1447</v>
      </c>
      <c r="B1186" s="136" t="s">
        <v>4339</v>
      </c>
      <c r="C1186" s="185" t="s">
        <v>3023</v>
      </c>
      <c r="D1186" s="133" t="s">
        <v>1529</v>
      </c>
      <c r="E1186" s="134">
        <v>1</v>
      </c>
      <c r="F1186" s="135" t="s">
        <v>1449</v>
      </c>
      <c r="G1186" s="185" t="s">
        <v>15</v>
      </c>
      <c r="H1186" s="185" t="s">
        <v>15</v>
      </c>
      <c r="I1186" s="185" t="s">
        <v>15</v>
      </c>
      <c r="J1186" s="135" t="s">
        <v>1450</v>
      </c>
      <c r="K1186" s="186">
        <v>0</v>
      </c>
      <c r="L1186" s="187" t="s">
        <v>173</v>
      </c>
      <c r="M1186" s="187" t="s">
        <v>175</v>
      </c>
    </row>
    <row r="1187" spans="1:13" s="188" customFormat="1">
      <c r="A1187" s="185" t="s">
        <v>1447</v>
      </c>
      <c r="B1187" s="133" t="s">
        <v>4340</v>
      </c>
      <c r="C1187" s="185" t="s">
        <v>3023</v>
      </c>
      <c r="D1187" s="133" t="s">
        <v>1531</v>
      </c>
      <c r="E1187" s="134">
        <v>1</v>
      </c>
      <c r="F1187" s="135" t="s">
        <v>1449</v>
      </c>
      <c r="G1187" s="185" t="s">
        <v>15</v>
      </c>
      <c r="H1187" s="185" t="s">
        <v>15</v>
      </c>
      <c r="I1187" s="185" t="s">
        <v>15</v>
      </c>
      <c r="J1187" s="135" t="s">
        <v>1450</v>
      </c>
      <c r="K1187" s="186">
        <v>49800</v>
      </c>
      <c r="L1187" s="187" t="s">
        <v>173</v>
      </c>
      <c r="M1187" s="187" t="s">
        <v>175</v>
      </c>
    </row>
    <row r="1188" spans="1:13" s="188" customFormat="1">
      <c r="A1188" s="185" t="s">
        <v>1447</v>
      </c>
      <c r="B1188" s="133" t="s">
        <v>4341</v>
      </c>
      <c r="C1188" s="185" t="s">
        <v>3023</v>
      </c>
      <c r="D1188" s="133" t="s">
        <v>1532</v>
      </c>
      <c r="E1188" s="134">
        <v>1</v>
      </c>
      <c r="F1188" s="135" t="s">
        <v>1449</v>
      </c>
      <c r="G1188" s="185" t="s">
        <v>15</v>
      </c>
      <c r="H1188" s="185" t="s">
        <v>15</v>
      </c>
      <c r="I1188" s="185" t="s">
        <v>15</v>
      </c>
      <c r="J1188" s="135" t="s">
        <v>1450</v>
      </c>
      <c r="K1188" s="186">
        <v>155640</v>
      </c>
      <c r="L1188" s="187" t="s">
        <v>173</v>
      </c>
      <c r="M1188" s="187" t="s">
        <v>175</v>
      </c>
    </row>
    <row r="1189" spans="1:13" s="188" customFormat="1">
      <c r="A1189" s="185" t="s">
        <v>1447</v>
      </c>
      <c r="B1189" s="133" t="s">
        <v>4342</v>
      </c>
      <c r="C1189" s="185" t="s">
        <v>3023</v>
      </c>
      <c r="D1189" s="133" t="s">
        <v>1533</v>
      </c>
      <c r="E1189" s="134">
        <v>1</v>
      </c>
      <c r="F1189" s="135" t="s">
        <v>1449</v>
      </c>
      <c r="G1189" s="185" t="s">
        <v>15</v>
      </c>
      <c r="H1189" s="185" t="s">
        <v>15</v>
      </c>
      <c r="I1189" s="185" t="s">
        <v>15</v>
      </c>
      <c r="J1189" s="135" t="s">
        <v>1450</v>
      </c>
      <c r="K1189" s="186">
        <v>24900</v>
      </c>
      <c r="L1189" s="187" t="s">
        <v>173</v>
      </c>
      <c r="M1189" s="187" t="s">
        <v>175</v>
      </c>
    </row>
    <row r="1190" spans="1:13" s="188" customFormat="1">
      <c r="A1190" s="185" t="s">
        <v>1447</v>
      </c>
      <c r="B1190" s="133" t="s">
        <v>4343</v>
      </c>
      <c r="C1190" s="185" t="s">
        <v>3023</v>
      </c>
      <c r="D1190" s="133" t="s">
        <v>1533</v>
      </c>
      <c r="E1190" s="134">
        <v>1</v>
      </c>
      <c r="F1190" s="135" t="s">
        <v>1449</v>
      </c>
      <c r="G1190" s="185" t="s">
        <v>15</v>
      </c>
      <c r="H1190" s="185" t="s">
        <v>15</v>
      </c>
      <c r="I1190" s="185" t="s">
        <v>15</v>
      </c>
      <c r="J1190" s="135" t="s">
        <v>1450</v>
      </c>
      <c r="K1190" s="186">
        <v>19920</v>
      </c>
      <c r="L1190" s="187" t="s">
        <v>173</v>
      </c>
      <c r="M1190" s="187" t="s">
        <v>175</v>
      </c>
    </row>
    <row r="1191" spans="1:13" s="188" customFormat="1">
      <c r="A1191" s="185" t="s">
        <v>1447</v>
      </c>
      <c r="B1191" s="133" t="s">
        <v>4344</v>
      </c>
      <c r="C1191" s="185" t="s">
        <v>3023</v>
      </c>
      <c r="D1191" s="133" t="s">
        <v>1533</v>
      </c>
      <c r="E1191" s="134">
        <v>1</v>
      </c>
      <c r="F1191" s="135" t="s">
        <v>1449</v>
      </c>
      <c r="G1191" s="185" t="s">
        <v>15</v>
      </c>
      <c r="H1191" s="185" t="s">
        <v>15</v>
      </c>
      <c r="I1191" s="185" t="s">
        <v>15</v>
      </c>
      <c r="J1191" s="135" t="s">
        <v>1450</v>
      </c>
      <c r="K1191" s="186">
        <v>14940</v>
      </c>
      <c r="L1191" s="187" t="s">
        <v>173</v>
      </c>
      <c r="M1191" s="187" t="s">
        <v>175</v>
      </c>
    </row>
    <row r="1192" spans="1:13" s="188" customFormat="1">
      <c r="A1192" s="185" t="s">
        <v>1447</v>
      </c>
      <c r="B1192" s="133" t="s">
        <v>4345</v>
      </c>
      <c r="C1192" s="185" t="s">
        <v>3023</v>
      </c>
      <c r="D1192" s="133" t="s">
        <v>1533</v>
      </c>
      <c r="E1192" s="134">
        <v>1</v>
      </c>
      <c r="F1192" s="135" t="s">
        <v>1449</v>
      </c>
      <c r="G1192" s="185" t="s">
        <v>15</v>
      </c>
      <c r="H1192" s="185" t="s">
        <v>15</v>
      </c>
      <c r="I1192" s="185" t="s">
        <v>15</v>
      </c>
      <c r="J1192" s="135" t="s">
        <v>1450</v>
      </c>
      <c r="K1192" s="186">
        <v>9960</v>
      </c>
      <c r="L1192" s="187" t="s">
        <v>173</v>
      </c>
      <c r="M1192" s="187" t="s">
        <v>175</v>
      </c>
    </row>
    <row r="1193" spans="1:13" s="188" customFormat="1">
      <c r="A1193" s="185" t="s">
        <v>1447</v>
      </c>
      <c r="B1193" s="133" t="s">
        <v>4346</v>
      </c>
      <c r="C1193" s="185" t="s">
        <v>3023</v>
      </c>
      <c r="D1193" s="133" t="s">
        <v>1533</v>
      </c>
      <c r="E1193" s="134">
        <v>1</v>
      </c>
      <c r="F1193" s="135" t="s">
        <v>1449</v>
      </c>
      <c r="G1193" s="185" t="s">
        <v>15</v>
      </c>
      <c r="H1193" s="185" t="s">
        <v>15</v>
      </c>
      <c r="I1193" s="185" t="s">
        <v>15</v>
      </c>
      <c r="J1193" s="135" t="s">
        <v>1450</v>
      </c>
      <c r="K1193" s="186">
        <v>4980</v>
      </c>
      <c r="L1193" s="187" t="s">
        <v>173</v>
      </c>
      <c r="M1193" s="187" t="s">
        <v>175</v>
      </c>
    </row>
    <row r="1194" spans="1:13" s="188" customFormat="1">
      <c r="A1194" s="185" t="s">
        <v>1447</v>
      </c>
      <c r="B1194" s="133" t="s">
        <v>4347</v>
      </c>
      <c r="C1194" s="185" t="s">
        <v>3023</v>
      </c>
      <c r="D1194" s="133" t="s">
        <v>1534</v>
      </c>
      <c r="E1194" s="134">
        <v>1</v>
      </c>
      <c r="F1194" s="135" t="s">
        <v>1449</v>
      </c>
      <c r="G1194" s="185" t="s">
        <v>15</v>
      </c>
      <c r="H1194" s="185" t="s">
        <v>15</v>
      </c>
      <c r="I1194" s="185" t="s">
        <v>15</v>
      </c>
      <c r="J1194" s="135" t="s">
        <v>1450</v>
      </c>
      <c r="K1194" s="186">
        <v>311280</v>
      </c>
      <c r="L1194" s="187" t="s">
        <v>173</v>
      </c>
      <c r="M1194" s="187" t="s">
        <v>175</v>
      </c>
    </row>
    <row r="1195" spans="1:13" s="188" customFormat="1">
      <c r="A1195" s="185" t="s">
        <v>1447</v>
      </c>
      <c r="B1195" s="133" t="s">
        <v>4348</v>
      </c>
      <c r="C1195" s="185" t="s">
        <v>3023</v>
      </c>
      <c r="D1195" s="133" t="s">
        <v>1535</v>
      </c>
      <c r="E1195" s="134">
        <v>1</v>
      </c>
      <c r="F1195" s="135" t="s">
        <v>1449</v>
      </c>
      <c r="G1195" s="185" t="s">
        <v>15</v>
      </c>
      <c r="H1195" s="185" t="s">
        <v>15</v>
      </c>
      <c r="I1195" s="185" t="s">
        <v>15</v>
      </c>
      <c r="J1195" s="135" t="s">
        <v>1450</v>
      </c>
      <c r="K1195" s="186">
        <v>26148</v>
      </c>
      <c r="L1195" s="187" t="s">
        <v>173</v>
      </c>
      <c r="M1195" s="187" t="s">
        <v>175</v>
      </c>
    </row>
    <row r="1196" spans="1:13" s="188" customFormat="1">
      <c r="A1196" s="185" t="s">
        <v>1447</v>
      </c>
      <c r="B1196" s="133" t="s">
        <v>4349</v>
      </c>
      <c r="C1196" s="185" t="s">
        <v>3023</v>
      </c>
      <c r="D1196" s="133" t="s">
        <v>1535</v>
      </c>
      <c r="E1196" s="134">
        <v>1</v>
      </c>
      <c r="F1196" s="135" t="s">
        <v>1449</v>
      </c>
      <c r="G1196" s="185" t="s">
        <v>15</v>
      </c>
      <c r="H1196" s="185" t="s">
        <v>15</v>
      </c>
      <c r="I1196" s="185" t="s">
        <v>15</v>
      </c>
      <c r="J1196" s="135" t="s">
        <v>1450</v>
      </c>
      <c r="K1196" s="186">
        <v>22416</v>
      </c>
      <c r="L1196" s="187" t="s">
        <v>173</v>
      </c>
      <c r="M1196" s="187" t="s">
        <v>175</v>
      </c>
    </row>
    <row r="1197" spans="1:13" s="188" customFormat="1">
      <c r="A1197" s="185" t="s">
        <v>1447</v>
      </c>
      <c r="B1197" s="133" t="s">
        <v>4350</v>
      </c>
      <c r="C1197" s="185" t="s">
        <v>3023</v>
      </c>
      <c r="D1197" s="133" t="s">
        <v>1535</v>
      </c>
      <c r="E1197" s="134">
        <v>1</v>
      </c>
      <c r="F1197" s="135" t="s">
        <v>1449</v>
      </c>
      <c r="G1197" s="185" t="s">
        <v>15</v>
      </c>
      <c r="H1197" s="185" t="s">
        <v>15</v>
      </c>
      <c r="I1197" s="185" t="s">
        <v>15</v>
      </c>
      <c r="J1197" s="135" t="s">
        <v>1450</v>
      </c>
      <c r="K1197" s="186">
        <v>17436</v>
      </c>
      <c r="L1197" s="187" t="s">
        <v>173</v>
      </c>
      <c r="M1197" s="187" t="s">
        <v>175</v>
      </c>
    </row>
    <row r="1198" spans="1:13" s="188" customFormat="1">
      <c r="A1198" s="185" t="s">
        <v>1447</v>
      </c>
      <c r="B1198" s="133" t="s">
        <v>4351</v>
      </c>
      <c r="C1198" s="185" t="s">
        <v>3023</v>
      </c>
      <c r="D1198" s="133" t="s">
        <v>1535</v>
      </c>
      <c r="E1198" s="134">
        <v>1</v>
      </c>
      <c r="F1198" s="135" t="s">
        <v>1449</v>
      </c>
      <c r="G1198" s="185" t="s">
        <v>15</v>
      </c>
      <c r="H1198" s="185" t="s">
        <v>15</v>
      </c>
      <c r="I1198" s="185" t="s">
        <v>15</v>
      </c>
      <c r="J1198" s="135" t="s">
        <v>1450</v>
      </c>
      <c r="K1198" s="186">
        <v>12456</v>
      </c>
      <c r="L1198" s="187" t="s">
        <v>173</v>
      </c>
      <c r="M1198" s="187" t="s">
        <v>175</v>
      </c>
    </row>
    <row r="1199" spans="1:13" s="188" customFormat="1">
      <c r="A1199" s="185" t="s">
        <v>1447</v>
      </c>
      <c r="B1199" s="133" t="s">
        <v>4352</v>
      </c>
      <c r="C1199" s="185" t="s">
        <v>3023</v>
      </c>
      <c r="D1199" s="133" t="s">
        <v>1535</v>
      </c>
      <c r="E1199" s="134">
        <v>1</v>
      </c>
      <c r="F1199" s="135" t="s">
        <v>1449</v>
      </c>
      <c r="G1199" s="185" t="s">
        <v>15</v>
      </c>
      <c r="H1199" s="185" t="s">
        <v>15</v>
      </c>
      <c r="I1199" s="185" t="s">
        <v>15</v>
      </c>
      <c r="J1199" s="135" t="s">
        <v>1450</v>
      </c>
      <c r="K1199" s="186">
        <v>6228</v>
      </c>
      <c r="L1199" s="187" t="s">
        <v>173</v>
      </c>
      <c r="M1199" s="187" t="s">
        <v>175</v>
      </c>
    </row>
    <row r="1200" spans="1:13" s="188" customFormat="1">
      <c r="A1200" s="185" t="s">
        <v>1447</v>
      </c>
      <c r="B1200" s="133" t="s">
        <v>4353</v>
      </c>
      <c r="C1200" s="185" t="s">
        <v>3023</v>
      </c>
      <c r="D1200" s="133" t="s">
        <v>1536</v>
      </c>
      <c r="E1200" s="134">
        <v>1</v>
      </c>
      <c r="F1200" s="135" t="s">
        <v>1449</v>
      </c>
      <c r="G1200" s="185" t="s">
        <v>15</v>
      </c>
      <c r="H1200" s="185" t="s">
        <v>15</v>
      </c>
      <c r="I1200" s="185" t="s">
        <v>15</v>
      </c>
      <c r="J1200" s="135" t="s">
        <v>1450</v>
      </c>
      <c r="K1200" s="186">
        <v>118284</v>
      </c>
      <c r="L1200" s="187" t="s">
        <v>173</v>
      </c>
      <c r="M1200" s="187" t="s">
        <v>175</v>
      </c>
    </row>
    <row r="1201" spans="1:13" s="188" customFormat="1">
      <c r="A1201" s="185" t="s">
        <v>1447</v>
      </c>
      <c r="B1201" s="133" t="s">
        <v>4354</v>
      </c>
      <c r="C1201" s="185" t="s">
        <v>3023</v>
      </c>
      <c r="D1201" s="133" t="s">
        <v>1537</v>
      </c>
      <c r="E1201" s="134">
        <v>1</v>
      </c>
      <c r="F1201" s="135" t="s">
        <v>1449</v>
      </c>
      <c r="G1201" s="185" t="s">
        <v>15</v>
      </c>
      <c r="H1201" s="185" t="s">
        <v>15</v>
      </c>
      <c r="I1201" s="185" t="s">
        <v>15</v>
      </c>
      <c r="J1201" s="135" t="s">
        <v>1450</v>
      </c>
      <c r="K1201" s="186">
        <v>18672</v>
      </c>
      <c r="L1201" s="187" t="s">
        <v>173</v>
      </c>
      <c r="M1201" s="187" t="s">
        <v>175</v>
      </c>
    </row>
    <row r="1202" spans="1:13" s="188" customFormat="1">
      <c r="A1202" s="185" t="s">
        <v>1447</v>
      </c>
      <c r="B1202" s="133" t="s">
        <v>4355</v>
      </c>
      <c r="C1202" s="185" t="s">
        <v>3023</v>
      </c>
      <c r="D1202" s="133" t="s">
        <v>1537</v>
      </c>
      <c r="E1202" s="134">
        <v>1</v>
      </c>
      <c r="F1202" s="135" t="s">
        <v>1449</v>
      </c>
      <c r="G1202" s="185" t="s">
        <v>15</v>
      </c>
      <c r="H1202" s="185" t="s">
        <v>15</v>
      </c>
      <c r="I1202" s="185" t="s">
        <v>15</v>
      </c>
      <c r="J1202" s="135" t="s">
        <v>1450</v>
      </c>
      <c r="K1202" s="186">
        <v>14940</v>
      </c>
      <c r="L1202" s="187" t="s">
        <v>173</v>
      </c>
      <c r="M1202" s="187" t="s">
        <v>175</v>
      </c>
    </row>
    <row r="1203" spans="1:13" s="188" customFormat="1">
      <c r="A1203" s="185" t="s">
        <v>1447</v>
      </c>
      <c r="B1203" s="133" t="s">
        <v>4356</v>
      </c>
      <c r="C1203" s="185" t="s">
        <v>3023</v>
      </c>
      <c r="D1203" s="133" t="s">
        <v>1537</v>
      </c>
      <c r="E1203" s="134">
        <v>1</v>
      </c>
      <c r="F1203" s="135" t="s">
        <v>1449</v>
      </c>
      <c r="G1203" s="185" t="s">
        <v>15</v>
      </c>
      <c r="H1203" s="185" t="s">
        <v>15</v>
      </c>
      <c r="I1203" s="185" t="s">
        <v>15</v>
      </c>
      <c r="J1203" s="135" t="s">
        <v>1450</v>
      </c>
      <c r="K1203" s="186">
        <v>11208</v>
      </c>
      <c r="L1203" s="187" t="s">
        <v>173</v>
      </c>
      <c r="M1203" s="187" t="s">
        <v>175</v>
      </c>
    </row>
    <row r="1204" spans="1:13" s="188" customFormat="1">
      <c r="A1204" s="185" t="s">
        <v>1447</v>
      </c>
      <c r="B1204" s="133" t="s">
        <v>4357</v>
      </c>
      <c r="C1204" s="185" t="s">
        <v>3023</v>
      </c>
      <c r="D1204" s="133" t="s">
        <v>1537</v>
      </c>
      <c r="E1204" s="134">
        <v>1</v>
      </c>
      <c r="F1204" s="135" t="s">
        <v>1449</v>
      </c>
      <c r="G1204" s="185" t="s">
        <v>15</v>
      </c>
      <c r="H1204" s="185" t="s">
        <v>15</v>
      </c>
      <c r="I1204" s="185" t="s">
        <v>15</v>
      </c>
      <c r="J1204" s="135" t="s">
        <v>1450</v>
      </c>
      <c r="K1204" s="186">
        <v>7476</v>
      </c>
      <c r="L1204" s="187" t="s">
        <v>173</v>
      </c>
      <c r="M1204" s="187" t="s">
        <v>175</v>
      </c>
    </row>
    <row r="1205" spans="1:13" s="188" customFormat="1">
      <c r="A1205" s="185" t="s">
        <v>1447</v>
      </c>
      <c r="B1205" s="133" t="s">
        <v>4358</v>
      </c>
      <c r="C1205" s="185" t="s">
        <v>3023</v>
      </c>
      <c r="D1205" s="133" t="s">
        <v>1537</v>
      </c>
      <c r="E1205" s="134">
        <v>1</v>
      </c>
      <c r="F1205" s="135" t="s">
        <v>1449</v>
      </c>
      <c r="G1205" s="185" t="s">
        <v>15</v>
      </c>
      <c r="H1205" s="185" t="s">
        <v>15</v>
      </c>
      <c r="I1205" s="185" t="s">
        <v>15</v>
      </c>
      <c r="J1205" s="135" t="s">
        <v>1450</v>
      </c>
      <c r="K1205" s="186">
        <v>3732</v>
      </c>
      <c r="L1205" s="187" t="s">
        <v>173</v>
      </c>
      <c r="M1205" s="187" t="s">
        <v>175</v>
      </c>
    </row>
    <row r="1206" spans="1:13" s="188" customFormat="1">
      <c r="A1206" s="185" t="s">
        <v>1447</v>
      </c>
      <c r="B1206" s="133" t="s">
        <v>4359</v>
      </c>
      <c r="C1206" s="185" t="s">
        <v>3023</v>
      </c>
      <c r="D1206" s="133" t="s">
        <v>1540</v>
      </c>
      <c r="E1206" s="134">
        <v>1</v>
      </c>
      <c r="F1206" s="135" t="s">
        <v>1449</v>
      </c>
      <c r="G1206" s="185" t="s">
        <v>15</v>
      </c>
      <c r="H1206" s="185" t="s">
        <v>15</v>
      </c>
      <c r="I1206" s="185" t="s">
        <v>15</v>
      </c>
      <c r="J1206" s="135" t="s">
        <v>1450</v>
      </c>
      <c r="K1206" s="186">
        <v>432</v>
      </c>
      <c r="L1206" s="187" t="s">
        <v>173</v>
      </c>
      <c r="M1206" s="187" t="s">
        <v>175</v>
      </c>
    </row>
    <row r="1207" spans="1:13" s="188" customFormat="1">
      <c r="A1207" s="185" t="s">
        <v>1447</v>
      </c>
      <c r="B1207" s="133" t="s">
        <v>4360</v>
      </c>
      <c r="C1207" s="185" t="s">
        <v>3023</v>
      </c>
      <c r="D1207" s="133" t="s">
        <v>1541</v>
      </c>
      <c r="E1207" s="134">
        <v>1</v>
      </c>
      <c r="F1207" s="135" t="s">
        <v>1449</v>
      </c>
      <c r="G1207" s="185" t="s">
        <v>15</v>
      </c>
      <c r="H1207" s="185" t="s">
        <v>15</v>
      </c>
      <c r="I1207" s="185" t="s">
        <v>15</v>
      </c>
      <c r="J1207" s="135" t="s">
        <v>1450</v>
      </c>
      <c r="K1207" s="186">
        <v>12456</v>
      </c>
      <c r="L1207" s="187" t="s">
        <v>173</v>
      </c>
      <c r="M1207" s="187" t="s">
        <v>175</v>
      </c>
    </row>
    <row r="1208" spans="1:13" s="188" customFormat="1">
      <c r="A1208" s="185" t="s">
        <v>1447</v>
      </c>
      <c r="B1208" s="133" t="s">
        <v>4361</v>
      </c>
      <c r="C1208" s="185" t="s">
        <v>3023</v>
      </c>
      <c r="D1208" s="133" t="s">
        <v>1541</v>
      </c>
      <c r="E1208" s="134">
        <v>1</v>
      </c>
      <c r="F1208" s="135" t="s">
        <v>1449</v>
      </c>
      <c r="G1208" s="185" t="s">
        <v>15</v>
      </c>
      <c r="H1208" s="185" t="s">
        <v>15</v>
      </c>
      <c r="I1208" s="185" t="s">
        <v>15</v>
      </c>
      <c r="J1208" s="135" t="s">
        <v>1450</v>
      </c>
      <c r="K1208" s="186">
        <v>10584</v>
      </c>
      <c r="L1208" s="187" t="s">
        <v>173</v>
      </c>
      <c r="M1208" s="187" t="s">
        <v>175</v>
      </c>
    </row>
    <row r="1209" spans="1:13" s="188" customFormat="1">
      <c r="A1209" s="185" t="s">
        <v>1447</v>
      </c>
      <c r="B1209" s="133" t="s">
        <v>4362</v>
      </c>
      <c r="C1209" s="185" t="s">
        <v>3023</v>
      </c>
      <c r="D1209" s="133" t="s">
        <v>1541</v>
      </c>
      <c r="E1209" s="134">
        <v>1</v>
      </c>
      <c r="F1209" s="135" t="s">
        <v>1449</v>
      </c>
      <c r="G1209" s="185" t="s">
        <v>15</v>
      </c>
      <c r="H1209" s="185" t="s">
        <v>15</v>
      </c>
      <c r="I1209" s="185" t="s">
        <v>15</v>
      </c>
      <c r="J1209" s="135" t="s">
        <v>1450</v>
      </c>
      <c r="K1209" s="186">
        <v>9336</v>
      </c>
      <c r="L1209" s="187" t="s">
        <v>173</v>
      </c>
      <c r="M1209" s="187" t="s">
        <v>175</v>
      </c>
    </row>
    <row r="1210" spans="1:13" s="188" customFormat="1">
      <c r="A1210" s="185" t="s">
        <v>1447</v>
      </c>
      <c r="B1210" s="133" t="s">
        <v>4363</v>
      </c>
      <c r="C1210" s="185" t="s">
        <v>3023</v>
      </c>
      <c r="D1210" s="133" t="s">
        <v>1541</v>
      </c>
      <c r="E1210" s="134">
        <v>1</v>
      </c>
      <c r="F1210" s="135" t="s">
        <v>1449</v>
      </c>
      <c r="G1210" s="185" t="s">
        <v>15</v>
      </c>
      <c r="H1210" s="185" t="s">
        <v>15</v>
      </c>
      <c r="I1210" s="185" t="s">
        <v>15</v>
      </c>
      <c r="J1210" s="135" t="s">
        <v>1450</v>
      </c>
      <c r="K1210" s="186">
        <v>8400</v>
      </c>
      <c r="L1210" s="187" t="s">
        <v>173</v>
      </c>
      <c r="M1210" s="187" t="s">
        <v>175</v>
      </c>
    </row>
    <row r="1211" spans="1:13" s="188" customFormat="1">
      <c r="A1211" s="185" t="s">
        <v>1447</v>
      </c>
      <c r="B1211" s="133" t="s">
        <v>4364</v>
      </c>
      <c r="C1211" s="185" t="s">
        <v>3023</v>
      </c>
      <c r="D1211" s="133" t="s">
        <v>1541</v>
      </c>
      <c r="E1211" s="134">
        <v>1</v>
      </c>
      <c r="F1211" s="135" t="s">
        <v>1449</v>
      </c>
      <c r="G1211" s="185" t="s">
        <v>15</v>
      </c>
      <c r="H1211" s="185" t="s">
        <v>15</v>
      </c>
      <c r="I1211" s="185" t="s">
        <v>15</v>
      </c>
      <c r="J1211" s="135" t="s">
        <v>1450</v>
      </c>
      <c r="K1211" s="186">
        <v>7164</v>
      </c>
      <c r="L1211" s="187" t="s">
        <v>173</v>
      </c>
      <c r="M1211" s="187" t="s">
        <v>175</v>
      </c>
    </row>
    <row r="1212" spans="1:13" s="188" customFormat="1">
      <c r="A1212" s="185" t="s">
        <v>1447</v>
      </c>
      <c r="B1212" s="133" t="s">
        <v>4365</v>
      </c>
      <c r="C1212" s="185" t="s">
        <v>3023</v>
      </c>
      <c r="D1212" s="133" t="s">
        <v>1541</v>
      </c>
      <c r="E1212" s="134">
        <v>1</v>
      </c>
      <c r="F1212" s="135" t="s">
        <v>1449</v>
      </c>
      <c r="G1212" s="185" t="s">
        <v>15</v>
      </c>
      <c r="H1212" s="185" t="s">
        <v>15</v>
      </c>
      <c r="I1212" s="185" t="s">
        <v>15</v>
      </c>
      <c r="J1212" s="135" t="s">
        <v>1450</v>
      </c>
      <c r="K1212" s="186">
        <v>6228</v>
      </c>
      <c r="L1212" s="187" t="s">
        <v>173</v>
      </c>
      <c r="M1212" s="187" t="s">
        <v>175</v>
      </c>
    </row>
    <row r="1213" spans="1:13" s="188" customFormat="1">
      <c r="A1213" s="185" t="s">
        <v>1447</v>
      </c>
      <c r="B1213" s="133" t="s">
        <v>4366</v>
      </c>
      <c r="C1213" s="185" t="s">
        <v>3023</v>
      </c>
      <c r="D1213" s="133" t="s">
        <v>1542</v>
      </c>
      <c r="E1213" s="134">
        <v>1</v>
      </c>
      <c r="F1213" s="135" t="s">
        <v>1449</v>
      </c>
      <c r="G1213" s="185" t="s">
        <v>15</v>
      </c>
      <c r="H1213" s="185" t="s">
        <v>15</v>
      </c>
      <c r="I1213" s="185" t="s">
        <v>15</v>
      </c>
      <c r="J1213" s="135" t="s">
        <v>1450</v>
      </c>
      <c r="K1213" s="186">
        <v>9336</v>
      </c>
      <c r="L1213" s="187" t="s">
        <v>173</v>
      </c>
      <c r="M1213" s="187" t="s">
        <v>175</v>
      </c>
    </row>
    <row r="1214" spans="1:13" s="188" customFormat="1">
      <c r="A1214" s="185" t="s">
        <v>1447</v>
      </c>
      <c r="B1214" s="133" t="s">
        <v>4367</v>
      </c>
      <c r="C1214" s="185" t="s">
        <v>3023</v>
      </c>
      <c r="D1214" s="133" t="s">
        <v>1542</v>
      </c>
      <c r="E1214" s="134">
        <v>1</v>
      </c>
      <c r="F1214" s="135" t="s">
        <v>1449</v>
      </c>
      <c r="G1214" s="185" t="s">
        <v>15</v>
      </c>
      <c r="H1214" s="185" t="s">
        <v>15</v>
      </c>
      <c r="I1214" s="185" t="s">
        <v>15</v>
      </c>
      <c r="J1214" s="135" t="s">
        <v>1450</v>
      </c>
      <c r="K1214" s="186">
        <v>7164</v>
      </c>
      <c r="L1214" s="187" t="s">
        <v>173</v>
      </c>
      <c r="M1214" s="187" t="s">
        <v>175</v>
      </c>
    </row>
    <row r="1215" spans="1:13" s="188" customFormat="1">
      <c r="A1215" s="185" t="s">
        <v>1447</v>
      </c>
      <c r="B1215" s="133" t="s">
        <v>4368</v>
      </c>
      <c r="C1215" s="185" t="s">
        <v>3023</v>
      </c>
      <c r="D1215" s="133" t="s">
        <v>1542</v>
      </c>
      <c r="E1215" s="134">
        <v>1</v>
      </c>
      <c r="F1215" s="135" t="s">
        <v>1449</v>
      </c>
      <c r="G1215" s="185" t="s">
        <v>15</v>
      </c>
      <c r="H1215" s="185" t="s">
        <v>15</v>
      </c>
      <c r="I1215" s="185" t="s">
        <v>15</v>
      </c>
      <c r="J1215" s="135" t="s">
        <v>1450</v>
      </c>
      <c r="K1215" s="186">
        <v>6228</v>
      </c>
      <c r="L1215" s="187" t="s">
        <v>173</v>
      </c>
      <c r="M1215" s="187" t="s">
        <v>175</v>
      </c>
    </row>
    <row r="1216" spans="1:13" s="188" customFormat="1">
      <c r="A1216" s="185" t="s">
        <v>1447</v>
      </c>
      <c r="B1216" s="133" t="s">
        <v>4369</v>
      </c>
      <c r="C1216" s="185" t="s">
        <v>3023</v>
      </c>
      <c r="D1216" s="133" t="s">
        <v>1542</v>
      </c>
      <c r="E1216" s="134">
        <v>1</v>
      </c>
      <c r="F1216" s="135" t="s">
        <v>1449</v>
      </c>
      <c r="G1216" s="185" t="s">
        <v>15</v>
      </c>
      <c r="H1216" s="185" t="s">
        <v>15</v>
      </c>
      <c r="I1216" s="185" t="s">
        <v>15</v>
      </c>
      <c r="J1216" s="135" t="s">
        <v>1450</v>
      </c>
      <c r="K1216" s="186">
        <v>4668</v>
      </c>
      <c r="L1216" s="187" t="s">
        <v>173</v>
      </c>
      <c r="M1216" s="187" t="s">
        <v>175</v>
      </c>
    </row>
    <row r="1217" spans="1:13" s="188" customFormat="1">
      <c r="A1217" s="185" t="s">
        <v>1447</v>
      </c>
      <c r="B1217" s="133" t="s">
        <v>4370</v>
      </c>
      <c r="C1217" s="185" t="s">
        <v>3023</v>
      </c>
      <c r="D1217" s="133" t="s">
        <v>1542</v>
      </c>
      <c r="E1217" s="134">
        <v>1</v>
      </c>
      <c r="F1217" s="135" t="s">
        <v>1449</v>
      </c>
      <c r="G1217" s="185" t="s">
        <v>15</v>
      </c>
      <c r="H1217" s="185" t="s">
        <v>15</v>
      </c>
      <c r="I1217" s="185" t="s">
        <v>15</v>
      </c>
      <c r="J1217" s="135" t="s">
        <v>1450</v>
      </c>
      <c r="K1217" s="186">
        <v>3732</v>
      </c>
      <c r="L1217" s="187" t="s">
        <v>173</v>
      </c>
      <c r="M1217" s="187" t="s">
        <v>175</v>
      </c>
    </row>
    <row r="1218" spans="1:13" s="188" customFormat="1">
      <c r="A1218" s="185" t="s">
        <v>1447</v>
      </c>
      <c r="B1218" s="133" t="s">
        <v>4371</v>
      </c>
      <c r="C1218" s="185" t="s">
        <v>3023</v>
      </c>
      <c r="D1218" s="133" t="s">
        <v>1542</v>
      </c>
      <c r="E1218" s="134">
        <v>1</v>
      </c>
      <c r="F1218" s="135" t="s">
        <v>1449</v>
      </c>
      <c r="G1218" s="185" t="s">
        <v>15</v>
      </c>
      <c r="H1218" s="185" t="s">
        <v>15</v>
      </c>
      <c r="I1218" s="185" t="s">
        <v>15</v>
      </c>
      <c r="J1218" s="135" t="s">
        <v>1450</v>
      </c>
      <c r="K1218" s="186">
        <v>3108</v>
      </c>
      <c r="L1218" s="187" t="s">
        <v>173</v>
      </c>
      <c r="M1218" s="187" t="s">
        <v>175</v>
      </c>
    </row>
    <row r="1219" spans="1:13" s="188" customFormat="1">
      <c r="A1219" s="185" t="s">
        <v>1447</v>
      </c>
      <c r="B1219" s="133" t="s">
        <v>4372</v>
      </c>
      <c r="C1219" s="185" t="s">
        <v>3023</v>
      </c>
      <c r="D1219" s="133" t="s">
        <v>1543</v>
      </c>
      <c r="E1219" s="134">
        <v>1</v>
      </c>
      <c r="F1219" s="135" t="s">
        <v>1449</v>
      </c>
      <c r="G1219" s="185" t="s">
        <v>15</v>
      </c>
      <c r="H1219" s="185" t="s">
        <v>15</v>
      </c>
      <c r="I1219" s="185" t="s">
        <v>15</v>
      </c>
      <c r="J1219" s="135" t="s">
        <v>1450</v>
      </c>
      <c r="K1219" s="186">
        <v>9336</v>
      </c>
      <c r="L1219" s="187" t="s">
        <v>173</v>
      </c>
      <c r="M1219" s="187" t="s">
        <v>175</v>
      </c>
    </row>
    <row r="1220" spans="1:13" s="188" customFormat="1">
      <c r="A1220" s="185" t="s">
        <v>1447</v>
      </c>
      <c r="B1220" s="133" t="s">
        <v>4373</v>
      </c>
      <c r="C1220" s="185" t="s">
        <v>3023</v>
      </c>
      <c r="D1220" s="133" t="s">
        <v>1543</v>
      </c>
      <c r="E1220" s="134">
        <v>1</v>
      </c>
      <c r="F1220" s="135" t="s">
        <v>1449</v>
      </c>
      <c r="G1220" s="185" t="s">
        <v>15</v>
      </c>
      <c r="H1220" s="185" t="s">
        <v>15</v>
      </c>
      <c r="I1220" s="185" t="s">
        <v>15</v>
      </c>
      <c r="J1220" s="135" t="s">
        <v>1450</v>
      </c>
      <c r="K1220" s="186">
        <v>8904</v>
      </c>
      <c r="L1220" s="187" t="s">
        <v>173</v>
      </c>
      <c r="M1220" s="187" t="s">
        <v>175</v>
      </c>
    </row>
    <row r="1221" spans="1:13" s="188" customFormat="1">
      <c r="A1221" s="185" t="s">
        <v>1447</v>
      </c>
      <c r="B1221" s="133" t="s">
        <v>4374</v>
      </c>
      <c r="C1221" s="185" t="s">
        <v>3023</v>
      </c>
      <c r="D1221" s="133" t="s">
        <v>1543</v>
      </c>
      <c r="E1221" s="134">
        <v>1</v>
      </c>
      <c r="F1221" s="135" t="s">
        <v>1449</v>
      </c>
      <c r="G1221" s="185" t="s">
        <v>15</v>
      </c>
      <c r="H1221" s="185" t="s">
        <v>15</v>
      </c>
      <c r="I1221" s="185" t="s">
        <v>15</v>
      </c>
      <c r="J1221" s="135" t="s">
        <v>1450</v>
      </c>
      <c r="K1221" s="186">
        <v>8088</v>
      </c>
      <c r="L1221" s="187" t="s">
        <v>173</v>
      </c>
      <c r="M1221" s="187" t="s">
        <v>175</v>
      </c>
    </row>
    <row r="1222" spans="1:13" s="188" customFormat="1">
      <c r="A1222" s="185" t="s">
        <v>1447</v>
      </c>
      <c r="B1222" s="133" t="s">
        <v>4375</v>
      </c>
      <c r="C1222" s="185" t="s">
        <v>3023</v>
      </c>
      <c r="D1222" s="133" t="s">
        <v>1543</v>
      </c>
      <c r="E1222" s="134">
        <v>1</v>
      </c>
      <c r="F1222" s="135" t="s">
        <v>1449</v>
      </c>
      <c r="G1222" s="185" t="s">
        <v>15</v>
      </c>
      <c r="H1222" s="185" t="s">
        <v>15</v>
      </c>
      <c r="I1222" s="185" t="s">
        <v>15</v>
      </c>
      <c r="J1222" s="135" t="s">
        <v>1450</v>
      </c>
      <c r="K1222" s="186">
        <v>6852</v>
      </c>
      <c r="L1222" s="187" t="s">
        <v>173</v>
      </c>
      <c r="M1222" s="187" t="s">
        <v>175</v>
      </c>
    </row>
    <row r="1223" spans="1:13" s="188" customFormat="1">
      <c r="A1223" s="185" t="s">
        <v>1447</v>
      </c>
      <c r="B1223" s="133" t="s">
        <v>4376</v>
      </c>
      <c r="C1223" s="185" t="s">
        <v>3023</v>
      </c>
      <c r="D1223" s="133" t="s">
        <v>1543</v>
      </c>
      <c r="E1223" s="134">
        <v>1</v>
      </c>
      <c r="F1223" s="135" t="s">
        <v>1449</v>
      </c>
      <c r="G1223" s="185" t="s">
        <v>15</v>
      </c>
      <c r="H1223" s="185" t="s">
        <v>15</v>
      </c>
      <c r="I1223" s="185" t="s">
        <v>15</v>
      </c>
      <c r="J1223" s="135" t="s">
        <v>1450</v>
      </c>
      <c r="K1223" s="186">
        <v>6228</v>
      </c>
      <c r="L1223" s="187" t="s">
        <v>173</v>
      </c>
      <c r="M1223" s="187" t="s">
        <v>175</v>
      </c>
    </row>
    <row r="1224" spans="1:13" s="188" customFormat="1">
      <c r="A1224" s="185" t="s">
        <v>1447</v>
      </c>
      <c r="B1224" s="133" t="s">
        <v>4377</v>
      </c>
      <c r="C1224" s="185" t="s">
        <v>3023</v>
      </c>
      <c r="D1224" s="133" t="s">
        <v>1543</v>
      </c>
      <c r="E1224" s="134">
        <v>1</v>
      </c>
      <c r="F1224" s="135" t="s">
        <v>1449</v>
      </c>
      <c r="G1224" s="185" t="s">
        <v>15</v>
      </c>
      <c r="H1224" s="185" t="s">
        <v>15</v>
      </c>
      <c r="I1224" s="185" t="s">
        <v>15</v>
      </c>
      <c r="J1224" s="135" t="s">
        <v>1450</v>
      </c>
      <c r="K1224" s="186">
        <v>5604</v>
      </c>
      <c r="L1224" s="187" t="s">
        <v>173</v>
      </c>
      <c r="M1224" s="187" t="s">
        <v>175</v>
      </c>
    </row>
    <row r="1225" spans="1:13" s="188" customFormat="1">
      <c r="A1225" s="185" t="s">
        <v>1447</v>
      </c>
      <c r="B1225" s="133" t="s">
        <v>4378</v>
      </c>
      <c r="C1225" s="185" t="s">
        <v>3023</v>
      </c>
      <c r="D1225" s="133" t="s">
        <v>1544</v>
      </c>
      <c r="E1225" s="134">
        <v>1</v>
      </c>
      <c r="F1225" s="135" t="s">
        <v>1449</v>
      </c>
      <c r="G1225" s="185" t="s">
        <v>15</v>
      </c>
      <c r="H1225" s="185" t="s">
        <v>15</v>
      </c>
      <c r="I1225" s="185" t="s">
        <v>15</v>
      </c>
      <c r="J1225" s="135" t="s">
        <v>1450</v>
      </c>
      <c r="K1225" s="186">
        <v>18672</v>
      </c>
      <c r="L1225" s="187" t="s">
        <v>173</v>
      </c>
      <c r="M1225" s="187" t="s">
        <v>175</v>
      </c>
    </row>
    <row r="1226" spans="1:13" s="188" customFormat="1">
      <c r="A1226" s="185" t="s">
        <v>1447</v>
      </c>
      <c r="B1226" s="133" t="s">
        <v>4379</v>
      </c>
      <c r="C1226" s="185" t="s">
        <v>3023</v>
      </c>
      <c r="D1226" s="133" t="s">
        <v>1544</v>
      </c>
      <c r="E1226" s="134">
        <v>1</v>
      </c>
      <c r="F1226" s="135" t="s">
        <v>1449</v>
      </c>
      <c r="G1226" s="185" t="s">
        <v>15</v>
      </c>
      <c r="H1226" s="185" t="s">
        <v>15</v>
      </c>
      <c r="I1226" s="185" t="s">
        <v>15</v>
      </c>
      <c r="J1226" s="135" t="s">
        <v>1450</v>
      </c>
      <c r="K1226" s="186">
        <v>15564</v>
      </c>
      <c r="L1226" s="187" t="s">
        <v>173</v>
      </c>
      <c r="M1226" s="187" t="s">
        <v>175</v>
      </c>
    </row>
    <row r="1227" spans="1:13" s="188" customFormat="1">
      <c r="A1227" s="185" t="s">
        <v>1447</v>
      </c>
      <c r="B1227" s="133" t="s">
        <v>4380</v>
      </c>
      <c r="C1227" s="185" t="s">
        <v>3023</v>
      </c>
      <c r="D1227" s="133" t="s">
        <v>1544</v>
      </c>
      <c r="E1227" s="134">
        <v>1</v>
      </c>
      <c r="F1227" s="135" t="s">
        <v>1449</v>
      </c>
      <c r="G1227" s="185" t="s">
        <v>15</v>
      </c>
      <c r="H1227" s="185" t="s">
        <v>15</v>
      </c>
      <c r="I1227" s="185" t="s">
        <v>15</v>
      </c>
      <c r="J1227" s="135" t="s">
        <v>1450</v>
      </c>
      <c r="K1227" s="186">
        <v>12456</v>
      </c>
      <c r="L1227" s="187" t="s">
        <v>173</v>
      </c>
      <c r="M1227" s="187" t="s">
        <v>175</v>
      </c>
    </row>
    <row r="1228" spans="1:13" s="188" customFormat="1">
      <c r="A1228" s="185" t="s">
        <v>1447</v>
      </c>
      <c r="B1228" s="133" t="s">
        <v>4381</v>
      </c>
      <c r="C1228" s="185" t="s">
        <v>3023</v>
      </c>
      <c r="D1228" s="133" t="s">
        <v>1544</v>
      </c>
      <c r="E1228" s="134">
        <v>1</v>
      </c>
      <c r="F1228" s="135" t="s">
        <v>1449</v>
      </c>
      <c r="G1228" s="185" t="s">
        <v>15</v>
      </c>
      <c r="H1228" s="185" t="s">
        <v>15</v>
      </c>
      <c r="I1228" s="185" t="s">
        <v>15</v>
      </c>
      <c r="J1228" s="135" t="s">
        <v>1450</v>
      </c>
      <c r="K1228" s="186">
        <v>10584</v>
      </c>
      <c r="L1228" s="187" t="s">
        <v>173</v>
      </c>
      <c r="M1228" s="187" t="s">
        <v>175</v>
      </c>
    </row>
    <row r="1229" spans="1:13" s="188" customFormat="1">
      <c r="A1229" s="185" t="s">
        <v>1447</v>
      </c>
      <c r="B1229" s="133" t="s">
        <v>4382</v>
      </c>
      <c r="C1229" s="185" t="s">
        <v>3023</v>
      </c>
      <c r="D1229" s="133" t="s">
        <v>1544</v>
      </c>
      <c r="E1229" s="134">
        <v>1</v>
      </c>
      <c r="F1229" s="135" t="s">
        <v>1449</v>
      </c>
      <c r="G1229" s="185" t="s">
        <v>15</v>
      </c>
      <c r="H1229" s="185" t="s">
        <v>15</v>
      </c>
      <c r="I1229" s="185" t="s">
        <v>15</v>
      </c>
      <c r="J1229" s="135" t="s">
        <v>1450</v>
      </c>
      <c r="K1229" s="186">
        <v>8712</v>
      </c>
      <c r="L1229" s="187" t="s">
        <v>173</v>
      </c>
      <c r="M1229" s="187" t="s">
        <v>175</v>
      </c>
    </row>
    <row r="1230" spans="1:13" s="188" customFormat="1">
      <c r="A1230" s="185" t="s">
        <v>1447</v>
      </c>
      <c r="B1230" s="133" t="s">
        <v>4383</v>
      </c>
      <c r="C1230" s="185" t="s">
        <v>3023</v>
      </c>
      <c r="D1230" s="133" t="s">
        <v>1544</v>
      </c>
      <c r="E1230" s="134">
        <v>1</v>
      </c>
      <c r="F1230" s="135" t="s">
        <v>1449</v>
      </c>
      <c r="G1230" s="185" t="s">
        <v>15</v>
      </c>
      <c r="H1230" s="185" t="s">
        <v>15</v>
      </c>
      <c r="I1230" s="185" t="s">
        <v>15</v>
      </c>
      <c r="J1230" s="135" t="s">
        <v>1450</v>
      </c>
      <c r="K1230" s="186">
        <v>7476</v>
      </c>
      <c r="L1230" s="187" t="s">
        <v>173</v>
      </c>
      <c r="M1230" s="187" t="s">
        <v>175</v>
      </c>
    </row>
    <row r="1231" spans="1:13" s="188" customFormat="1">
      <c r="A1231" s="185" t="s">
        <v>1447</v>
      </c>
      <c r="B1231" s="133" t="s">
        <v>4384</v>
      </c>
      <c r="C1231" s="185" t="s">
        <v>3023</v>
      </c>
      <c r="D1231" s="133" t="s">
        <v>1545</v>
      </c>
      <c r="E1231" s="134">
        <v>1</v>
      </c>
      <c r="F1231" s="135" t="s">
        <v>1449</v>
      </c>
      <c r="G1231" s="185" t="s">
        <v>15</v>
      </c>
      <c r="H1231" s="185" t="s">
        <v>15</v>
      </c>
      <c r="I1231" s="185" t="s">
        <v>15</v>
      </c>
      <c r="J1231" s="135" t="s">
        <v>1450</v>
      </c>
      <c r="K1231" s="186">
        <v>9960</v>
      </c>
      <c r="L1231" s="187" t="s">
        <v>173</v>
      </c>
      <c r="M1231" s="187" t="s">
        <v>175</v>
      </c>
    </row>
    <row r="1232" spans="1:13" s="188" customFormat="1">
      <c r="A1232" s="185" t="s">
        <v>1447</v>
      </c>
      <c r="B1232" s="133" t="s">
        <v>4385</v>
      </c>
      <c r="C1232" s="185" t="s">
        <v>3023</v>
      </c>
      <c r="D1232" s="133" t="s">
        <v>1545</v>
      </c>
      <c r="E1232" s="134">
        <v>1</v>
      </c>
      <c r="F1232" s="135" t="s">
        <v>1449</v>
      </c>
      <c r="G1232" s="185" t="s">
        <v>15</v>
      </c>
      <c r="H1232" s="185" t="s">
        <v>15</v>
      </c>
      <c r="I1232" s="185" t="s">
        <v>15</v>
      </c>
      <c r="J1232" s="135" t="s">
        <v>1450</v>
      </c>
      <c r="K1232" s="186">
        <v>8088</v>
      </c>
      <c r="L1232" s="187" t="s">
        <v>173</v>
      </c>
      <c r="M1232" s="187" t="s">
        <v>175</v>
      </c>
    </row>
    <row r="1233" spans="1:13" s="188" customFormat="1">
      <c r="A1233" s="185" t="s">
        <v>1447</v>
      </c>
      <c r="B1233" s="133" t="s">
        <v>4386</v>
      </c>
      <c r="C1233" s="185" t="s">
        <v>3023</v>
      </c>
      <c r="D1233" s="133" t="s">
        <v>1545</v>
      </c>
      <c r="E1233" s="134">
        <v>1</v>
      </c>
      <c r="F1233" s="135" t="s">
        <v>1449</v>
      </c>
      <c r="G1233" s="185" t="s">
        <v>15</v>
      </c>
      <c r="H1233" s="185" t="s">
        <v>15</v>
      </c>
      <c r="I1233" s="185" t="s">
        <v>15</v>
      </c>
      <c r="J1233" s="135" t="s">
        <v>1450</v>
      </c>
      <c r="K1233" s="186">
        <v>7164</v>
      </c>
      <c r="L1233" s="187" t="s">
        <v>173</v>
      </c>
      <c r="M1233" s="187" t="s">
        <v>175</v>
      </c>
    </row>
    <row r="1234" spans="1:13" s="188" customFormat="1">
      <c r="A1234" s="185" t="s">
        <v>1447</v>
      </c>
      <c r="B1234" s="133" t="s">
        <v>4387</v>
      </c>
      <c r="C1234" s="185" t="s">
        <v>3023</v>
      </c>
      <c r="D1234" s="133" t="s">
        <v>1545</v>
      </c>
      <c r="E1234" s="134">
        <v>1</v>
      </c>
      <c r="F1234" s="135" t="s">
        <v>1449</v>
      </c>
      <c r="G1234" s="185" t="s">
        <v>15</v>
      </c>
      <c r="H1234" s="185" t="s">
        <v>15</v>
      </c>
      <c r="I1234" s="185" t="s">
        <v>15</v>
      </c>
      <c r="J1234" s="135" t="s">
        <v>1450</v>
      </c>
      <c r="K1234" s="186">
        <v>5856</v>
      </c>
      <c r="L1234" s="187" t="s">
        <v>173</v>
      </c>
      <c r="M1234" s="187" t="s">
        <v>175</v>
      </c>
    </row>
    <row r="1235" spans="1:13" s="188" customFormat="1">
      <c r="A1235" s="185" t="s">
        <v>1447</v>
      </c>
      <c r="B1235" s="133" t="s">
        <v>4388</v>
      </c>
      <c r="C1235" s="185" t="s">
        <v>3023</v>
      </c>
      <c r="D1235" s="133" t="s">
        <v>1545</v>
      </c>
      <c r="E1235" s="134">
        <v>1</v>
      </c>
      <c r="F1235" s="135" t="s">
        <v>1449</v>
      </c>
      <c r="G1235" s="185" t="s">
        <v>15</v>
      </c>
      <c r="H1235" s="185" t="s">
        <v>15</v>
      </c>
      <c r="I1235" s="185" t="s">
        <v>15</v>
      </c>
      <c r="J1235" s="135" t="s">
        <v>1450</v>
      </c>
      <c r="K1235" s="186">
        <v>4356</v>
      </c>
      <c r="L1235" s="187" t="s">
        <v>173</v>
      </c>
      <c r="M1235" s="187" t="s">
        <v>175</v>
      </c>
    </row>
    <row r="1236" spans="1:13" s="188" customFormat="1">
      <c r="A1236" s="185" t="s">
        <v>1447</v>
      </c>
      <c r="B1236" s="133" t="s">
        <v>4389</v>
      </c>
      <c r="C1236" s="185" t="s">
        <v>3023</v>
      </c>
      <c r="D1236" s="133" t="s">
        <v>1545</v>
      </c>
      <c r="E1236" s="134">
        <v>1</v>
      </c>
      <c r="F1236" s="135" t="s">
        <v>1449</v>
      </c>
      <c r="G1236" s="185" t="s">
        <v>15</v>
      </c>
      <c r="H1236" s="185" t="s">
        <v>15</v>
      </c>
      <c r="I1236" s="185" t="s">
        <v>15</v>
      </c>
      <c r="J1236" s="135" t="s">
        <v>1450</v>
      </c>
      <c r="K1236" s="186">
        <v>3732</v>
      </c>
      <c r="L1236" s="187" t="s">
        <v>173</v>
      </c>
      <c r="M1236" s="187" t="s">
        <v>175</v>
      </c>
    </row>
    <row r="1237" spans="1:13" s="188" customFormat="1">
      <c r="A1237" s="185" t="s">
        <v>1447</v>
      </c>
      <c r="B1237" s="133" t="s">
        <v>4390</v>
      </c>
      <c r="C1237" s="185" t="s">
        <v>3023</v>
      </c>
      <c r="D1237" s="133" t="s">
        <v>4391</v>
      </c>
      <c r="E1237" s="134">
        <v>1</v>
      </c>
      <c r="F1237" s="135" t="s">
        <v>1449</v>
      </c>
      <c r="G1237" s="185" t="s">
        <v>15</v>
      </c>
      <c r="H1237" s="185" t="s">
        <v>15</v>
      </c>
      <c r="I1237" s="185" t="s">
        <v>15</v>
      </c>
      <c r="J1237" s="135" t="s">
        <v>1450</v>
      </c>
      <c r="K1237" s="186">
        <v>87.12</v>
      </c>
      <c r="L1237" s="187" t="s">
        <v>173</v>
      </c>
      <c r="M1237" s="187" t="s">
        <v>175</v>
      </c>
    </row>
    <row r="1238" spans="1:13" s="188" customFormat="1">
      <c r="A1238" s="185" t="s">
        <v>1447</v>
      </c>
      <c r="B1238" s="133" t="s">
        <v>4392</v>
      </c>
      <c r="C1238" s="185" t="s">
        <v>3023</v>
      </c>
      <c r="D1238" s="133" t="s">
        <v>1546</v>
      </c>
      <c r="E1238" s="134">
        <v>1</v>
      </c>
      <c r="F1238" s="135" t="s">
        <v>1449</v>
      </c>
      <c r="G1238" s="185" t="s">
        <v>15</v>
      </c>
      <c r="H1238" s="185" t="s">
        <v>15</v>
      </c>
      <c r="I1238" s="185" t="s">
        <v>15</v>
      </c>
      <c r="J1238" s="135" t="s">
        <v>1450</v>
      </c>
      <c r="K1238" s="186">
        <v>1248</v>
      </c>
      <c r="L1238" s="187" t="s">
        <v>173</v>
      </c>
      <c r="M1238" s="187" t="s">
        <v>175</v>
      </c>
    </row>
    <row r="1239" spans="1:13" s="188" customFormat="1">
      <c r="A1239" s="185" t="s">
        <v>1447</v>
      </c>
      <c r="B1239" s="133" t="s">
        <v>4393</v>
      </c>
      <c r="C1239" s="185" t="s">
        <v>3023</v>
      </c>
      <c r="D1239" s="133" t="s">
        <v>4394</v>
      </c>
      <c r="E1239" s="134">
        <v>1</v>
      </c>
      <c r="F1239" s="135" t="s">
        <v>1449</v>
      </c>
      <c r="G1239" s="185" t="s">
        <v>15</v>
      </c>
      <c r="H1239" s="185" t="s">
        <v>15</v>
      </c>
      <c r="I1239" s="185" t="s">
        <v>15</v>
      </c>
      <c r="J1239" s="135" t="s">
        <v>1450</v>
      </c>
      <c r="K1239" s="186">
        <v>15000</v>
      </c>
      <c r="L1239" s="187" t="s">
        <v>173</v>
      </c>
      <c r="M1239" s="187" t="s">
        <v>175</v>
      </c>
    </row>
    <row r="1240" spans="1:13" s="188" customFormat="1">
      <c r="A1240" s="185" t="s">
        <v>1447</v>
      </c>
      <c r="B1240" s="133" t="s">
        <v>4395</v>
      </c>
      <c r="C1240" s="185" t="s">
        <v>3023</v>
      </c>
      <c r="D1240" s="133" t="s">
        <v>1547</v>
      </c>
      <c r="E1240" s="134">
        <v>1</v>
      </c>
      <c r="F1240" s="135" t="s">
        <v>1449</v>
      </c>
      <c r="G1240" s="185" t="s">
        <v>15</v>
      </c>
      <c r="H1240" s="185" t="s">
        <v>15</v>
      </c>
      <c r="I1240" s="185" t="s">
        <v>15</v>
      </c>
      <c r="J1240" s="135" t="s">
        <v>1450</v>
      </c>
      <c r="K1240" s="186">
        <v>15000</v>
      </c>
      <c r="L1240" s="187" t="s">
        <v>173</v>
      </c>
      <c r="M1240" s="187" t="s">
        <v>175</v>
      </c>
    </row>
    <row r="1241" spans="1:13" s="188" customFormat="1">
      <c r="A1241" s="185" t="s">
        <v>1447</v>
      </c>
      <c r="B1241" s="133" t="s">
        <v>4396</v>
      </c>
      <c r="C1241" s="185" t="s">
        <v>3023</v>
      </c>
      <c r="D1241" s="133" t="s">
        <v>1548</v>
      </c>
      <c r="E1241" s="134">
        <v>1</v>
      </c>
      <c r="F1241" s="135" t="s">
        <v>1449</v>
      </c>
      <c r="G1241" s="185" t="s">
        <v>15</v>
      </c>
      <c r="H1241" s="185" t="s">
        <v>15</v>
      </c>
      <c r="I1241" s="185" t="s">
        <v>15</v>
      </c>
      <c r="J1241" s="135" t="s">
        <v>1450</v>
      </c>
      <c r="K1241" s="186">
        <v>1800</v>
      </c>
      <c r="L1241" s="187" t="s">
        <v>173</v>
      </c>
      <c r="M1241" s="187" t="s">
        <v>175</v>
      </c>
    </row>
    <row r="1242" spans="1:13" s="188" customFormat="1">
      <c r="A1242" s="185" t="s">
        <v>1447</v>
      </c>
      <c r="B1242" s="133" t="s">
        <v>4397</v>
      </c>
      <c r="C1242" s="185" t="s">
        <v>3023</v>
      </c>
      <c r="D1242" s="133" t="s">
        <v>1548</v>
      </c>
      <c r="E1242" s="134">
        <v>1</v>
      </c>
      <c r="F1242" s="135" t="s">
        <v>1449</v>
      </c>
      <c r="G1242" s="185" t="s">
        <v>15</v>
      </c>
      <c r="H1242" s="185" t="s">
        <v>15</v>
      </c>
      <c r="I1242" s="185" t="s">
        <v>15</v>
      </c>
      <c r="J1242" s="135" t="s">
        <v>1450</v>
      </c>
      <c r="K1242" s="186">
        <v>1740</v>
      </c>
      <c r="L1242" s="187" t="s">
        <v>173</v>
      </c>
      <c r="M1242" s="187" t="s">
        <v>175</v>
      </c>
    </row>
    <row r="1243" spans="1:13" s="188" customFormat="1">
      <c r="A1243" s="185" t="s">
        <v>1447</v>
      </c>
      <c r="B1243" s="133" t="s">
        <v>4398</v>
      </c>
      <c r="C1243" s="185" t="s">
        <v>3023</v>
      </c>
      <c r="D1243" s="133" t="s">
        <v>1548</v>
      </c>
      <c r="E1243" s="134">
        <v>1</v>
      </c>
      <c r="F1243" s="135" t="s">
        <v>1449</v>
      </c>
      <c r="G1243" s="185" t="s">
        <v>15</v>
      </c>
      <c r="H1243" s="185" t="s">
        <v>15</v>
      </c>
      <c r="I1243" s="185" t="s">
        <v>15</v>
      </c>
      <c r="J1243" s="135" t="s">
        <v>1450</v>
      </c>
      <c r="K1243" s="186">
        <v>1620</v>
      </c>
      <c r="L1243" s="187" t="s">
        <v>173</v>
      </c>
      <c r="M1243" s="187" t="s">
        <v>175</v>
      </c>
    </row>
    <row r="1244" spans="1:13" s="188" customFormat="1">
      <c r="A1244" s="185" t="s">
        <v>1447</v>
      </c>
      <c r="B1244" s="133" t="s">
        <v>4399</v>
      </c>
      <c r="C1244" s="185" t="s">
        <v>3023</v>
      </c>
      <c r="D1244" s="133" t="s">
        <v>1548</v>
      </c>
      <c r="E1244" s="134">
        <v>1</v>
      </c>
      <c r="F1244" s="135" t="s">
        <v>1449</v>
      </c>
      <c r="G1244" s="185" t="s">
        <v>15</v>
      </c>
      <c r="H1244" s="185" t="s">
        <v>15</v>
      </c>
      <c r="I1244" s="185" t="s">
        <v>15</v>
      </c>
      <c r="J1244" s="135" t="s">
        <v>1450</v>
      </c>
      <c r="K1244" s="186">
        <v>1428</v>
      </c>
      <c r="L1244" s="187" t="s">
        <v>173</v>
      </c>
      <c r="M1244" s="187" t="s">
        <v>175</v>
      </c>
    </row>
    <row r="1245" spans="1:13" s="188" customFormat="1">
      <c r="A1245" s="185" t="s">
        <v>1447</v>
      </c>
      <c r="B1245" s="133" t="s">
        <v>4400</v>
      </c>
      <c r="C1245" s="185" t="s">
        <v>3023</v>
      </c>
      <c r="D1245" s="133" t="s">
        <v>1548</v>
      </c>
      <c r="E1245" s="134">
        <v>1</v>
      </c>
      <c r="F1245" s="135" t="s">
        <v>1449</v>
      </c>
      <c r="G1245" s="185" t="s">
        <v>15</v>
      </c>
      <c r="H1245" s="185" t="s">
        <v>15</v>
      </c>
      <c r="I1245" s="185" t="s">
        <v>15</v>
      </c>
      <c r="J1245" s="135" t="s">
        <v>1450</v>
      </c>
      <c r="K1245" s="186">
        <v>1308</v>
      </c>
      <c r="L1245" s="187" t="s">
        <v>173</v>
      </c>
      <c r="M1245" s="187" t="s">
        <v>175</v>
      </c>
    </row>
    <row r="1246" spans="1:13" s="188" customFormat="1">
      <c r="A1246" s="185" t="s">
        <v>1447</v>
      </c>
      <c r="B1246" s="133" t="s">
        <v>4401</v>
      </c>
      <c r="C1246" s="185" t="s">
        <v>3023</v>
      </c>
      <c r="D1246" s="133" t="s">
        <v>1549</v>
      </c>
      <c r="E1246" s="134">
        <v>1</v>
      </c>
      <c r="F1246" s="135" t="s">
        <v>1449</v>
      </c>
      <c r="G1246" s="185" t="s">
        <v>15</v>
      </c>
      <c r="H1246" s="185" t="s">
        <v>15</v>
      </c>
      <c r="I1246" s="185" t="s">
        <v>15</v>
      </c>
      <c r="J1246" s="135" t="s">
        <v>1450</v>
      </c>
      <c r="K1246" s="186">
        <v>504</v>
      </c>
      <c r="L1246" s="187" t="s">
        <v>173</v>
      </c>
      <c r="M1246" s="187" t="s">
        <v>175</v>
      </c>
    </row>
    <row r="1247" spans="1:13" s="188" customFormat="1">
      <c r="A1247" s="185" t="s">
        <v>1447</v>
      </c>
      <c r="B1247" s="133" t="s">
        <v>4402</v>
      </c>
      <c r="C1247" s="185" t="s">
        <v>3023</v>
      </c>
      <c r="D1247" s="133" t="s">
        <v>1550</v>
      </c>
      <c r="E1247" s="134">
        <v>1</v>
      </c>
      <c r="F1247" s="135" t="s">
        <v>1449</v>
      </c>
      <c r="G1247" s="185" t="s">
        <v>15</v>
      </c>
      <c r="H1247" s="185" t="s">
        <v>15</v>
      </c>
      <c r="I1247" s="185" t="s">
        <v>15</v>
      </c>
      <c r="J1247" s="135" t="s">
        <v>1450</v>
      </c>
      <c r="K1247" s="186">
        <v>624</v>
      </c>
      <c r="L1247" s="187" t="s">
        <v>173</v>
      </c>
      <c r="M1247" s="187" t="s">
        <v>175</v>
      </c>
    </row>
    <row r="1248" spans="1:13" s="188" customFormat="1">
      <c r="A1248" s="185" t="s">
        <v>1447</v>
      </c>
      <c r="B1248" s="133" t="s">
        <v>4403</v>
      </c>
      <c r="C1248" s="185" t="s">
        <v>3023</v>
      </c>
      <c r="D1248" s="133" t="s">
        <v>1551</v>
      </c>
      <c r="E1248" s="134">
        <v>1</v>
      </c>
      <c r="F1248" s="135" t="s">
        <v>1449</v>
      </c>
      <c r="G1248" s="185" t="s">
        <v>15</v>
      </c>
      <c r="H1248" s="185" t="s">
        <v>15</v>
      </c>
      <c r="I1248" s="185" t="s">
        <v>15</v>
      </c>
      <c r="J1248" s="135" t="s">
        <v>1450</v>
      </c>
      <c r="K1248" s="186">
        <v>233460</v>
      </c>
      <c r="L1248" s="187" t="s">
        <v>173</v>
      </c>
      <c r="M1248" s="187" t="s">
        <v>175</v>
      </c>
    </row>
    <row r="1249" spans="1:13" s="188" customFormat="1">
      <c r="A1249" s="185" t="s">
        <v>1447</v>
      </c>
      <c r="B1249" s="133" t="s">
        <v>4404</v>
      </c>
      <c r="C1249" s="185" t="s">
        <v>3023</v>
      </c>
      <c r="D1249" s="133" t="s">
        <v>1552</v>
      </c>
      <c r="E1249" s="134">
        <v>1</v>
      </c>
      <c r="F1249" s="135" t="s">
        <v>1449</v>
      </c>
      <c r="G1249" s="185" t="s">
        <v>15</v>
      </c>
      <c r="H1249" s="185" t="s">
        <v>15</v>
      </c>
      <c r="I1249" s="185" t="s">
        <v>15</v>
      </c>
      <c r="J1249" s="135" t="s">
        <v>1450</v>
      </c>
      <c r="K1249" s="186">
        <v>1.63</v>
      </c>
      <c r="L1249" s="187" t="s">
        <v>173</v>
      </c>
      <c r="M1249" s="187" t="s">
        <v>175</v>
      </c>
    </row>
    <row r="1250" spans="1:13" s="188" customFormat="1">
      <c r="A1250" s="185" t="s">
        <v>1447</v>
      </c>
      <c r="B1250" s="133" t="s">
        <v>4405</v>
      </c>
      <c r="C1250" s="185" t="s">
        <v>3023</v>
      </c>
      <c r="D1250" s="133" t="s">
        <v>1552</v>
      </c>
      <c r="E1250" s="134">
        <v>1</v>
      </c>
      <c r="F1250" s="135" t="s">
        <v>1449</v>
      </c>
      <c r="G1250" s="185" t="s">
        <v>15</v>
      </c>
      <c r="H1250" s="185" t="s">
        <v>15</v>
      </c>
      <c r="I1250" s="185" t="s">
        <v>15</v>
      </c>
      <c r="J1250" s="135" t="s">
        <v>1450</v>
      </c>
      <c r="K1250" s="186">
        <v>1.1299999999999999</v>
      </c>
      <c r="L1250" s="187" t="s">
        <v>173</v>
      </c>
      <c r="M1250" s="187" t="s">
        <v>175</v>
      </c>
    </row>
    <row r="1251" spans="1:13" s="188" customFormat="1">
      <c r="A1251" s="185" t="s">
        <v>1447</v>
      </c>
      <c r="B1251" s="133" t="s">
        <v>4406</v>
      </c>
      <c r="C1251" s="185" t="s">
        <v>3023</v>
      </c>
      <c r="D1251" s="133" t="s">
        <v>1552</v>
      </c>
      <c r="E1251" s="134">
        <v>1</v>
      </c>
      <c r="F1251" s="135" t="s">
        <v>1449</v>
      </c>
      <c r="G1251" s="185" t="s">
        <v>15</v>
      </c>
      <c r="H1251" s="185" t="s">
        <v>15</v>
      </c>
      <c r="I1251" s="185" t="s">
        <v>15</v>
      </c>
      <c r="J1251" s="135" t="s">
        <v>1450</v>
      </c>
      <c r="K1251" s="186">
        <v>0.88</v>
      </c>
      <c r="L1251" s="187" t="s">
        <v>173</v>
      </c>
      <c r="M1251" s="187" t="s">
        <v>175</v>
      </c>
    </row>
    <row r="1252" spans="1:13" s="188" customFormat="1">
      <c r="A1252" s="185" t="s">
        <v>1447</v>
      </c>
      <c r="B1252" s="133" t="s">
        <v>4407</v>
      </c>
      <c r="C1252" s="185" t="s">
        <v>3023</v>
      </c>
      <c r="D1252" s="133" t="s">
        <v>1552</v>
      </c>
      <c r="E1252" s="134">
        <v>1</v>
      </c>
      <c r="F1252" s="135" t="s">
        <v>1449</v>
      </c>
      <c r="G1252" s="185" t="s">
        <v>15</v>
      </c>
      <c r="H1252" s="185" t="s">
        <v>15</v>
      </c>
      <c r="I1252" s="185" t="s">
        <v>15</v>
      </c>
      <c r="J1252" s="135" t="s">
        <v>1450</v>
      </c>
      <c r="K1252" s="186">
        <v>0.73</v>
      </c>
      <c r="L1252" s="187" t="s">
        <v>173</v>
      </c>
      <c r="M1252" s="187" t="s">
        <v>175</v>
      </c>
    </row>
    <row r="1253" spans="1:13" s="188" customFormat="1">
      <c r="A1253" s="185" t="s">
        <v>1447</v>
      </c>
      <c r="B1253" s="133" t="s">
        <v>4408</v>
      </c>
      <c r="C1253" s="185" t="s">
        <v>3023</v>
      </c>
      <c r="D1253" s="133" t="s">
        <v>1552</v>
      </c>
      <c r="E1253" s="134">
        <v>1</v>
      </c>
      <c r="F1253" s="135" t="s">
        <v>1449</v>
      </c>
      <c r="G1253" s="185" t="s">
        <v>15</v>
      </c>
      <c r="H1253" s="185" t="s">
        <v>15</v>
      </c>
      <c r="I1253" s="185" t="s">
        <v>15</v>
      </c>
      <c r="J1253" s="135" t="s">
        <v>1450</v>
      </c>
      <c r="K1253" s="186">
        <v>0.63</v>
      </c>
      <c r="L1253" s="187" t="s">
        <v>173</v>
      </c>
      <c r="M1253" s="187" t="s">
        <v>175</v>
      </c>
    </row>
    <row r="1254" spans="1:13" s="188" customFormat="1">
      <c r="A1254" s="185" t="s">
        <v>1447</v>
      </c>
      <c r="B1254" s="133" t="s">
        <v>4409</v>
      </c>
      <c r="C1254" s="185" t="s">
        <v>3023</v>
      </c>
      <c r="D1254" s="133" t="s">
        <v>1553</v>
      </c>
      <c r="E1254" s="134">
        <v>1</v>
      </c>
      <c r="F1254" s="135" t="s">
        <v>1449</v>
      </c>
      <c r="G1254" s="185" t="s">
        <v>15</v>
      </c>
      <c r="H1254" s="185" t="s">
        <v>15</v>
      </c>
      <c r="I1254" s="185" t="s">
        <v>15</v>
      </c>
      <c r="J1254" s="135" t="s">
        <v>1450</v>
      </c>
      <c r="K1254" s="186">
        <v>233460</v>
      </c>
      <c r="L1254" s="187" t="s">
        <v>173</v>
      </c>
      <c r="M1254" s="187" t="s">
        <v>175</v>
      </c>
    </row>
    <row r="1255" spans="1:13" s="188" customFormat="1">
      <c r="A1255" s="185" t="s">
        <v>1447</v>
      </c>
      <c r="B1255" s="133" t="s">
        <v>4410</v>
      </c>
      <c r="C1255" s="185" t="s">
        <v>3023</v>
      </c>
      <c r="D1255" s="133" t="s">
        <v>1554</v>
      </c>
      <c r="E1255" s="134">
        <v>1</v>
      </c>
      <c r="F1255" s="135" t="s">
        <v>1449</v>
      </c>
      <c r="G1255" s="185" t="s">
        <v>15</v>
      </c>
      <c r="H1255" s="185" t="s">
        <v>15</v>
      </c>
      <c r="I1255" s="185" t="s">
        <v>15</v>
      </c>
      <c r="J1255" s="135" t="s">
        <v>1450</v>
      </c>
      <c r="K1255" s="186">
        <v>62256</v>
      </c>
      <c r="L1255" s="187" t="s">
        <v>173</v>
      </c>
      <c r="M1255" s="187" t="s">
        <v>175</v>
      </c>
    </row>
    <row r="1256" spans="1:13" s="188" customFormat="1">
      <c r="A1256" s="185" t="s">
        <v>1447</v>
      </c>
      <c r="B1256" s="133" t="s">
        <v>4411</v>
      </c>
      <c r="C1256" s="185" t="s">
        <v>3023</v>
      </c>
      <c r="D1256" s="133" t="s">
        <v>1554</v>
      </c>
      <c r="E1256" s="134">
        <v>1</v>
      </c>
      <c r="F1256" s="135" t="s">
        <v>1449</v>
      </c>
      <c r="G1256" s="185" t="s">
        <v>15</v>
      </c>
      <c r="H1256" s="185" t="s">
        <v>15</v>
      </c>
      <c r="I1256" s="185" t="s">
        <v>15</v>
      </c>
      <c r="J1256" s="135" t="s">
        <v>1450</v>
      </c>
      <c r="K1256" s="186">
        <v>31128</v>
      </c>
      <c r="L1256" s="187" t="s">
        <v>173</v>
      </c>
      <c r="M1256" s="187" t="s">
        <v>175</v>
      </c>
    </row>
    <row r="1257" spans="1:13" s="188" customFormat="1">
      <c r="A1257" s="185" t="s">
        <v>1447</v>
      </c>
      <c r="B1257" s="133" t="s">
        <v>4412</v>
      </c>
      <c r="C1257" s="185" t="s">
        <v>3023</v>
      </c>
      <c r="D1257" s="133" t="s">
        <v>1554</v>
      </c>
      <c r="E1257" s="134">
        <v>1</v>
      </c>
      <c r="F1257" s="135" t="s">
        <v>1449</v>
      </c>
      <c r="G1257" s="185" t="s">
        <v>15</v>
      </c>
      <c r="H1257" s="185" t="s">
        <v>15</v>
      </c>
      <c r="I1257" s="185" t="s">
        <v>15</v>
      </c>
      <c r="J1257" s="135" t="s">
        <v>1450</v>
      </c>
      <c r="K1257" s="186">
        <v>23352</v>
      </c>
      <c r="L1257" s="187" t="s">
        <v>173</v>
      </c>
      <c r="M1257" s="187" t="s">
        <v>175</v>
      </c>
    </row>
    <row r="1258" spans="1:13" s="188" customFormat="1">
      <c r="A1258" s="185" t="s">
        <v>1447</v>
      </c>
      <c r="B1258" s="133" t="s">
        <v>4413</v>
      </c>
      <c r="C1258" s="185" t="s">
        <v>3023</v>
      </c>
      <c r="D1258" s="133" t="s">
        <v>1554</v>
      </c>
      <c r="E1258" s="134">
        <v>1</v>
      </c>
      <c r="F1258" s="135" t="s">
        <v>1449</v>
      </c>
      <c r="G1258" s="185" t="s">
        <v>15</v>
      </c>
      <c r="H1258" s="185" t="s">
        <v>15</v>
      </c>
      <c r="I1258" s="185" t="s">
        <v>15</v>
      </c>
      <c r="J1258" s="135" t="s">
        <v>1450</v>
      </c>
      <c r="K1258" s="186">
        <v>18672</v>
      </c>
      <c r="L1258" s="187" t="s">
        <v>173</v>
      </c>
      <c r="M1258" s="187" t="s">
        <v>175</v>
      </c>
    </row>
    <row r="1259" spans="1:13" s="188" customFormat="1">
      <c r="A1259" s="185" t="s">
        <v>1447</v>
      </c>
      <c r="B1259" s="133" t="s">
        <v>4414</v>
      </c>
      <c r="C1259" s="185" t="s">
        <v>3023</v>
      </c>
      <c r="D1259" s="133" t="s">
        <v>1554</v>
      </c>
      <c r="E1259" s="134">
        <v>1</v>
      </c>
      <c r="F1259" s="135" t="s">
        <v>1449</v>
      </c>
      <c r="G1259" s="185" t="s">
        <v>15</v>
      </c>
      <c r="H1259" s="185" t="s">
        <v>15</v>
      </c>
      <c r="I1259" s="185" t="s">
        <v>15</v>
      </c>
      <c r="J1259" s="135" t="s">
        <v>1450</v>
      </c>
      <c r="K1259" s="186">
        <v>12456</v>
      </c>
      <c r="L1259" s="187" t="s">
        <v>173</v>
      </c>
      <c r="M1259" s="187" t="s">
        <v>175</v>
      </c>
    </row>
    <row r="1260" spans="1:13" s="188" customFormat="1">
      <c r="A1260" s="185" t="s">
        <v>1447</v>
      </c>
      <c r="B1260" s="133" t="s">
        <v>4415</v>
      </c>
      <c r="C1260" s="185" t="s">
        <v>3023</v>
      </c>
      <c r="D1260" s="133" t="s">
        <v>1555</v>
      </c>
      <c r="E1260" s="134">
        <v>1</v>
      </c>
      <c r="F1260" s="135" t="s">
        <v>1449</v>
      </c>
      <c r="G1260" s="185" t="s">
        <v>15</v>
      </c>
      <c r="H1260" s="185" t="s">
        <v>15</v>
      </c>
      <c r="I1260" s="185" t="s">
        <v>15</v>
      </c>
      <c r="J1260" s="135" t="s">
        <v>1450</v>
      </c>
      <c r="K1260" s="186">
        <v>466920</v>
      </c>
      <c r="L1260" s="187" t="s">
        <v>173</v>
      </c>
      <c r="M1260" s="187" t="s">
        <v>175</v>
      </c>
    </row>
    <row r="1261" spans="1:13" s="188" customFormat="1">
      <c r="A1261" s="185" t="s">
        <v>1447</v>
      </c>
      <c r="B1261" s="133" t="s">
        <v>4416</v>
      </c>
      <c r="C1261" s="185" t="s">
        <v>3023</v>
      </c>
      <c r="D1261" s="133" t="s">
        <v>1556</v>
      </c>
      <c r="E1261" s="134">
        <v>1</v>
      </c>
      <c r="F1261" s="135" t="s">
        <v>1449</v>
      </c>
      <c r="G1261" s="185" t="s">
        <v>15</v>
      </c>
      <c r="H1261" s="185" t="s">
        <v>15</v>
      </c>
      <c r="I1261" s="185" t="s">
        <v>15</v>
      </c>
      <c r="J1261" s="135" t="s">
        <v>1450</v>
      </c>
      <c r="K1261" s="186">
        <v>2.0299999999999998</v>
      </c>
      <c r="L1261" s="187" t="s">
        <v>173</v>
      </c>
      <c r="M1261" s="187" t="s">
        <v>175</v>
      </c>
    </row>
    <row r="1262" spans="1:13" s="188" customFormat="1">
      <c r="A1262" s="185" t="s">
        <v>1447</v>
      </c>
      <c r="B1262" s="133" t="s">
        <v>4417</v>
      </c>
      <c r="C1262" s="185" t="s">
        <v>3023</v>
      </c>
      <c r="D1262" s="133" t="s">
        <v>1556</v>
      </c>
      <c r="E1262" s="134">
        <v>1</v>
      </c>
      <c r="F1262" s="135" t="s">
        <v>1449</v>
      </c>
      <c r="G1262" s="185" t="s">
        <v>15</v>
      </c>
      <c r="H1262" s="185" t="s">
        <v>15</v>
      </c>
      <c r="I1262" s="185" t="s">
        <v>15</v>
      </c>
      <c r="J1262" s="135" t="s">
        <v>1450</v>
      </c>
      <c r="K1262" s="186">
        <v>1.35</v>
      </c>
      <c r="L1262" s="187" t="s">
        <v>173</v>
      </c>
      <c r="M1262" s="187" t="s">
        <v>175</v>
      </c>
    </row>
    <row r="1263" spans="1:13" s="188" customFormat="1">
      <c r="A1263" s="185" t="s">
        <v>1447</v>
      </c>
      <c r="B1263" s="133" t="s">
        <v>4418</v>
      </c>
      <c r="C1263" s="185" t="s">
        <v>3023</v>
      </c>
      <c r="D1263" s="133" t="s">
        <v>1556</v>
      </c>
      <c r="E1263" s="134">
        <v>1</v>
      </c>
      <c r="F1263" s="135" t="s">
        <v>1449</v>
      </c>
      <c r="G1263" s="185" t="s">
        <v>15</v>
      </c>
      <c r="H1263" s="185" t="s">
        <v>15</v>
      </c>
      <c r="I1263" s="185" t="s">
        <v>15</v>
      </c>
      <c r="J1263" s="135" t="s">
        <v>1450</v>
      </c>
      <c r="K1263" s="186">
        <v>1.05</v>
      </c>
      <c r="L1263" s="187" t="s">
        <v>173</v>
      </c>
      <c r="M1263" s="187" t="s">
        <v>175</v>
      </c>
    </row>
    <row r="1264" spans="1:13" s="188" customFormat="1">
      <c r="A1264" s="185" t="s">
        <v>1447</v>
      </c>
      <c r="B1264" s="133" t="s">
        <v>4419</v>
      </c>
      <c r="C1264" s="185" t="s">
        <v>3023</v>
      </c>
      <c r="D1264" s="133" t="s">
        <v>1556</v>
      </c>
      <c r="E1264" s="134">
        <v>1</v>
      </c>
      <c r="F1264" s="135" t="s">
        <v>1449</v>
      </c>
      <c r="G1264" s="185" t="s">
        <v>15</v>
      </c>
      <c r="H1264" s="185" t="s">
        <v>15</v>
      </c>
      <c r="I1264" s="185" t="s">
        <v>15</v>
      </c>
      <c r="J1264" s="135" t="s">
        <v>1450</v>
      </c>
      <c r="K1264" s="186">
        <v>0.87</v>
      </c>
      <c r="L1264" s="187" t="s">
        <v>173</v>
      </c>
      <c r="M1264" s="187" t="s">
        <v>175</v>
      </c>
    </row>
    <row r="1265" spans="1:13" s="188" customFormat="1">
      <c r="A1265" s="185" t="s">
        <v>1447</v>
      </c>
      <c r="B1265" s="133" t="s">
        <v>4420</v>
      </c>
      <c r="C1265" s="185" t="s">
        <v>3023</v>
      </c>
      <c r="D1265" s="133" t="s">
        <v>1556</v>
      </c>
      <c r="E1265" s="134">
        <v>1</v>
      </c>
      <c r="F1265" s="135" t="s">
        <v>1449</v>
      </c>
      <c r="G1265" s="185" t="s">
        <v>15</v>
      </c>
      <c r="H1265" s="185" t="s">
        <v>15</v>
      </c>
      <c r="I1265" s="185" t="s">
        <v>15</v>
      </c>
      <c r="J1265" s="135" t="s">
        <v>1450</v>
      </c>
      <c r="K1265" s="186">
        <v>0.75</v>
      </c>
      <c r="L1265" s="187" t="s">
        <v>173</v>
      </c>
      <c r="M1265" s="187" t="s">
        <v>175</v>
      </c>
    </row>
    <row r="1266" spans="1:13" s="188" customFormat="1">
      <c r="A1266" s="185" t="s">
        <v>1447</v>
      </c>
      <c r="B1266" s="133" t="s">
        <v>4421</v>
      </c>
      <c r="C1266" s="185" t="s">
        <v>3023</v>
      </c>
      <c r="D1266" s="133" t="s">
        <v>1557</v>
      </c>
      <c r="E1266" s="134">
        <v>1</v>
      </c>
      <c r="F1266" s="135" t="s">
        <v>1449</v>
      </c>
      <c r="G1266" s="185" t="s">
        <v>15</v>
      </c>
      <c r="H1266" s="185" t="s">
        <v>15</v>
      </c>
      <c r="I1266" s="185" t="s">
        <v>15</v>
      </c>
      <c r="J1266" s="135" t="s">
        <v>1450</v>
      </c>
      <c r="K1266" s="186">
        <v>466920</v>
      </c>
      <c r="L1266" s="187" t="s">
        <v>173</v>
      </c>
      <c r="M1266" s="187" t="s">
        <v>175</v>
      </c>
    </row>
    <row r="1267" spans="1:13" s="188" customFormat="1">
      <c r="A1267" s="185" t="s">
        <v>1447</v>
      </c>
      <c r="B1267" s="133" t="s">
        <v>4422</v>
      </c>
      <c r="C1267" s="185" t="s">
        <v>3023</v>
      </c>
      <c r="D1267" s="133" t="s">
        <v>1558</v>
      </c>
      <c r="E1267" s="134">
        <v>1</v>
      </c>
      <c r="F1267" s="135" t="s">
        <v>1449</v>
      </c>
      <c r="G1267" s="185" t="s">
        <v>15</v>
      </c>
      <c r="H1267" s="185" t="s">
        <v>15</v>
      </c>
      <c r="I1267" s="185" t="s">
        <v>15</v>
      </c>
      <c r="J1267" s="135" t="s">
        <v>1450</v>
      </c>
      <c r="K1267" s="186">
        <v>77820</v>
      </c>
      <c r="L1267" s="187" t="s">
        <v>173</v>
      </c>
      <c r="M1267" s="187" t="s">
        <v>175</v>
      </c>
    </row>
    <row r="1268" spans="1:13" s="188" customFormat="1">
      <c r="A1268" s="185" t="s">
        <v>1447</v>
      </c>
      <c r="B1268" s="133" t="s">
        <v>4423</v>
      </c>
      <c r="C1268" s="185" t="s">
        <v>3023</v>
      </c>
      <c r="D1268" s="133" t="s">
        <v>1558</v>
      </c>
      <c r="E1268" s="134">
        <v>1</v>
      </c>
      <c r="F1268" s="135" t="s">
        <v>1449</v>
      </c>
      <c r="G1268" s="185" t="s">
        <v>15</v>
      </c>
      <c r="H1268" s="185" t="s">
        <v>15</v>
      </c>
      <c r="I1268" s="185" t="s">
        <v>15</v>
      </c>
      <c r="J1268" s="135" t="s">
        <v>1450</v>
      </c>
      <c r="K1268" s="186">
        <v>38916</v>
      </c>
      <c r="L1268" s="187" t="s">
        <v>173</v>
      </c>
      <c r="M1268" s="187" t="s">
        <v>175</v>
      </c>
    </row>
    <row r="1269" spans="1:13" s="188" customFormat="1">
      <c r="A1269" s="185" t="s">
        <v>1447</v>
      </c>
      <c r="B1269" s="133" t="s">
        <v>4424</v>
      </c>
      <c r="C1269" s="185" t="s">
        <v>3023</v>
      </c>
      <c r="D1269" s="133" t="s">
        <v>1558</v>
      </c>
      <c r="E1269" s="134">
        <v>1</v>
      </c>
      <c r="F1269" s="135" t="s">
        <v>1449</v>
      </c>
      <c r="G1269" s="185" t="s">
        <v>15</v>
      </c>
      <c r="H1269" s="185" t="s">
        <v>15</v>
      </c>
      <c r="I1269" s="185" t="s">
        <v>15</v>
      </c>
      <c r="J1269" s="135" t="s">
        <v>1450</v>
      </c>
      <c r="K1269" s="186">
        <v>29568</v>
      </c>
      <c r="L1269" s="187" t="s">
        <v>173</v>
      </c>
      <c r="M1269" s="187" t="s">
        <v>175</v>
      </c>
    </row>
    <row r="1270" spans="1:13" s="188" customFormat="1">
      <c r="A1270" s="185" t="s">
        <v>1447</v>
      </c>
      <c r="B1270" s="133" t="s">
        <v>4425</v>
      </c>
      <c r="C1270" s="185" t="s">
        <v>3023</v>
      </c>
      <c r="D1270" s="133" t="s">
        <v>1558</v>
      </c>
      <c r="E1270" s="134">
        <v>1</v>
      </c>
      <c r="F1270" s="135" t="s">
        <v>1449</v>
      </c>
      <c r="G1270" s="185" t="s">
        <v>15</v>
      </c>
      <c r="H1270" s="185" t="s">
        <v>15</v>
      </c>
      <c r="I1270" s="185" t="s">
        <v>15</v>
      </c>
      <c r="J1270" s="135" t="s">
        <v>1450</v>
      </c>
      <c r="K1270" s="186">
        <v>23352</v>
      </c>
      <c r="L1270" s="187" t="s">
        <v>173</v>
      </c>
      <c r="M1270" s="187" t="s">
        <v>175</v>
      </c>
    </row>
    <row r="1271" spans="1:13" s="188" customFormat="1">
      <c r="A1271" s="185" t="s">
        <v>1447</v>
      </c>
      <c r="B1271" s="133" t="s">
        <v>4426</v>
      </c>
      <c r="C1271" s="185" t="s">
        <v>3023</v>
      </c>
      <c r="D1271" s="133" t="s">
        <v>1558</v>
      </c>
      <c r="E1271" s="134">
        <v>1</v>
      </c>
      <c r="F1271" s="135" t="s">
        <v>1449</v>
      </c>
      <c r="G1271" s="185" t="s">
        <v>15</v>
      </c>
      <c r="H1271" s="185" t="s">
        <v>15</v>
      </c>
      <c r="I1271" s="185" t="s">
        <v>15</v>
      </c>
      <c r="J1271" s="135" t="s">
        <v>1450</v>
      </c>
      <c r="K1271" s="186">
        <v>15564</v>
      </c>
      <c r="L1271" s="187" t="s">
        <v>173</v>
      </c>
      <c r="M1271" s="187" t="s">
        <v>175</v>
      </c>
    </row>
    <row r="1272" spans="1:13" s="188" customFormat="1">
      <c r="A1272" s="185" t="s">
        <v>1447</v>
      </c>
      <c r="B1272" s="133" t="s">
        <v>4427</v>
      </c>
      <c r="C1272" s="185" t="s">
        <v>3023</v>
      </c>
      <c r="D1272" s="133" t="s">
        <v>1559</v>
      </c>
      <c r="E1272" s="134">
        <v>1</v>
      </c>
      <c r="F1272" s="135" t="s">
        <v>1449</v>
      </c>
      <c r="G1272" s="185" t="s">
        <v>15</v>
      </c>
      <c r="H1272" s="185" t="s">
        <v>15</v>
      </c>
      <c r="I1272" s="185" t="s">
        <v>15</v>
      </c>
      <c r="J1272" s="135" t="s">
        <v>1450</v>
      </c>
      <c r="K1272" s="186">
        <v>62256</v>
      </c>
      <c r="L1272" s="187" t="s">
        <v>173</v>
      </c>
      <c r="M1272" s="187" t="s">
        <v>175</v>
      </c>
    </row>
    <row r="1273" spans="1:13" s="188" customFormat="1">
      <c r="A1273" s="185" t="s">
        <v>1447</v>
      </c>
      <c r="B1273" s="133" t="s">
        <v>4428</v>
      </c>
      <c r="C1273" s="185" t="s">
        <v>3023</v>
      </c>
      <c r="D1273" s="133" t="s">
        <v>4429</v>
      </c>
      <c r="E1273" s="134">
        <v>1</v>
      </c>
      <c r="F1273" s="135" t="s">
        <v>1449</v>
      </c>
      <c r="G1273" s="185" t="s">
        <v>15</v>
      </c>
      <c r="H1273" s="185" t="s">
        <v>15</v>
      </c>
      <c r="I1273" s="185" t="s">
        <v>15</v>
      </c>
      <c r="J1273" s="135" t="s">
        <v>1450</v>
      </c>
      <c r="K1273" s="186">
        <v>560304</v>
      </c>
      <c r="L1273" s="187" t="s">
        <v>173</v>
      </c>
      <c r="M1273" s="187" t="s">
        <v>175</v>
      </c>
    </row>
    <row r="1274" spans="1:13" s="188" customFormat="1">
      <c r="A1274" s="185" t="s">
        <v>1447</v>
      </c>
      <c r="B1274" s="133" t="s">
        <v>4430</v>
      </c>
      <c r="C1274" s="185" t="s">
        <v>3023</v>
      </c>
      <c r="D1274" s="133" t="s">
        <v>4431</v>
      </c>
      <c r="E1274" s="134">
        <v>1</v>
      </c>
      <c r="F1274" s="135" t="s">
        <v>1449</v>
      </c>
      <c r="G1274" s="185" t="s">
        <v>15</v>
      </c>
      <c r="H1274" s="185" t="s">
        <v>15</v>
      </c>
      <c r="I1274" s="185" t="s">
        <v>15</v>
      </c>
      <c r="J1274" s="135" t="s">
        <v>1450</v>
      </c>
      <c r="K1274" s="186">
        <v>560304</v>
      </c>
      <c r="L1274" s="187" t="s">
        <v>173</v>
      </c>
      <c r="M1274" s="187" t="s">
        <v>175</v>
      </c>
    </row>
    <row r="1275" spans="1:13" s="188" customFormat="1">
      <c r="A1275" s="185" t="s">
        <v>1447</v>
      </c>
      <c r="B1275" s="133" t="s">
        <v>4432</v>
      </c>
      <c r="C1275" s="185" t="s">
        <v>3023</v>
      </c>
      <c r="D1275" s="133" t="s">
        <v>1560</v>
      </c>
      <c r="E1275" s="134">
        <v>1</v>
      </c>
      <c r="F1275" s="135" t="s">
        <v>1449</v>
      </c>
      <c r="G1275" s="185" t="s">
        <v>15</v>
      </c>
      <c r="H1275" s="185" t="s">
        <v>15</v>
      </c>
      <c r="I1275" s="185" t="s">
        <v>15</v>
      </c>
      <c r="J1275" s="135" t="s">
        <v>1450</v>
      </c>
      <c r="K1275" s="186">
        <v>778200</v>
      </c>
      <c r="L1275" s="187" t="s">
        <v>173</v>
      </c>
      <c r="M1275" s="187" t="s">
        <v>175</v>
      </c>
    </row>
    <row r="1276" spans="1:13" s="188" customFormat="1">
      <c r="A1276" s="185" t="s">
        <v>1447</v>
      </c>
      <c r="B1276" s="133" t="s">
        <v>4433</v>
      </c>
      <c r="C1276" s="185" t="s">
        <v>3023</v>
      </c>
      <c r="D1276" s="133" t="s">
        <v>1561</v>
      </c>
      <c r="E1276" s="134">
        <v>1</v>
      </c>
      <c r="F1276" s="135" t="s">
        <v>1449</v>
      </c>
      <c r="G1276" s="185" t="s">
        <v>15</v>
      </c>
      <c r="H1276" s="185" t="s">
        <v>15</v>
      </c>
      <c r="I1276" s="185" t="s">
        <v>15</v>
      </c>
      <c r="J1276" s="135" t="s">
        <v>1450</v>
      </c>
      <c r="K1276" s="186">
        <v>143184</v>
      </c>
      <c r="L1276" s="187" t="s">
        <v>173</v>
      </c>
      <c r="M1276" s="187" t="s">
        <v>175</v>
      </c>
    </row>
    <row r="1277" spans="1:13" s="188" customFormat="1">
      <c r="A1277" s="185" t="s">
        <v>1447</v>
      </c>
      <c r="B1277" s="133" t="s">
        <v>4434</v>
      </c>
      <c r="C1277" s="185" t="s">
        <v>3023</v>
      </c>
      <c r="D1277" s="133" t="s">
        <v>1561</v>
      </c>
      <c r="E1277" s="134">
        <v>1</v>
      </c>
      <c r="F1277" s="135" t="s">
        <v>1449</v>
      </c>
      <c r="G1277" s="185" t="s">
        <v>15</v>
      </c>
      <c r="H1277" s="185" t="s">
        <v>15</v>
      </c>
      <c r="I1277" s="185" t="s">
        <v>15</v>
      </c>
      <c r="J1277" s="135" t="s">
        <v>1450</v>
      </c>
      <c r="K1277" s="186">
        <v>85608</v>
      </c>
      <c r="L1277" s="187" t="s">
        <v>173</v>
      </c>
      <c r="M1277" s="187" t="s">
        <v>175</v>
      </c>
    </row>
    <row r="1278" spans="1:13" s="188" customFormat="1">
      <c r="A1278" s="185" t="s">
        <v>1447</v>
      </c>
      <c r="B1278" s="133" t="s">
        <v>4435</v>
      </c>
      <c r="C1278" s="185" t="s">
        <v>3023</v>
      </c>
      <c r="D1278" s="133" t="s">
        <v>1561</v>
      </c>
      <c r="E1278" s="134">
        <v>1</v>
      </c>
      <c r="F1278" s="135" t="s">
        <v>1449</v>
      </c>
      <c r="G1278" s="185" t="s">
        <v>15</v>
      </c>
      <c r="H1278" s="185" t="s">
        <v>15</v>
      </c>
      <c r="I1278" s="185" t="s">
        <v>15</v>
      </c>
      <c r="J1278" s="135" t="s">
        <v>1450</v>
      </c>
      <c r="K1278" s="186">
        <v>77820</v>
      </c>
      <c r="L1278" s="187" t="s">
        <v>173</v>
      </c>
      <c r="M1278" s="187" t="s">
        <v>175</v>
      </c>
    </row>
    <row r="1279" spans="1:13" s="188" customFormat="1">
      <c r="A1279" s="185" t="s">
        <v>1447</v>
      </c>
      <c r="B1279" s="133" t="s">
        <v>4436</v>
      </c>
      <c r="C1279" s="185" t="s">
        <v>3023</v>
      </c>
      <c r="D1279" s="133" t="s">
        <v>1561</v>
      </c>
      <c r="E1279" s="134">
        <v>1</v>
      </c>
      <c r="F1279" s="135" t="s">
        <v>1449</v>
      </c>
      <c r="G1279" s="185" t="s">
        <v>15</v>
      </c>
      <c r="H1279" s="185" t="s">
        <v>15</v>
      </c>
      <c r="I1279" s="185" t="s">
        <v>15</v>
      </c>
      <c r="J1279" s="135" t="s">
        <v>1450</v>
      </c>
      <c r="K1279" s="186">
        <v>68484</v>
      </c>
      <c r="L1279" s="187" t="s">
        <v>173</v>
      </c>
      <c r="M1279" s="187" t="s">
        <v>175</v>
      </c>
    </row>
    <row r="1280" spans="1:13" s="188" customFormat="1">
      <c r="A1280" s="185" t="s">
        <v>1447</v>
      </c>
      <c r="B1280" s="133" t="s">
        <v>4437</v>
      </c>
      <c r="C1280" s="185" t="s">
        <v>3023</v>
      </c>
      <c r="D1280" s="133" t="s">
        <v>1561</v>
      </c>
      <c r="E1280" s="134">
        <v>1</v>
      </c>
      <c r="F1280" s="135" t="s">
        <v>1449</v>
      </c>
      <c r="G1280" s="185" t="s">
        <v>15</v>
      </c>
      <c r="H1280" s="185" t="s">
        <v>15</v>
      </c>
      <c r="I1280" s="185" t="s">
        <v>15</v>
      </c>
      <c r="J1280" s="135" t="s">
        <v>1450</v>
      </c>
      <c r="K1280" s="186">
        <v>37356</v>
      </c>
      <c r="L1280" s="187" t="s">
        <v>173</v>
      </c>
      <c r="M1280" s="187" t="s">
        <v>175</v>
      </c>
    </row>
    <row r="1281" spans="1:13" s="188" customFormat="1">
      <c r="A1281" s="185" t="s">
        <v>1447</v>
      </c>
      <c r="B1281" s="133" t="s">
        <v>4438</v>
      </c>
      <c r="C1281" s="185" t="s">
        <v>3023</v>
      </c>
      <c r="D1281" s="133" t="s">
        <v>1562</v>
      </c>
      <c r="E1281" s="134">
        <v>1</v>
      </c>
      <c r="F1281" s="135" t="s">
        <v>1449</v>
      </c>
      <c r="G1281" s="185" t="s">
        <v>15</v>
      </c>
      <c r="H1281" s="185" t="s">
        <v>15</v>
      </c>
      <c r="I1281" s="185" t="s">
        <v>15</v>
      </c>
      <c r="J1281" s="135" t="s">
        <v>1450</v>
      </c>
      <c r="K1281" s="186">
        <v>778200</v>
      </c>
      <c r="L1281" s="187" t="s">
        <v>173</v>
      </c>
      <c r="M1281" s="187" t="s">
        <v>175</v>
      </c>
    </row>
    <row r="1282" spans="1:13" s="188" customFormat="1">
      <c r="A1282" s="185" t="s">
        <v>1447</v>
      </c>
      <c r="B1282" s="133" t="s">
        <v>4439</v>
      </c>
      <c r="C1282" s="185" t="s">
        <v>3023</v>
      </c>
      <c r="D1282" s="133" t="s">
        <v>1563</v>
      </c>
      <c r="E1282" s="134">
        <v>1</v>
      </c>
      <c r="F1282" s="135" t="s">
        <v>1449</v>
      </c>
      <c r="G1282" s="185" t="s">
        <v>15</v>
      </c>
      <c r="H1282" s="185" t="s">
        <v>15</v>
      </c>
      <c r="I1282" s="185" t="s">
        <v>15</v>
      </c>
      <c r="J1282" s="135" t="s">
        <v>1450</v>
      </c>
      <c r="K1282" s="186">
        <v>2.4300000000000002</v>
      </c>
      <c r="L1282" s="187" t="s">
        <v>173</v>
      </c>
      <c r="M1282" s="187" t="s">
        <v>175</v>
      </c>
    </row>
    <row r="1283" spans="1:13" s="188" customFormat="1">
      <c r="A1283" s="185" t="s">
        <v>1447</v>
      </c>
      <c r="B1283" s="133" t="s">
        <v>4440</v>
      </c>
      <c r="C1283" s="185" t="s">
        <v>3023</v>
      </c>
      <c r="D1283" s="133" t="s">
        <v>1563</v>
      </c>
      <c r="E1283" s="134">
        <v>1</v>
      </c>
      <c r="F1283" s="135" t="s">
        <v>1449</v>
      </c>
      <c r="G1283" s="185" t="s">
        <v>15</v>
      </c>
      <c r="H1283" s="185" t="s">
        <v>15</v>
      </c>
      <c r="I1283" s="185" t="s">
        <v>15</v>
      </c>
      <c r="J1283" s="135" t="s">
        <v>1450</v>
      </c>
      <c r="K1283" s="186">
        <v>1.68</v>
      </c>
      <c r="L1283" s="187" t="s">
        <v>173</v>
      </c>
      <c r="M1283" s="187" t="s">
        <v>175</v>
      </c>
    </row>
    <row r="1284" spans="1:13" s="188" customFormat="1">
      <c r="A1284" s="185" t="s">
        <v>1447</v>
      </c>
      <c r="B1284" s="133" t="s">
        <v>4441</v>
      </c>
      <c r="C1284" s="185" t="s">
        <v>3023</v>
      </c>
      <c r="D1284" s="133" t="s">
        <v>1563</v>
      </c>
      <c r="E1284" s="134">
        <v>1</v>
      </c>
      <c r="F1284" s="135" t="s">
        <v>1449</v>
      </c>
      <c r="G1284" s="185" t="s">
        <v>15</v>
      </c>
      <c r="H1284" s="185" t="s">
        <v>15</v>
      </c>
      <c r="I1284" s="185" t="s">
        <v>15</v>
      </c>
      <c r="J1284" s="135" t="s">
        <v>1450</v>
      </c>
      <c r="K1284" s="186">
        <v>1.3</v>
      </c>
      <c r="L1284" s="187" t="s">
        <v>173</v>
      </c>
      <c r="M1284" s="187" t="s">
        <v>175</v>
      </c>
    </row>
    <row r="1285" spans="1:13" s="188" customFormat="1">
      <c r="A1285" s="185" t="s">
        <v>1447</v>
      </c>
      <c r="B1285" s="133" t="s">
        <v>4442</v>
      </c>
      <c r="C1285" s="185" t="s">
        <v>3023</v>
      </c>
      <c r="D1285" s="133" t="s">
        <v>1563</v>
      </c>
      <c r="E1285" s="134">
        <v>1</v>
      </c>
      <c r="F1285" s="135" t="s">
        <v>1449</v>
      </c>
      <c r="G1285" s="185" t="s">
        <v>15</v>
      </c>
      <c r="H1285" s="185" t="s">
        <v>15</v>
      </c>
      <c r="I1285" s="185" t="s">
        <v>15</v>
      </c>
      <c r="J1285" s="135" t="s">
        <v>1450</v>
      </c>
      <c r="K1285" s="186">
        <v>1.08</v>
      </c>
      <c r="L1285" s="187" t="s">
        <v>173</v>
      </c>
      <c r="M1285" s="187" t="s">
        <v>175</v>
      </c>
    </row>
    <row r="1286" spans="1:13" s="188" customFormat="1">
      <c r="A1286" s="185" t="s">
        <v>1447</v>
      </c>
      <c r="B1286" s="133" t="s">
        <v>4443</v>
      </c>
      <c r="C1286" s="185" t="s">
        <v>3023</v>
      </c>
      <c r="D1286" s="133" t="s">
        <v>1563</v>
      </c>
      <c r="E1286" s="134">
        <v>1</v>
      </c>
      <c r="F1286" s="135" t="s">
        <v>1449</v>
      </c>
      <c r="G1286" s="185" t="s">
        <v>15</v>
      </c>
      <c r="H1286" s="185" t="s">
        <v>15</v>
      </c>
      <c r="I1286" s="185" t="s">
        <v>15</v>
      </c>
      <c r="J1286" s="135" t="s">
        <v>1450</v>
      </c>
      <c r="K1286" s="186">
        <v>0.95</v>
      </c>
      <c r="L1286" s="187" t="s">
        <v>173</v>
      </c>
      <c r="M1286" s="187" t="s">
        <v>175</v>
      </c>
    </row>
    <row r="1287" spans="1:13" s="188" customFormat="1">
      <c r="A1287" s="185" t="s">
        <v>1447</v>
      </c>
      <c r="B1287" s="133" t="s">
        <v>4444</v>
      </c>
      <c r="C1287" s="185" t="s">
        <v>3023</v>
      </c>
      <c r="D1287" s="133" t="s">
        <v>1564</v>
      </c>
      <c r="E1287" s="134">
        <v>1</v>
      </c>
      <c r="F1287" s="135" t="s">
        <v>1449</v>
      </c>
      <c r="G1287" s="185" t="s">
        <v>15</v>
      </c>
      <c r="H1287" s="185" t="s">
        <v>15</v>
      </c>
      <c r="I1287" s="185" t="s">
        <v>15</v>
      </c>
      <c r="J1287" s="135" t="s">
        <v>1450</v>
      </c>
      <c r="K1287" s="186">
        <v>38916</v>
      </c>
      <c r="L1287" s="187" t="s">
        <v>173</v>
      </c>
      <c r="M1287" s="187" t="s">
        <v>175</v>
      </c>
    </row>
    <row r="1288" spans="1:13" s="188" customFormat="1">
      <c r="A1288" s="185" t="s">
        <v>1447</v>
      </c>
      <c r="B1288" s="133" t="s">
        <v>4445</v>
      </c>
      <c r="C1288" s="185" t="s">
        <v>3023</v>
      </c>
      <c r="D1288" s="133" t="s">
        <v>1565</v>
      </c>
      <c r="E1288" s="134">
        <v>1</v>
      </c>
      <c r="F1288" s="135" t="s">
        <v>1449</v>
      </c>
      <c r="G1288" s="185" t="s">
        <v>15</v>
      </c>
      <c r="H1288" s="185" t="s">
        <v>15</v>
      </c>
      <c r="I1288" s="185" t="s">
        <v>15</v>
      </c>
      <c r="J1288" s="135" t="s">
        <v>1450</v>
      </c>
      <c r="K1288" s="186">
        <v>77820</v>
      </c>
      <c r="L1288" s="187" t="s">
        <v>173</v>
      </c>
      <c r="M1288" s="187" t="s">
        <v>175</v>
      </c>
    </row>
    <row r="1289" spans="1:13" s="188" customFormat="1">
      <c r="A1289" s="185" t="s">
        <v>1447</v>
      </c>
      <c r="B1289" s="133" t="s">
        <v>4446</v>
      </c>
      <c r="C1289" s="185" t="s">
        <v>3023</v>
      </c>
      <c r="D1289" s="133" t="s">
        <v>1566</v>
      </c>
      <c r="E1289" s="134">
        <v>1</v>
      </c>
      <c r="F1289" s="135" t="s">
        <v>1449</v>
      </c>
      <c r="G1289" s="185" t="s">
        <v>15</v>
      </c>
      <c r="H1289" s="185" t="s">
        <v>15</v>
      </c>
      <c r="I1289" s="185" t="s">
        <v>15</v>
      </c>
      <c r="J1289" s="135" t="s">
        <v>1450</v>
      </c>
      <c r="K1289" s="186">
        <v>249024</v>
      </c>
      <c r="L1289" s="187" t="s">
        <v>173</v>
      </c>
      <c r="M1289" s="187" t="s">
        <v>175</v>
      </c>
    </row>
    <row r="1290" spans="1:13" s="188" customFormat="1">
      <c r="A1290" s="185" t="s">
        <v>1447</v>
      </c>
      <c r="B1290" s="133" t="s">
        <v>4447</v>
      </c>
      <c r="C1290" s="185" t="s">
        <v>3023</v>
      </c>
      <c r="D1290" s="133" t="s">
        <v>1567</v>
      </c>
      <c r="E1290" s="134">
        <v>1</v>
      </c>
      <c r="F1290" s="135" t="s">
        <v>1449</v>
      </c>
      <c r="G1290" s="185" t="s">
        <v>15</v>
      </c>
      <c r="H1290" s="185" t="s">
        <v>15</v>
      </c>
      <c r="I1290" s="185" t="s">
        <v>15</v>
      </c>
      <c r="J1290" s="135" t="s">
        <v>1450</v>
      </c>
      <c r="K1290" s="186">
        <v>824892</v>
      </c>
      <c r="L1290" s="187" t="s">
        <v>173</v>
      </c>
      <c r="M1290" s="187" t="s">
        <v>175</v>
      </c>
    </row>
    <row r="1291" spans="1:13" s="188" customFormat="1">
      <c r="A1291" s="185" t="s">
        <v>1447</v>
      </c>
      <c r="B1291" s="133" t="s">
        <v>4448</v>
      </c>
      <c r="C1291" s="185" t="s">
        <v>3023</v>
      </c>
      <c r="D1291" s="133" t="s">
        <v>4449</v>
      </c>
      <c r="E1291" s="134">
        <v>1</v>
      </c>
      <c r="F1291" s="135" t="s">
        <v>1449</v>
      </c>
      <c r="G1291" s="185" t="s">
        <v>15</v>
      </c>
      <c r="H1291" s="185" t="s">
        <v>15</v>
      </c>
      <c r="I1291" s="185" t="s">
        <v>15</v>
      </c>
      <c r="J1291" s="135" t="s">
        <v>1450</v>
      </c>
      <c r="K1291" s="186">
        <v>196104</v>
      </c>
      <c r="L1291" s="187" t="s">
        <v>173</v>
      </c>
      <c r="M1291" s="187" t="s">
        <v>175</v>
      </c>
    </row>
    <row r="1292" spans="1:13" s="188" customFormat="1">
      <c r="A1292" s="185" t="s">
        <v>1447</v>
      </c>
      <c r="B1292" s="133" t="s">
        <v>4450</v>
      </c>
      <c r="C1292" s="185" t="s">
        <v>3023</v>
      </c>
      <c r="D1292" s="133" t="s">
        <v>4451</v>
      </c>
      <c r="E1292" s="134">
        <v>1</v>
      </c>
      <c r="F1292" s="135" t="s">
        <v>1449</v>
      </c>
      <c r="G1292" s="185" t="s">
        <v>15</v>
      </c>
      <c r="H1292" s="185" t="s">
        <v>15</v>
      </c>
      <c r="I1292" s="185" t="s">
        <v>15</v>
      </c>
      <c r="J1292" s="135" t="s">
        <v>1450</v>
      </c>
      <c r="K1292" s="186">
        <v>258360</v>
      </c>
      <c r="L1292" s="187" t="s">
        <v>173</v>
      </c>
      <c r="M1292" s="187" t="s">
        <v>175</v>
      </c>
    </row>
    <row r="1293" spans="1:13" s="188" customFormat="1">
      <c r="A1293" s="185" t="s">
        <v>1447</v>
      </c>
      <c r="B1293" s="133" t="s">
        <v>4452</v>
      </c>
      <c r="C1293" s="185" t="s">
        <v>3023</v>
      </c>
      <c r="D1293" s="133" t="s">
        <v>4453</v>
      </c>
      <c r="E1293" s="134">
        <v>1</v>
      </c>
      <c r="F1293" s="135" t="s">
        <v>1449</v>
      </c>
      <c r="G1293" s="185" t="s">
        <v>15</v>
      </c>
      <c r="H1293" s="185" t="s">
        <v>15</v>
      </c>
      <c r="I1293" s="185" t="s">
        <v>15</v>
      </c>
      <c r="J1293" s="135" t="s">
        <v>1450</v>
      </c>
      <c r="K1293" s="186">
        <v>11988</v>
      </c>
      <c r="L1293" s="187" t="s">
        <v>173</v>
      </c>
      <c r="M1293" s="187" t="s">
        <v>175</v>
      </c>
    </row>
    <row r="1294" spans="1:13" s="188" customFormat="1">
      <c r="A1294" s="185" t="s">
        <v>1447</v>
      </c>
      <c r="B1294" s="133" t="s">
        <v>4454</v>
      </c>
      <c r="C1294" s="185" t="s">
        <v>3023</v>
      </c>
      <c r="D1294" s="133" t="s">
        <v>4453</v>
      </c>
      <c r="E1294" s="134">
        <v>1</v>
      </c>
      <c r="F1294" s="135" t="s">
        <v>1449</v>
      </c>
      <c r="G1294" s="185" t="s">
        <v>15</v>
      </c>
      <c r="H1294" s="185" t="s">
        <v>15</v>
      </c>
      <c r="I1294" s="185" t="s">
        <v>15</v>
      </c>
      <c r="J1294" s="135" t="s">
        <v>1450</v>
      </c>
      <c r="K1294" s="186">
        <v>8568</v>
      </c>
      <c r="L1294" s="187" t="s">
        <v>173</v>
      </c>
      <c r="M1294" s="187" t="s">
        <v>175</v>
      </c>
    </row>
    <row r="1295" spans="1:13" s="188" customFormat="1">
      <c r="A1295" s="185" t="s">
        <v>1447</v>
      </c>
      <c r="B1295" s="133" t="s">
        <v>4455</v>
      </c>
      <c r="C1295" s="185" t="s">
        <v>3023</v>
      </c>
      <c r="D1295" s="133" t="s">
        <v>4453</v>
      </c>
      <c r="E1295" s="134">
        <v>1</v>
      </c>
      <c r="F1295" s="135" t="s">
        <v>1449</v>
      </c>
      <c r="G1295" s="185" t="s">
        <v>15</v>
      </c>
      <c r="H1295" s="185" t="s">
        <v>15</v>
      </c>
      <c r="I1295" s="185" t="s">
        <v>15</v>
      </c>
      <c r="J1295" s="135" t="s">
        <v>1450</v>
      </c>
      <c r="K1295" s="186">
        <v>6852</v>
      </c>
      <c r="L1295" s="187" t="s">
        <v>173</v>
      </c>
      <c r="M1295" s="187" t="s">
        <v>175</v>
      </c>
    </row>
    <row r="1296" spans="1:13" s="188" customFormat="1">
      <c r="A1296" s="185" t="s">
        <v>1447</v>
      </c>
      <c r="B1296" s="133" t="s">
        <v>4456</v>
      </c>
      <c r="C1296" s="185" t="s">
        <v>3023</v>
      </c>
      <c r="D1296" s="133" t="s">
        <v>4453</v>
      </c>
      <c r="E1296" s="134">
        <v>1</v>
      </c>
      <c r="F1296" s="135" t="s">
        <v>1449</v>
      </c>
      <c r="G1296" s="185" t="s">
        <v>15</v>
      </c>
      <c r="H1296" s="185" t="s">
        <v>15</v>
      </c>
      <c r="I1296" s="185" t="s">
        <v>15</v>
      </c>
      <c r="J1296" s="135" t="s">
        <v>1450</v>
      </c>
      <c r="K1296" s="186">
        <v>6168</v>
      </c>
      <c r="L1296" s="187" t="s">
        <v>173</v>
      </c>
      <c r="M1296" s="187" t="s">
        <v>175</v>
      </c>
    </row>
    <row r="1297" spans="1:13" s="188" customFormat="1">
      <c r="A1297" s="185" t="s">
        <v>1447</v>
      </c>
      <c r="B1297" s="133" t="s">
        <v>4457</v>
      </c>
      <c r="C1297" s="185" t="s">
        <v>3023</v>
      </c>
      <c r="D1297" s="133" t="s">
        <v>4453</v>
      </c>
      <c r="E1297" s="134">
        <v>1</v>
      </c>
      <c r="F1297" s="135" t="s">
        <v>1449</v>
      </c>
      <c r="G1297" s="185" t="s">
        <v>15</v>
      </c>
      <c r="H1297" s="185" t="s">
        <v>15</v>
      </c>
      <c r="I1297" s="185" t="s">
        <v>15</v>
      </c>
      <c r="J1297" s="135" t="s">
        <v>1450</v>
      </c>
      <c r="K1297" s="186">
        <v>5484</v>
      </c>
      <c r="L1297" s="187" t="s">
        <v>173</v>
      </c>
      <c r="M1297" s="187" t="s">
        <v>175</v>
      </c>
    </row>
    <row r="1298" spans="1:13" s="188" customFormat="1">
      <c r="A1298" s="185" t="s">
        <v>1447</v>
      </c>
      <c r="B1298" s="133" t="s">
        <v>4458</v>
      </c>
      <c r="C1298" s="185" t="s">
        <v>3023</v>
      </c>
      <c r="D1298" s="133" t="s">
        <v>4453</v>
      </c>
      <c r="E1298" s="134">
        <v>1</v>
      </c>
      <c r="F1298" s="135" t="s">
        <v>1449</v>
      </c>
      <c r="G1298" s="185" t="s">
        <v>15</v>
      </c>
      <c r="H1298" s="185" t="s">
        <v>15</v>
      </c>
      <c r="I1298" s="185" t="s">
        <v>15</v>
      </c>
      <c r="J1298" s="135" t="s">
        <v>1450</v>
      </c>
      <c r="K1298" s="186">
        <v>4452</v>
      </c>
      <c r="L1298" s="187" t="s">
        <v>173</v>
      </c>
      <c r="M1298" s="187" t="s">
        <v>175</v>
      </c>
    </row>
    <row r="1299" spans="1:13" s="188" customFormat="1">
      <c r="A1299" s="185" t="s">
        <v>1447</v>
      </c>
      <c r="B1299" s="133" t="s">
        <v>4459</v>
      </c>
      <c r="C1299" s="185" t="s">
        <v>3023</v>
      </c>
      <c r="D1299" s="133" t="s">
        <v>4460</v>
      </c>
      <c r="E1299" s="134">
        <v>1</v>
      </c>
      <c r="F1299" s="135" t="s">
        <v>1449</v>
      </c>
      <c r="G1299" s="185" t="s">
        <v>15</v>
      </c>
      <c r="H1299" s="185" t="s">
        <v>15</v>
      </c>
      <c r="I1299" s="185" t="s">
        <v>15</v>
      </c>
      <c r="J1299" s="135" t="s">
        <v>1450</v>
      </c>
      <c r="K1299" s="186">
        <v>11988</v>
      </c>
      <c r="L1299" s="187" t="s">
        <v>173</v>
      </c>
      <c r="M1299" s="187" t="s">
        <v>175</v>
      </c>
    </row>
    <row r="1300" spans="1:13" s="188" customFormat="1">
      <c r="A1300" s="185" t="s">
        <v>1447</v>
      </c>
      <c r="B1300" s="133" t="s">
        <v>4461</v>
      </c>
      <c r="C1300" s="185" t="s">
        <v>3023</v>
      </c>
      <c r="D1300" s="133" t="s">
        <v>4460</v>
      </c>
      <c r="E1300" s="134">
        <v>1</v>
      </c>
      <c r="F1300" s="135" t="s">
        <v>1449</v>
      </c>
      <c r="G1300" s="185" t="s">
        <v>15</v>
      </c>
      <c r="H1300" s="185" t="s">
        <v>15</v>
      </c>
      <c r="I1300" s="185" t="s">
        <v>15</v>
      </c>
      <c r="J1300" s="135" t="s">
        <v>1450</v>
      </c>
      <c r="K1300" s="186">
        <v>8568</v>
      </c>
      <c r="L1300" s="187" t="s">
        <v>173</v>
      </c>
      <c r="M1300" s="187" t="s">
        <v>175</v>
      </c>
    </row>
    <row r="1301" spans="1:13" s="188" customFormat="1">
      <c r="A1301" s="185" t="s">
        <v>1447</v>
      </c>
      <c r="B1301" s="133" t="s">
        <v>4462</v>
      </c>
      <c r="C1301" s="185" t="s">
        <v>3023</v>
      </c>
      <c r="D1301" s="133" t="s">
        <v>4460</v>
      </c>
      <c r="E1301" s="134">
        <v>1</v>
      </c>
      <c r="F1301" s="135" t="s">
        <v>1449</v>
      </c>
      <c r="G1301" s="185" t="s">
        <v>15</v>
      </c>
      <c r="H1301" s="185" t="s">
        <v>15</v>
      </c>
      <c r="I1301" s="185" t="s">
        <v>15</v>
      </c>
      <c r="J1301" s="135" t="s">
        <v>1450</v>
      </c>
      <c r="K1301" s="186">
        <v>6852</v>
      </c>
      <c r="L1301" s="187" t="s">
        <v>173</v>
      </c>
      <c r="M1301" s="187" t="s">
        <v>175</v>
      </c>
    </row>
    <row r="1302" spans="1:13" s="188" customFormat="1">
      <c r="A1302" s="185" t="s">
        <v>1447</v>
      </c>
      <c r="B1302" s="133" t="s">
        <v>4463</v>
      </c>
      <c r="C1302" s="185" t="s">
        <v>3023</v>
      </c>
      <c r="D1302" s="133" t="s">
        <v>4460</v>
      </c>
      <c r="E1302" s="134">
        <v>1</v>
      </c>
      <c r="F1302" s="135" t="s">
        <v>1449</v>
      </c>
      <c r="G1302" s="185" t="s">
        <v>15</v>
      </c>
      <c r="H1302" s="185" t="s">
        <v>15</v>
      </c>
      <c r="I1302" s="185" t="s">
        <v>15</v>
      </c>
      <c r="J1302" s="135" t="s">
        <v>1450</v>
      </c>
      <c r="K1302" s="186">
        <v>6168</v>
      </c>
      <c r="L1302" s="187" t="s">
        <v>173</v>
      </c>
      <c r="M1302" s="187" t="s">
        <v>175</v>
      </c>
    </row>
    <row r="1303" spans="1:13" s="188" customFormat="1">
      <c r="A1303" s="185" t="s">
        <v>1447</v>
      </c>
      <c r="B1303" s="133" t="s">
        <v>4464</v>
      </c>
      <c r="C1303" s="185" t="s">
        <v>3023</v>
      </c>
      <c r="D1303" s="133" t="s">
        <v>4460</v>
      </c>
      <c r="E1303" s="134">
        <v>1</v>
      </c>
      <c r="F1303" s="135" t="s">
        <v>1449</v>
      </c>
      <c r="G1303" s="185" t="s">
        <v>15</v>
      </c>
      <c r="H1303" s="185" t="s">
        <v>15</v>
      </c>
      <c r="I1303" s="185" t="s">
        <v>15</v>
      </c>
      <c r="J1303" s="135" t="s">
        <v>1450</v>
      </c>
      <c r="K1303" s="186">
        <v>5484</v>
      </c>
      <c r="L1303" s="187" t="s">
        <v>173</v>
      </c>
      <c r="M1303" s="187" t="s">
        <v>175</v>
      </c>
    </row>
    <row r="1304" spans="1:13" s="188" customFormat="1">
      <c r="A1304" s="185" t="s">
        <v>1447</v>
      </c>
      <c r="B1304" s="133" t="s">
        <v>4465</v>
      </c>
      <c r="C1304" s="185" t="s">
        <v>3023</v>
      </c>
      <c r="D1304" s="133" t="s">
        <v>4460</v>
      </c>
      <c r="E1304" s="134">
        <v>1</v>
      </c>
      <c r="F1304" s="135" t="s">
        <v>1449</v>
      </c>
      <c r="G1304" s="185" t="s">
        <v>15</v>
      </c>
      <c r="H1304" s="185" t="s">
        <v>15</v>
      </c>
      <c r="I1304" s="185" t="s">
        <v>15</v>
      </c>
      <c r="J1304" s="135" t="s">
        <v>1450</v>
      </c>
      <c r="K1304" s="186">
        <v>4452</v>
      </c>
      <c r="L1304" s="187" t="s">
        <v>173</v>
      </c>
      <c r="M1304" s="187" t="s">
        <v>175</v>
      </c>
    </row>
    <row r="1305" spans="1:13" s="188" customFormat="1">
      <c r="A1305" s="185" t="s">
        <v>1447</v>
      </c>
      <c r="B1305" s="133" t="s">
        <v>4466</v>
      </c>
      <c r="C1305" s="185" t="s">
        <v>3023</v>
      </c>
      <c r="D1305" s="133" t="s">
        <v>4467</v>
      </c>
      <c r="E1305" s="134">
        <v>1</v>
      </c>
      <c r="F1305" s="135" t="s">
        <v>1449</v>
      </c>
      <c r="G1305" s="185" t="s">
        <v>15</v>
      </c>
      <c r="H1305" s="185" t="s">
        <v>15</v>
      </c>
      <c r="I1305" s="185" t="s">
        <v>15</v>
      </c>
      <c r="J1305" s="135" t="s">
        <v>1450</v>
      </c>
      <c r="K1305" s="186">
        <v>18840</v>
      </c>
      <c r="L1305" s="187" t="s">
        <v>173</v>
      </c>
      <c r="M1305" s="187" t="s">
        <v>175</v>
      </c>
    </row>
    <row r="1306" spans="1:13" s="188" customFormat="1">
      <c r="A1306" s="185" t="s">
        <v>1447</v>
      </c>
      <c r="B1306" s="133" t="s">
        <v>4468</v>
      </c>
      <c r="C1306" s="185" t="s">
        <v>3023</v>
      </c>
      <c r="D1306" s="133" t="s">
        <v>4467</v>
      </c>
      <c r="E1306" s="134">
        <v>1</v>
      </c>
      <c r="F1306" s="135" t="s">
        <v>1449</v>
      </c>
      <c r="G1306" s="185" t="s">
        <v>15</v>
      </c>
      <c r="H1306" s="185" t="s">
        <v>15</v>
      </c>
      <c r="I1306" s="185" t="s">
        <v>15</v>
      </c>
      <c r="J1306" s="135" t="s">
        <v>1450</v>
      </c>
      <c r="K1306" s="186">
        <v>15420</v>
      </c>
      <c r="L1306" s="187" t="s">
        <v>173</v>
      </c>
      <c r="M1306" s="187" t="s">
        <v>175</v>
      </c>
    </row>
    <row r="1307" spans="1:13" s="188" customFormat="1">
      <c r="A1307" s="185" t="s">
        <v>1447</v>
      </c>
      <c r="B1307" s="133" t="s">
        <v>4469</v>
      </c>
      <c r="C1307" s="185" t="s">
        <v>3023</v>
      </c>
      <c r="D1307" s="133" t="s">
        <v>4467</v>
      </c>
      <c r="E1307" s="134">
        <v>1</v>
      </c>
      <c r="F1307" s="135" t="s">
        <v>1449</v>
      </c>
      <c r="G1307" s="185" t="s">
        <v>15</v>
      </c>
      <c r="H1307" s="185" t="s">
        <v>15</v>
      </c>
      <c r="I1307" s="185" t="s">
        <v>15</v>
      </c>
      <c r="J1307" s="135" t="s">
        <v>1450</v>
      </c>
      <c r="K1307" s="186">
        <v>12456</v>
      </c>
      <c r="L1307" s="187" t="s">
        <v>173</v>
      </c>
      <c r="M1307" s="187" t="s">
        <v>175</v>
      </c>
    </row>
    <row r="1308" spans="1:13" s="188" customFormat="1">
      <c r="A1308" s="185" t="s">
        <v>1447</v>
      </c>
      <c r="B1308" s="133" t="s">
        <v>4470</v>
      </c>
      <c r="C1308" s="185" t="s">
        <v>3023</v>
      </c>
      <c r="D1308" s="133" t="s">
        <v>4467</v>
      </c>
      <c r="E1308" s="134">
        <v>1</v>
      </c>
      <c r="F1308" s="135" t="s">
        <v>1449</v>
      </c>
      <c r="G1308" s="185" t="s">
        <v>15</v>
      </c>
      <c r="H1308" s="185" t="s">
        <v>15</v>
      </c>
      <c r="I1308" s="185" t="s">
        <v>15</v>
      </c>
      <c r="J1308" s="135" t="s">
        <v>1450</v>
      </c>
      <c r="K1308" s="186">
        <v>10896</v>
      </c>
      <c r="L1308" s="187" t="s">
        <v>173</v>
      </c>
      <c r="M1308" s="187" t="s">
        <v>175</v>
      </c>
    </row>
    <row r="1309" spans="1:13" s="188" customFormat="1">
      <c r="A1309" s="185" t="s">
        <v>1447</v>
      </c>
      <c r="B1309" s="133" t="s">
        <v>4471</v>
      </c>
      <c r="C1309" s="185" t="s">
        <v>3023</v>
      </c>
      <c r="D1309" s="133" t="s">
        <v>4467</v>
      </c>
      <c r="E1309" s="134">
        <v>1</v>
      </c>
      <c r="F1309" s="135" t="s">
        <v>1449</v>
      </c>
      <c r="G1309" s="185" t="s">
        <v>15</v>
      </c>
      <c r="H1309" s="185" t="s">
        <v>15</v>
      </c>
      <c r="I1309" s="185" t="s">
        <v>15</v>
      </c>
      <c r="J1309" s="135" t="s">
        <v>1450</v>
      </c>
      <c r="K1309" s="186">
        <v>9336</v>
      </c>
      <c r="L1309" s="187" t="s">
        <v>173</v>
      </c>
      <c r="M1309" s="187" t="s">
        <v>175</v>
      </c>
    </row>
    <row r="1310" spans="1:13" s="188" customFormat="1">
      <c r="A1310" s="185" t="s">
        <v>1447</v>
      </c>
      <c r="B1310" s="133" t="s">
        <v>4472</v>
      </c>
      <c r="C1310" s="185" t="s">
        <v>3023</v>
      </c>
      <c r="D1310" s="133" t="s">
        <v>4467</v>
      </c>
      <c r="E1310" s="134">
        <v>1</v>
      </c>
      <c r="F1310" s="135" t="s">
        <v>1449</v>
      </c>
      <c r="G1310" s="185" t="s">
        <v>15</v>
      </c>
      <c r="H1310" s="185" t="s">
        <v>15</v>
      </c>
      <c r="I1310" s="185" t="s">
        <v>15</v>
      </c>
      <c r="J1310" s="135" t="s">
        <v>1450</v>
      </c>
      <c r="K1310" s="186">
        <v>9072</v>
      </c>
      <c r="L1310" s="187" t="s">
        <v>173</v>
      </c>
      <c r="M1310" s="187" t="s">
        <v>175</v>
      </c>
    </row>
    <row r="1311" spans="1:13" s="188" customFormat="1">
      <c r="A1311" s="185" t="s">
        <v>1447</v>
      </c>
      <c r="B1311" s="133" t="s">
        <v>4473</v>
      </c>
      <c r="C1311" s="185" t="s">
        <v>3023</v>
      </c>
      <c r="D1311" s="133" t="s">
        <v>4474</v>
      </c>
      <c r="E1311" s="134">
        <v>1</v>
      </c>
      <c r="F1311" s="135" t="s">
        <v>1449</v>
      </c>
      <c r="G1311" s="185" t="s">
        <v>15</v>
      </c>
      <c r="H1311" s="185" t="s">
        <v>15</v>
      </c>
      <c r="I1311" s="185" t="s">
        <v>15</v>
      </c>
      <c r="J1311" s="135" t="s">
        <v>1450</v>
      </c>
      <c r="K1311" s="186">
        <v>18840</v>
      </c>
      <c r="L1311" s="187" t="s">
        <v>173</v>
      </c>
      <c r="M1311" s="187" t="s">
        <v>175</v>
      </c>
    </row>
    <row r="1312" spans="1:13" s="188" customFormat="1">
      <c r="A1312" s="185" t="s">
        <v>1447</v>
      </c>
      <c r="B1312" s="133" t="s">
        <v>4475</v>
      </c>
      <c r="C1312" s="185" t="s">
        <v>3023</v>
      </c>
      <c r="D1312" s="133" t="s">
        <v>4474</v>
      </c>
      <c r="E1312" s="134">
        <v>1</v>
      </c>
      <c r="F1312" s="135" t="s">
        <v>1449</v>
      </c>
      <c r="G1312" s="185" t="s">
        <v>15</v>
      </c>
      <c r="H1312" s="185" t="s">
        <v>15</v>
      </c>
      <c r="I1312" s="185" t="s">
        <v>15</v>
      </c>
      <c r="J1312" s="135" t="s">
        <v>1450</v>
      </c>
      <c r="K1312" s="186">
        <v>15420</v>
      </c>
      <c r="L1312" s="187" t="s">
        <v>173</v>
      </c>
      <c r="M1312" s="187" t="s">
        <v>175</v>
      </c>
    </row>
    <row r="1313" spans="1:13" s="188" customFormat="1">
      <c r="A1313" s="185" t="s">
        <v>1447</v>
      </c>
      <c r="B1313" s="133" t="s">
        <v>4476</v>
      </c>
      <c r="C1313" s="185" t="s">
        <v>3023</v>
      </c>
      <c r="D1313" s="133" t="s">
        <v>4474</v>
      </c>
      <c r="E1313" s="134">
        <v>1</v>
      </c>
      <c r="F1313" s="135" t="s">
        <v>1449</v>
      </c>
      <c r="G1313" s="185" t="s">
        <v>15</v>
      </c>
      <c r="H1313" s="185" t="s">
        <v>15</v>
      </c>
      <c r="I1313" s="185" t="s">
        <v>15</v>
      </c>
      <c r="J1313" s="135" t="s">
        <v>1450</v>
      </c>
      <c r="K1313" s="186">
        <v>12456</v>
      </c>
      <c r="L1313" s="187" t="s">
        <v>173</v>
      </c>
      <c r="M1313" s="187" t="s">
        <v>175</v>
      </c>
    </row>
    <row r="1314" spans="1:13" s="188" customFormat="1">
      <c r="A1314" s="185" t="s">
        <v>1447</v>
      </c>
      <c r="B1314" s="133" t="s">
        <v>4477</v>
      </c>
      <c r="C1314" s="185" t="s">
        <v>3023</v>
      </c>
      <c r="D1314" s="133" t="s">
        <v>4474</v>
      </c>
      <c r="E1314" s="134">
        <v>1</v>
      </c>
      <c r="F1314" s="135" t="s">
        <v>1449</v>
      </c>
      <c r="G1314" s="185" t="s">
        <v>15</v>
      </c>
      <c r="H1314" s="185" t="s">
        <v>15</v>
      </c>
      <c r="I1314" s="185" t="s">
        <v>15</v>
      </c>
      <c r="J1314" s="135" t="s">
        <v>1450</v>
      </c>
      <c r="K1314" s="186">
        <v>10896</v>
      </c>
      <c r="L1314" s="187" t="s">
        <v>173</v>
      </c>
      <c r="M1314" s="187" t="s">
        <v>175</v>
      </c>
    </row>
    <row r="1315" spans="1:13" s="188" customFormat="1">
      <c r="A1315" s="185" t="s">
        <v>1447</v>
      </c>
      <c r="B1315" s="133" t="s">
        <v>4478</v>
      </c>
      <c r="C1315" s="185" t="s">
        <v>3023</v>
      </c>
      <c r="D1315" s="133" t="s">
        <v>4474</v>
      </c>
      <c r="E1315" s="134">
        <v>1</v>
      </c>
      <c r="F1315" s="135" t="s">
        <v>1449</v>
      </c>
      <c r="G1315" s="185" t="s">
        <v>15</v>
      </c>
      <c r="H1315" s="185" t="s">
        <v>15</v>
      </c>
      <c r="I1315" s="185" t="s">
        <v>15</v>
      </c>
      <c r="J1315" s="135" t="s">
        <v>1450</v>
      </c>
      <c r="K1315" s="186">
        <v>9336</v>
      </c>
      <c r="L1315" s="187" t="s">
        <v>173</v>
      </c>
      <c r="M1315" s="187" t="s">
        <v>175</v>
      </c>
    </row>
    <row r="1316" spans="1:13" s="188" customFormat="1">
      <c r="A1316" s="185" t="s">
        <v>1447</v>
      </c>
      <c r="B1316" s="133" t="s">
        <v>4479</v>
      </c>
      <c r="C1316" s="185" t="s">
        <v>3023</v>
      </c>
      <c r="D1316" s="133" t="s">
        <v>4474</v>
      </c>
      <c r="E1316" s="134">
        <v>1</v>
      </c>
      <c r="F1316" s="135" t="s">
        <v>1449</v>
      </c>
      <c r="G1316" s="185" t="s">
        <v>15</v>
      </c>
      <c r="H1316" s="185" t="s">
        <v>15</v>
      </c>
      <c r="I1316" s="185" t="s">
        <v>15</v>
      </c>
      <c r="J1316" s="135" t="s">
        <v>1450</v>
      </c>
      <c r="K1316" s="186">
        <v>9072</v>
      </c>
      <c r="L1316" s="187" t="s">
        <v>173</v>
      </c>
      <c r="M1316" s="187" t="s">
        <v>175</v>
      </c>
    </row>
    <row r="1317" spans="1:13" s="188" customFormat="1">
      <c r="A1317" s="185" t="s">
        <v>1447</v>
      </c>
      <c r="B1317" s="133" t="s">
        <v>4480</v>
      </c>
      <c r="C1317" s="185" t="s">
        <v>3023</v>
      </c>
      <c r="D1317" s="133" t="s">
        <v>4481</v>
      </c>
      <c r="E1317" s="134">
        <v>1</v>
      </c>
      <c r="F1317" s="135" t="s">
        <v>1449</v>
      </c>
      <c r="G1317" s="185" t="s">
        <v>15</v>
      </c>
      <c r="H1317" s="185" t="s">
        <v>15</v>
      </c>
      <c r="I1317" s="185" t="s">
        <v>15</v>
      </c>
      <c r="J1317" s="135" t="s">
        <v>1450</v>
      </c>
      <c r="K1317" s="186">
        <v>34236</v>
      </c>
      <c r="L1317" s="187" t="s">
        <v>173</v>
      </c>
      <c r="M1317" s="187" t="s">
        <v>175</v>
      </c>
    </row>
    <row r="1318" spans="1:13" s="188" customFormat="1">
      <c r="A1318" s="185" t="s">
        <v>1447</v>
      </c>
      <c r="B1318" s="133" t="s">
        <v>4482</v>
      </c>
      <c r="C1318" s="185" t="s">
        <v>3023</v>
      </c>
      <c r="D1318" s="133" t="s">
        <v>4481</v>
      </c>
      <c r="E1318" s="134">
        <v>1</v>
      </c>
      <c r="F1318" s="135" t="s">
        <v>1449</v>
      </c>
      <c r="G1318" s="185" t="s">
        <v>15</v>
      </c>
      <c r="H1318" s="185" t="s">
        <v>15</v>
      </c>
      <c r="I1318" s="185" t="s">
        <v>15</v>
      </c>
      <c r="J1318" s="135" t="s">
        <v>1450</v>
      </c>
      <c r="K1318" s="186">
        <v>29112</v>
      </c>
      <c r="L1318" s="187" t="s">
        <v>173</v>
      </c>
      <c r="M1318" s="187" t="s">
        <v>175</v>
      </c>
    </row>
    <row r="1319" spans="1:13" s="188" customFormat="1">
      <c r="A1319" s="185" t="s">
        <v>1447</v>
      </c>
      <c r="B1319" s="133" t="s">
        <v>4483</v>
      </c>
      <c r="C1319" s="185" t="s">
        <v>3023</v>
      </c>
      <c r="D1319" s="133" t="s">
        <v>4481</v>
      </c>
      <c r="E1319" s="134">
        <v>1</v>
      </c>
      <c r="F1319" s="135" t="s">
        <v>1449</v>
      </c>
      <c r="G1319" s="185" t="s">
        <v>15</v>
      </c>
      <c r="H1319" s="185" t="s">
        <v>15</v>
      </c>
      <c r="I1319" s="185" t="s">
        <v>15</v>
      </c>
      <c r="J1319" s="135" t="s">
        <v>1450</v>
      </c>
      <c r="K1319" s="186">
        <v>23352</v>
      </c>
      <c r="L1319" s="187" t="s">
        <v>173</v>
      </c>
      <c r="M1319" s="187" t="s">
        <v>175</v>
      </c>
    </row>
    <row r="1320" spans="1:13" s="188" customFormat="1">
      <c r="A1320" s="185" t="s">
        <v>1447</v>
      </c>
      <c r="B1320" s="133" t="s">
        <v>4484</v>
      </c>
      <c r="C1320" s="185" t="s">
        <v>3023</v>
      </c>
      <c r="D1320" s="133" t="s">
        <v>4481</v>
      </c>
      <c r="E1320" s="134">
        <v>1</v>
      </c>
      <c r="F1320" s="135" t="s">
        <v>1449</v>
      </c>
      <c r="G1320" s="185" t="s">
        <v>15</v>
      </c>
      <c r="H1320" s="185" t="s">
        <v>15</v>
      </c>
      <c r="I1320" s="185" t="s">
        <v>15</v>
      </c>
      <c r="J1320" s="135" t="s">
        <v>1450</v>
      </c>
      <c r="K1320" s="186">
        <v>21792</v>
      </c>
      <c r="L1320" s="187" t="s">
        <v>173</v>
      </c>
      <c r="M1320" s="187" t="s">
        <v>175</v>
      </c>
    </row>
    <row r="1321" spans="1:13" s="188" customFormat="1">
      <c r="A1321" s="185" t="s">
        <v>1447</v>
      </c>
      <c r="B1321" s="133" t="s">
        <v>4485</v>
      </c>
      <c r="C1321" s="185" t="s">
        <v>3023</v>
      </c>
      <c r="D1321" s="133" t="s">
        <v>4481</v>
      </c>
      <c r="E1321" s="134">
        <v>1</v>
      </c>
      <c r="F1321" s="135" t="s">
        <v>1449</v>
      </c>
      <c r="G1321" s="185" t="s">
        <v>15</v>
      </c>
      <c r="H1321" s="185" t="s">
        <v>15</v>
      </c>
      <c r="I1321" s="185" t="s">
        <v>15</v>
      </c>
      <c r="J1321" s="135" t="s">
        <v>1450</v>
      </c>
      <c r="K1321" s="186">
        <v>20544</v>
      </c>
      <c r="L1321" s="187" t="s">
        <v>173</v>
      </c>
      <c r="M1321" s="187" t="s">
        <v>175</v>
      </c>
    </row>
    <row r="1322" spans="1:13" s="188" customFormat="1">
      <c r="A1322" s="185" t="s">
        <v>1447</v>
      </c>
      <c r="B1322" s="133" t="s">
        <v>4486</v>
      </c>
      <c r="C1322" s="185" t="s">
        <v>3023</v>
      </c>
      <c r="D1322" s="133" t="s">
        <v>4481</v>
      </c>
      <c r="E1322" s="134">
        <v>1</v>
      </c>
      <c r="F1322" s="135" t="s">
        <v>1449</v>
      </c>
      <c r="G1322" s="185" t="s">
        <v>15</v>
      </c>
      <c r="H1322" s="185" t="s">
        <v>15</v>
      </c>
      <c r="I1322" s="185" t="s">
        <v>15</v>
      </c>
      <c r="J1322" s="135" t="s">
        <v>1450</v>
      </c>
      <c r="K1322" s="186">
        <v>16596</v>
      </c>
      <c r="L1322" s="187" t="s">
        <v>173</v>
      </c>
      <c r="M1322" s="187" t="s">
        <v>175</v>
      </c>
    </row>
    <row r="1323" spans="1:13" s="188" customFormat="1">
      <c r="A1323" s="185" t="s">
        <v>1447</v>
      </c>
      <c r="B1323" s="133" t="s">
        <v>4487</v>
      </c>
      <c r="C1323" s="185" t="s">
        <v>3023</v>
      </c>
      <c r="D1323" s="133" t="s">
        <v>4488</v>
      </c>
      <c r="E1323" s="134">
        <v>1</v>
      </c>
      <c r="F1323" s="135" t="s">
        <v>1449</v>
      </c>
      <c r="G1323" s="185" t="s">
        <v>15</v>
      </c>
      <c r="H1323" s="185" t="s">
        <v>15</v>
      </c>
      <c r="I1323" s="185" t="s">
        <v>15</v>
      </c>
      <c r="J1323" s="135" t="s">
        <v>1450</v>
      </c>
      <c r="K1323" s="186">
        <v>725</v>
      </c>
      <c r="L1323" s="187" t="s">
        <v>173</v>
      </c>
      <c r="M1323" s="187" t="s">
        <v>175</v>
      </c>
    </row>
    <row r="1324" spans="1:13" s="188" customFormat="1">
      <c r="A1324" s="185" t="s">
        <v>1447</v>
      </c>
      <c r="B1324" s="133" t="s">
        <v>4489</v>
      </c>
      <c r="C1324" s="185" t="s">
        <v>3023</v>
      </c>
      <c r="D1324" s="133" t="s">
        <v>4488</v>
      </c>
      <c r="E1324" s="134">
        <v>1</v>
      </c>
      <c r="F1324" s="135" t="s">
        <v>1449</v>
      </c>
      <c r="G1324" s="185" t="s">
        <v>15</v>
      </c>
      <c r="H1324" s="185" t="s">
        <v>15</v>
      </c>
      <c r="I1324" s="185" t="s">
        <v>15</v>
      </c>
      <c r="J1324" s="135" t="s">
        <v>1450</v>
      </c>
      <c r="K1324" s="186">
        <v>610</v>
      </c>
      <c r="L1324" s="187" t="s">
        <v>173</v>
      </c>
      <c r="M1324" s="187" t="s">
        <v>175</v>
      </c>
    </row>
    <row r="1325" spans="1:13" s="188" customFormat="1">
      <c r="A1325" s="185" t="s">
        <v>1447</v>
      </c>
      <c r="B1325" s="133" t="s">
        <v>4490</v>
      </c>
      <c r="C1325" s="185" t="s">
        <v>3023</v>
      </c>
      <c r="D1325" s="133" t="s">
        <v>4488</v>
      </c>
      <c r="E1325" s="134">
        <v>1</v>
      </c>
      <c r="F1325" s="135" t="s">
        <v>1449</v>
      </c>
      <c r="G1325" s="185" t="s">
        <v>15</v>
      </c>
      <c r="H1325" s="185" t="s">
        <v>15</v>
      </c>
      <c r="I1325" s="185" t="s">
        <v>15</v>
      </c>
      <c r="J1325" s="135" t="s">
        <v>1450</v>
      </c>
      <c r="K1325" s="186">
        <v>550</v>
      </c>
      <c r="L1325" s="187" t="s">
        <v>173</v>
      </c>
      <c r="M1325" s="187" t="s">
        <v>175</v>
      </c>
    </row>
    <row r="1326" spans="1:13" s="188" customFormat="1">
      <c r="A1326" s="185" t="s">
        <v>1447</v>
      </c>
      <c r="B1326" s="133" t="s">
        <v>4491</v>
      </c>
      <c r="C1326" s="185" t="s">
        <v>3023</v>
      </c>
      <c r="D1326" s="133" t="s">
        <v>4488</v>
      </c>
      <c r="E1326" s="134">
        <v>1</v>
      </c>
      <c r="F1326" s="135" t="s">
        <v>1449</v>
      </c>
      <c r="G1326" s="185" t="s">
        <v>15</v>
      </c>
      <c r="H1326" s="185" t="s">
        <v>15</v>
      </c>
      <c r="I1326" s="185" t="s">
        <v>15</v>
      </c>
      <c r="J1326" s="135" t="s">
        <v>1450</v>
      </c>
      <c r="K1326" s="186">
        <v>500</v>
      </c>
      <c r="L1326" s="187" t="s">
        <v>173</v>
      </c>
      <c r="M1326" s="187" t="s">
        <v>175</v>
      </c>
    </row>
    <row r="1327" spans="1:13" s="188" customFormat="1">
      <c r="A1327" s="185" t="s">
        <v>1447</v>
      </c>
      <c r="B1327" s="133" t="s">
        <v>4492</v>
      </c>
      <c r="C1327" s="185" t="s">
        <v>3023</v>
      </c>
      <c r="D1327" s="133" t="s">
        <v>1568</v>
      </c>
      <c r="E1327" s="134">
        <v>1</v>
      </c>
      <c r="F1327" s="135" t="s">
        <v>1449</v>
      </c>
      <c r="G1327" s="185" t="s">
        <v>15</v>
      </c>
      <c r="H1327" s="185" t="s">
        <v>15</v>
      </c>
      <c r="I1327" s="185" t="s">
        <v>15</v>
      </c>
      <c r="J1327" s="135" t="s">
        <v>1450</v>
      </c>
      <c r="K1327" s="186">
        <v>7260</v>
      </c>
      <c r="L1327" s="187" t="s">
        <v>173</v>
      </c>
      <c r="M1327" s="187" t="s">
        <v>175</v>
      </c>
    </row>
    <row r="1328" spans="1:13" s="188" customFormat="1">
      <c r="A1328" s="185" t="s">
        <v>1447</v>
      </c>
      <c r="B1328" s="133" t="s">
        <v>4493</v>
      </c>
      <c r="C1328" s="185" t="s">
        <v>3023</v>
      </c>
      <c r="D1328" s="133" t="s">
        <v>1568</v>
      </c>
      <c r="E1328" s="134">
        <v>1</v>
      </c>
      <c r="F1328" s="135" t="s">
        <v>1449</v>
      </c>
      <c r="G1328" s="185" t="s">
        <v>15</v>
      </c>
      <c r="H1328" s="185" t="s">
        <v>15</v>
      </c>
      <c r="I1328" s="185" t="s">
        <v>15</v>
      </c>
      <c r="J1328" s="135" t="s">
        <v>1450</v>
      </c>
      <c r="K1328" s="186">
        <v>6744</v>
      </c>
      <c r="L1328" s="187" t="s">
        <v>173</v>
      </c>
      <c r="M1328" s="187" t="s">
        <v>175</v>
      </c>
    </row>
    <row r="1329" spans="1:13" s="188" customFormat="1">
      <c r="A1329" s="185" t="s">
        <v>1447</v>
      </c>
      <c r="B1329" s="133" t="s">
        <v>4494</v>
      </c>
      <c r="C1329" s="185" t="s">
        <v>3023</v>
      </c>
      <c r="D1329" s="133" t="s">
        <v>1568</v>
      </c>
      <c r="E1329" s="134">
        <v>1</v>
      </c>
      <c r="F1329" s="135" t="s">
        <v>1449</v>
      </c>
      <c r="G1329" s="185" t="s">
        <v>15</v>
      </c>
      <c r="H1329" s="185" t="s">
        <v>15</v>
      </c>
      <c r="I1329" s="185" t="s">
        <v>15</v>
      </c>
      <c r="J1329" s="135" t="s">
        <v>1450</v>
      </c>
      <c r="K1329" s="186">
        <v>6228</v>
      </c>
      <c r="L1329" s="187" t="s">
        <v>173</v>
      </c>
      <c r="M1329" s="187" t="s">
        <v>175</v>
      </c>
    </row>
    <row r="1330" spans="1:13" s="188" customFormat="1">
      <c r="A1330" s="185" t="s">
        <v>1447</v>
      </c>
      <c r="B1330" s="133" t="s">
        <v>4495</v>
      </c>
      <c r="C1330" s="185" t="s">
        <v>3023</v>
      </c>
      <c r="D1330" s="133" t="s">
        <v>1568</v>
      </c>
      <c r="E1330" s="134">
        <v>1</v>
      </c>
      <c r="F1330" s="135" t="s">
        <v>1449</v>
      </c>
      <c r="G1330" s="185" t="s">
        <v>15</v>
      </c>
      <c r="H1330" s="185" t="s">
        <v>15</v>
      </c>
      <c r="I1330" s="185" t="s">
        <v>15</v>
      </c>
      <c r="J1330" s="135" t="s">
        <v>1450</v>
      </c>
      <c r="K1330" s="186">
        <v>5700</v>
      </c>
      <c r="L1330" s="187" t="s">
        <v>173</v>
      </c>
      <c r="M1330" s="187" t="s">
        <v>175</v>
      </c>
    </row>
    <row r="1331" spans="1:13" s="188" customFormat="1">
      <c r="A1331" s="185" t="s">
        <v>1447</v>
      </c>
      <c r="B1331" s="133" t="s">
        <v>4496</v>
      </c>
      <c r="C1331" s="185" t="s">
        <v>3023</v>
      </c>
      <c r="D1331" s="133" t="s">
        <v>1568</v>
      </c>
      <c r="E1331" s="134">
        <v>1</v>
      </c>
      <c r="F1331" s="135" t="s">
        <v>1449</v>
      </c>
      <c r="G1331" s="185" t="s">
        <v>15</v>
      </c>
      <c r="H1331" s="185" t="s">
        <v>15</v>
      </c>
      <c r="I1331" s="185" t="s">
        <v>15</v>
      </c>
      <c r="J1331" s="135" t="s">
        <v>1450</v>
      </c>
      <c r="K1331" s="186">
        <v>5196</v>
      </c>
      <c r="L1331" s="187" t="s">
        <v>173</v>
      </c>
      <c r="M1331" s="187" t="s">
        <v>175</v>
      </c>
    </row>
    <row r="1332" spans="1:13" s="188" customFormat="1">
      <c r="A1332" s="185" t="s">
        <v>1447</v>
      </c>
      <c r="B1332" s="133" t="s">
        <v>4497</v>
      </c>
      <c r="C1332" s="185" t="s">
        <v>3023</v>
      </c>
      <c r="D1332" s="133" t="s">
        <v>1568</v>
      </c>
      <c r="E1332" s="134">
        <v>1</v>
      </c>
      <c r="F1332" s="135" t="s">
        <v>1449</v>
      </c>
      <c r="G1332" s="185" t="s">
        <v>15</v>
      </c>
      <c r="H1332" s="185" t="s">
        <v>15</v>
      </c>
      <c r="I1332" s="185" t="s">
        <v>15</v>
      </c>
      <c r="J1332" s="135" t="s">
        <v>1450</v>
      </c>
      <c r="K1332" s="186">
        <v>4668</v>
      </c>
      <c r="L1332" s="187" t="s">
        <v>173</v>
      </c>
      <c r="M1332" s="187" t="s">
        <v>175</v>
      </c>
    </row>
    <row r="1333" spans="1:13" s="188" customFormat="1">
      <c r="A1333" s="185" t="s">
        <v>1447</v>
      </c>
      <c r="B1333" s="133" t="s">
        <v>4498</v>
      </c>
      <c r="C1333" s="185" t="s">
        <v>3023</v>
      </c>
      <c r="D1333" s="133" t="s">
        <v>1569</v>
      </c>
      <c r="E1333" s="134">
        <v>1</v>
      </c>
      <c r="F1333" s="135" t="s">
        <v>1449</v>
      </c>
      <c r="G1333" s="185" t="s">
        <v>15</v>
      </c>
      <c r="H1333" s="185" t="s">
        <v>15</v>
      </c>
      <c r="I1333" s="185" t="s">
        <v>15</v>
      </c>
      <c r="J1333" s="135" t="s">
        <v>1450</v>
      </c>
      <c r="K1333" s="186">
        <v>7740</v>
      </c>
      <c r="L1333" s="187" t="s">
        <v>173</v>
      </c>
      <c r="M1333" s="187" t="s">
        <v>175</v>
      </c>
    </row>
    <row r="1334" spans="1:13" s="188" customFormat="1">
      <c r="A1334" s="185" t="s">
        <v>1447</v>
      </c>
      <c r="B1334" s="133" t="s">
        <v>4499</v>
      </c>
      <c r="C1334" s="185" t="s">
        <v>3023</v>
      </c>
      <c r="D1334" s="133" t="s">
        <v>1569</v>
      </c>
      <c r="E1334" s="134">
        <v>1</v>
      </c>
      <c r="F1334" s="135" t="s">
        <v>1449</v>
      </c>
      <c r="G1334" s="185" t="s">
        <v>15</v>
      </c>
      <c r="H1334" s="185" t="s">
        <v>15</v>
      </c>
      <c r="I1334" s="185" t="s">
        <v>15</v>
      </c>
      <c r="J1334" s="135" t="s">
        <v>1450</v>
      </c>
      <c r="K1334" s="186">
        <v>7212</v>
      </c>
      <c r="L1334" s="187" t="s">
        <v>173</v>
      </c>
      <c r="M1334" s="187" t="s">
        <v>175</v>
      </c>
    </row>
    <row r="1335" spans="1:13" s="188" customFormat="1">
      <c r="A1335" s="185" t="s">
        <v>1447</v>
      </c>
      <c r="B1335" s="133" t="s">
        <v>4500</v>
      </c>
      <c r="C1335" s="185" t="s">
        <v>3023</v>
      </c>
      <c r="D1335" s="133" t="s">
        <v>1569</v>
      </c>
      <c r="E1335" s="134">
        <v>1</v>
      </c>
      <c r="F1335" s="135" t="s">
        <v>1449</v>
      </c>
      <c r="G1335" s="185" t="s">
        <v>15</v>
      </c>
      <c r="H1335" s="185" t="s">
        <v>15</v>
      </c>
      <c r="I1335" s="185" t="s">
        <v>15</v>
      </c>
      <c r="J1335" s="135" t="s">
        <v>1450</v>
      </c>
      <c r="K1335" s="186">
        <v>6588</v>
      </c>
      <c r="L1335" s="187" t="s">
        <v>173</v>
      </c>
      <c r="M1335" s="187" t="s">
        <v>175</v>
      </c>
    </row>
    <row r="1336" spans="1:13" s="188" customFormat="1">
      <c r="A1336" s="185" t="s">
        <v>1447</v>
      </c>
      <c r="B1336" s="133" t="s">
        <v>4501</v>
      </c>
      <c r="C1336" s="185" t="s">
        <v>3023</v>
      </c>
      <c r="D1336" s="133" t="s">
        <v>1569</v>
      </c>
      <c r="E1336" s="134">
        <v>1</v>
      </c>
      <c r="F1336" s="135" t="s">
        <v>1449</v>
      </c>
      <c r="G1336" s="185" t="s">
        <v>15</v>
      </c>
      <c r="H1336" s="185" t="s">
        <v>15</v>
      </c>
      <c r="I1336" s="185" t="s">
        <v>15</v>
      </c>
      <c r="J1336" s="135" t="s">
        <v>1450</v>
      </c>
      <c r="K1336" s="186">
        <v>5424</v>
      </c>
      <c r="L1336" s="187" t="s">
        <v>173</v>
      </c>
      <c r="M1336" s="187" t="s">
        <v>175</v>
      </c>
    </row>
    <row r="1337" spans="1:13" s="188" customFormat="1">
      <c r="A1337" s="185" t="s">
        <v>1447</v>
      </c>
      <c r="B1337" s="133" t="s">
        <v>4502</v>
      </c>
      <c r="C1337" s="185" t="s">
        <v>3023</v>
      </c>
      <c r="D1337" s="133" t="s">
        <v>1569</v>
      </c>
      <c r="E1337" s="134">
        <v>1</v>
      </c>
      <c r="F1337" s="135" t="s">
        <v>1449</v>
      </c>
      <c r="G1337" s="185" t="s">
        <v>15</v>
      </c>
      <c r="H1337" s="185" t="s">
        <v>15</v>
      </c>
      <c r="I1337" s="185" t="s">
        <v>15</v>
      </c>
      <c r="J1337" s="135" t="s">
        <v>1450</v>
      </c>
      <c r="K1337" s="186">
        <v>4884</v>
      </c>
      <c r="L1337" s="187" t="s">
        <v>173</v>
      </c>
      <c r="M1337" s="187" t="s">
        <v>175</v>
      </c>
    </row>
    <row r="1338" spans="1:13" s="188" customFormat="1">
      <c r="A1338" s="185" t="s">
        <v>1447</v>
      </c>
      <c r="B1338" s="133" t="s">
        <v>4503</v>
      </c>
      <c r="C1338" s="185" t="s">
        <v>3023</v>
      </c>
      <c r="D1338" s="133" t="s">
        <v>1569</v>
      </c>
      <c r="E1338" s="134">
        <v>1</v>
      </c>
      <c r="F1338" s="135" t="s">
        <v>1449</v>
      </c>
      <c r="G1338" s="185" t="s">
        <v>15</v>
      </c>
      <c r="H1338" s="185" t="s">
        <v>15</v>
      </c>
      <c r="I1338" s="185" t="s">
        <v>15</v>
      </c>
      <c r="J1338" s="135" t="s">
        <v>1450</v>
      </c>
      <c r="K1338" s="186">
        <v>4632</v>
      </c>
      <c r="L1338" s="187" t="s">
        <v>173</v>
      </c>
      <c r="M1338" s="187" t="s">
        <v>175</v>
      </c>
    </row>
    <row r="1339" spans="1:13" s="188" customFormat="1">
      <c r="A1339" s="185" t="s">
        <v>1447</v>
      </c>
      <c r="B1339" s="133" t="s">
        <v>4504</v>
      </c>
      <c r="C1339" s="185" t="s">
        <v>3023</v>
      </c>
      <c r="D1339" s="133" t="s">
        <v>1570</v>
      </c>
      <c r="E1339" s="134">
        <v>1</v>
      </c>
      <c r="F1339" s="135" t="s">
        <v>1449</v>
      </c>
      <c r="G1339" s="185" t="s">
        <v>15</v>
      </c>
      <c r="H1339" s="185" t="s">
        <v>15</v>
      </c>
      <c r="I1339" s="185" t="s">
        <v>15</v>
      </c>
      <c r="J1339" s="135" t="s">
        <v>1450</v>
      </c>
      <c r="K1339" s="186">
        <v>1248</v>
      </c>
      <c r="L1339" s="187" t="s">
        <v>173</v>
      </c>
      <c r="M1339" s="187" t="s">
        <v>175</v>
      </c>
    </row>
    <row r="1340" spans="1:13" s="188" customFormat="1">
      <c r="A1340" s="185" t="s">
        <v>1447</v>
      </c>
      <c r="B1340" s="133" t="s">
        <v>4505</v>
      </c>
      <c r="C1340" s="185" t="s">
        <v>3023</v>
      </c>
      <c r="D1340" s="133" t="s">
        <v>1570</v>
      </c>
      <c r="E1340" s="134">
        <v>1</v>
      </c>
      <c r="F1340" s="135" t="s">
        <v>1449</v>
      </c>
      <c r="G1340" s="185" t="s">
        <v>15</v>
      </c>
      <c r="H1340" s="185" t="s">
        <v>15</v>
      </c>
      <c r="I1340" s="185" t="s">
        <v>15</v>
      </c>
      <c r="J1340" s="135" t="s">
        <v>1450</v>
      </c>
      <c r="K1340" s="186">
        <v>1188</v>
      </c>
      <c r="L1340" s="187" t="s">
        <v>173</v>
      </c>
      <c r="M1340" s="187" t="s">
        <v>175</v>
      </c>
    </row>
    <row r="1341" spans="1:13" s="188" customFormat="1">
      <c r="A1341" s="185" t="s">
        <v>1447</v>
      </c>
      <c r="B1341" s="133" t="s">
        <v>4506</v>
      </c>
      <c r="C1341" s="185" t="s">
        <v>3023</v>
      </c>
      <c r="D1341" s="133" t="s">
        <v>1570</v>
      </c>
      <c r="E1341" s="134">
        <v>1</v>
      </c>
      <c r="F1341" s="135" t="s">
        <v>1449</v>
      </c>
      <c r="G1341" s="185" t="s">
        <v>15</v>
      </c>
      <c r="H1341" s="185" t="s">
        <v>15</v>
      </c>
      <c r="I1341" s="185" t="s">
        <v>15</v>
      </c>
      <c r="J1341" s="135" t="s">
        <v>1450</v>
      </c>
      <c r="K1341" s="186">
        <v>1116</v>
      </c>
      <c r="L1341" s="187" t="s">
        <v>173</v>
      </c>
      <c r="M1341" s="187" t="s">
        <v>175</v>
      </c>
    </row>
    <row r="1342" spans="1:13" s="188" customFormat="1">
      <c r="A1342" s="185" t="s">
        <v>1447</v>
      </c>
      <c r="B1342" s="133" t="s">
        <v>4507</v>
      </c>
      <c r="C1342" s="185" t="s">
        <v>3023</v>
      </c>
      <c r="D1342" s="133" t="s">
        <v>1570</v>
      </c>
      <c r="E1342" s="134">
        <v>1</v>
      </c>
      <c r="F1342" s="135" t="s">
        <v>1449</v>
      </c>
      <c r="G1342" s="185" t="s">
        <v>15</v>
      </c>
      <c r="H1342" s="185" t="s">
        <v>15</v>
      </c>
      <c r="I1342" s="185" t="s">
        <v>15</v>
      </c>
      <c r="J1342" s="135" t="s">
        <v>1450</v>
      </c>
      <c r="K1342" s="186">
        <v>1056</v>
      </c>
      <c r="L1342" s="187" t="s">
        <v>173</v>
      </c>
      <c r="M1342" s="187" t="s">
        <v>175</v>
      </c>
    </row>
    <row r="1343" spans="1:13" s="188" customFormat="1">
      <c r="A1343" s="185" t="s">
        <v>1447</v>
      </c>
      <c r="B1343" s="133" t="s">
        <v>4508</v>
      </c>
      <c r="C1343" s="185" t="s">
        <v>3023</v>
      </c>
      <c r="D1343" s="133" t="s">
        <v>1570</v>
      </c>
      <c r="E1343" s="134">
        <v>1</v>
      </c>
      <c r="F1343" s="135" t="s">
        <v>1449</v>
      </c>
      <c r="G1343" s="185" t="s">
        <v>15</v>
      </c>
      <c r="H1343" s="185" t="s">
        <v>15</v>
      </c>
      <c r="I1343" s="185" t="s">
        <v>15</v>
      </c>
      <c r="J1343" s="135" t="s">
        <v>1450</v>
      </c>
      <c r="K1343" s="186">
        <v>996</v>
      </c>
      <c r="L1343" s="187" t="s">
        <v>173</v>
      </c>
      <c r="M1343" s="187" t="s">
        <v>175</v>
      </c>
    </row>
    <row r="1344" spans="1:13" s="188" customFormat="1">
      <c r="A1344" s="185" t="s">
        <v>1447</v>
      </c>
      <c r="B1344" s="133" t="s">
        <v>4509</v>
      </c>
      <c r="C1344" s="185" t="s">
        <v>3023</v>
      </c>
      <c r="D1344" s="133" t="s">
        <v>4510</v>
      </c>
      <c r="E1344" s="134">
        <v>1</v>
      </c>
      <c r="F1344" s="135" t="s">
        <v>1449</v>
      </c>
      <c r="G1344" s="185" t="s">
        <v>15</v>
      </c>
      <c r="H1344" s="185" t="s">
        <v>15</v>
      </c>
      <c r="I1344" s="185" t="s">
        <v>15</v>
      </c>
      <c r="J1344" s="135" t="s">
        <v>1450</v>
      </c>
      <c r="K1344" s="186">
        <v>12456</v>
      </c>
      <c r="L1344" s="187" t="s">
        <v>173</v>
      </c>
      <c r="M1344" s="187" t="s">
        <v>175</v>
      </c>
    </row>
    <row r="1345" spans="1:13" s="188" customFormat="1">
      <c r="A1345" s="185" t="s">
        <v>1447</v>
      </c>
      <c r="B1345" s="133" t="s">
        <v>4511</v>
      </c>
      <c r="C1345" s="185" t="s">
        <v>3023</v>
      </c>
      <c r="D1345" s="133" t="s">
        <v>1571</v>
      </c>
      <c r="E1345" s="134">
        <v>1</v>
      </c>
      <c r="F1345" s="135" t="s">
        <v>1449</v>
      </c>
      <c r="G1345" s="185" t="s">
        <v>15</v>
      </c>
      <c r="H1345" s="185" t="s">
        <v>15</v>
      </c>
      <c r="I1345" s="185" t="s">
        <v>15</v>
      </c>
      <c r="J1345" s="135" t="s">
        <v>1450</v>
      </c>
      <c r="K1345" s="186">
        <v>9336</v>
      </c>
      <c r="L1345" s="187" t="s">
        <v>173</v>
      </c>
      <c r="M1345" s="187" t="s">
        <v>175</v>
      </c>
    </row>
    <row r="1346" spans="1:13" s="188" customFormat="1">
      <c r="A1346" s="185" t="s">
        <v>1447</v>
      </c>
      <c r="B1346" s="133" t="s">
        <v>4512</v>
      </c>
      <c r="C1346" s="185" t="s">
        <v>3023</v>
      </c>
      <c r="D1346" s="133" t="s">
        <v>1571</v>
      </c>
      <c r="E1346" s="134">
        <v>1</v>
      </c>
      <c r="F1346" s="135" t="s">
        <v>1449</v>
      </c>
      <c r="G1346" s="185" t="s">
        <v>15</v>
      </c>
      <c r="H1346" s="185" t="s">
        <v>15</v>
      </c>
      <c r="I1346" s="185" t="s">
        <v>15</v>
      </c>
      <c r="J1346" s="135" t="s">
        <v>1450</v>
      </c>
      <c r="K1346" s="186">
        <v>7476</v>
      </c>
      <c r="L1346" s="187" t="s">
        <v>173</v>
      </c>
      <c r="M1346" s="187" t="s">
        <v>175</v>
      </c>
    </row>
    <row r="1347" spans="1:13" s="188" customFormat="1">
      <c r="A1347" s="185" t="s">
        <v>1447</v>
      </c>
      <c r="B1347" s="133" t="s">
        <v>4513</v>
      </c>
      <c r="C1347" s="185" t="s">
        <v>3023</v>
      </c>
      <c r="D1347" s="133" t="s">
        <v>1571</v>
      </c>
      <c r="E1347" s="134">
        <v>1</v>
      </c>
      <c r="F1347" s="135" t="s">
        <v>1449</v>
      </c>
      <c r="G1347" s="185" t="s">
        <v>15</v>
      </c>
      <c r="H1347" s="185" t="s">
        <v>15</v>
      </c>
      <c r="I1347" s="185" t="s">
        <v>15</v>
      </c>
      <c r="J1347" s="135" t="s">
        <v>1450</v>
      </c>
      <c r="K1347" s="186">
        <v>5604</v>
      </c>
      <c r="L1347" s="187" t="s">
        <v>173</v>
      </c>
      <c r="M1347" s="187" t="s">
        <v>175</v>
      </c>
    </row>
    <row r="1348" spans="1:13" s="188" customFormat="1">
      <c r="A1348" s="185" t="s">
        <v>1447</v>
      </c>
      <c r="B1348" s="133" t="s">
        <v>4514</v>
      </c>
      <c r="C1348" s="185" t="s">
        <v>3023</v>
      </c>
      <c r="D1348" s="133" t="s">
        <v>1571</v>
      </c>
      <c r="E1348" s="134">
        <v>1</v>
      </c>
      <c r="F1348" s="135" t="s">
        <v>1449</v>
      </c>
      <c r="G1348" s="185" t="s">
        <v>15</v>
      </c>
      <c r="H1348" s="185" t="s">
        <v>15</v>
      </c>
      <c r="I1348" s="185" t="s">
        <v>15</v>
      </c>
      <c r="J1348" s="135" t="s">
        <v>1450</v>
      </c>
      <c r="K1348" s="186">
        <v>4356</v>
      </c>
      <c r="L1348" s="187" t="s">
        <v>173</v>
      </c>
      <c r="M1348" s="187" t="s">
        <v>175</v>
      </c>
    </row>
    <row r="1349" spans="1:13" s="188" customFormat="1">
      <c r="A1349" s="185" t="s">
        <v>1447</v>
      </c>
      <c r="B1349" s="133" t="s">
        <v>4515</v>
      </c>
      <c r="C1349" s="185" t="s">
        <v>3023</v>
      </c>
      <c r="D1349" s="133" t="s">
        <v>1571</v>
      </c>
      <c r="E1349" s="134">
        <v>1</v>
      </c>
      <c r="F1349" s="135" t="s">
        <v>1449</v>
      </c>
      <c r="G1349" s="185" t="s">
        <v>15</v>
      </c>
      <c r="H1349" s="185" t="s">
        <v>15</v>
      </c>
      <c r="I1349" s="185" t="s">
        <v>15</v>
      </c>
      <c r="J1349" s="135" t="s">
        <v>1450</v>
      </c>
      <c r="K1349" s="186">
        <v>3108</v>
      </c>
      <c r="L1349" s="187" t="s">
        <v>173</v>
      </c>
      <c r="M1349" s="187" t="s">
        <v>175</v>
      </c>
    </row>
    <row r="1350" spans="1:13" s="188" customFormat="1">
      <c r="A1350" s="185" t="s">
        <v>1447</v>
      </c>
      <c r="B1350" s="133" t="s">
        <v>4516</v>
      </c>
      <c r="C1350" s="185" t="s">
        <v>3023</v>
      </c>
      <c r="D1350" s="133" t="s">
        <v>1571</v>
      </c>
      <c r="E1350" s="134">
        <v>1</v>
      </c>
      <c r="F1350" s="135" t="s">
        <v>1449</v>
      </c>
      <c r="G1350" s="185" t="s">
        <v>15</v>
      </c>
      <c r="H1350" s="185" t="s">
        <v>15</v>
      </c>
      <c r="I1350" s="185" t="s">
        <v>15</v>
      </c>
      <c r="J1350" s="135" t="s">
        <v>1450</v>
      </c>
      <c r="K1350" s="186">
        <v>2616</v>
      </c>
      <c r="L1350" s="187" t="s">
        <v>173</v>
      </c>
      <c r="M1350" s="187" t="s">
        <v>175</v>
      </c>
    </row>
    <row r="1351" spans="1:13" s="188" customFormat="1">
      <c r="A1351" s="185" t="s">
        <v>1447</v>
      </c>
      <c r="B1351" s="133" t="s">
        <v>4517</v>
      </c>
      <c r="C1351" s="185" t="s">
        <v>3023</v>
      </c>
      <c r="D1351" s="133" t="s">
        <v>4518</v>
      </c>
      <c r="E1351" s="134">
        <v>1</v>
      </c>
      <c r="F1351" s="135" t="s">
        <v>1449</v>
      </c>
      <c r="G1351" s="185" t="s">
        <v>15</v>
      </c>
      <c r="H1351" s="185" t="s">
        <v>15</v>
      </c>
      <c r="I1351" s="185" t="s">
        <v>15</v>
      </c>
      <c r="J1351" s="135" t="s">
        <v>1450</v>
      </c>
      <c r="K1351" s="186">
        <v>1.56</v>
      </c>
      <c r="L1351" s="187" t="s">
        <v>173</v>
      </c>
      <c r="M1351" s="187" t="s">
        <v>175</v>
      </c>
    </row>
    <row r="1352" spans="1:13" s="188" customFormat="1">
      <c r="A1352" s="185" t="s">
        <v>1447</v>
      </c>
      <c r="B1352" s="133" t="s">
        <v>4519</v>
      </c>
      <c r="C1352" s="185" t="s">
        <v>3023</v>
      </c>
      <c r="D1352" s="133" t="s">
        <v>4518</v>
      </c>
      <c r="E1352" s="134">
        <v>1</v>
      </c>
      <c r="F1352" s="135" t="s">
        <v>1449</v>
      </c>
      <c r="G1352" s="185" t="s">
        <v>15</v>
      </c>
      <c r="H1352" s="185" t="s">
        <v>15</v>
      </c>
      <c r="I1352" s="185" t="s">
        <v>15</v>
      </c>
      <c r="J1352" s="135" t="s">
        <v>1450</v>
      </c>
      <c r="K1352" s="186">
        <v>1.2000000000000002</v>
      </c>
      <c r="L1352" s="187" t="s">
        <v>173</v>
      </c>
      <c r="M1352" s="187" t="s">
        <v>175</v>
      </c>
    </row>
    <row r="1353" spans="1:13" s="188" customFormat="1">
      <c r="A1353" s="185" t="s">
        <v>1447</v>
      </c>
      <c r="B1353" s="133" t="s">
        <v>4520</v>
      </c>
      <c r="C1353" s="185" t="s">
        <v>3023</v>
      </c>
      <c r="D1353" s="133" t="s">
        <v>4518</v>
      </c>
      <c r="E1353" s="134">
        <v>1</v>
      </c>
      <c r="F1353" s="135" t="s">
        <v>1449</v>
      </c>
      <c r="G1353" s="185" t="s">
        <v>15</v>
      </c>
      <c r="H1353" s="185" t="s">
        <v>15</v>
      </c>
      <c r="I1353" s="185" t="s">
        <v>15</v>
      </c>
      <c r="J1353" s="135" t="s">
        <v>1450</v>
      </c>
      <c r="K1353" s="186">
        <v>0.96</v>
      </c>
      <c r="L1353" s="187" t="s">
        <v>173</v>
      </c>
      <c r="M1353" s="187" t="s">
        <v>175</v>
      </c>
    </row>
    <row r="1354" spans="1:13" s="188" customFormat="1">
      <c r="A1354" s="185" t="s">
        <v>1447</v>
      </c>
      <c r="B1354" s="133" t="s">
        <v>4521</v>
      </c>
      <c r="C1354" s="185" t="s">
        <v>3023</v>
      </c>
      <c r="D1354" s="133" t="s">
        <v>4522</v>
      </c>
      <c r="E1354" s="134">
        <v>1</v>
      </c>
      <c r="F1354" s="135" t="s">
        <v>1449</v>
      </c>
      <c r="G1354" s="185" t="s">
        <v>15</v>
      </c>
      <c r="H1354" s="185" t="s">
        <v>15</v>
      </c>
      <c r="I1354" s="185" t="s">
        <v>15</v>
      </c>
      <c r="J1354" s="135" t="s">
        <v>1450</v>
      </c>
      <c r="K1354" s="186">
        <v>124512</v>
      </c>
      <c r="L1354" s="187" t="s">
        <v>173</v>
      </c>
      <c r="M1354" s="187" t="s">
        <v>175</v>
      </c>
    </row>
    <row r="1355" spans="1:13" s="188" customFormat="1">
      <c r="A1355" s="185" t="s">
        <v>1447</v>
      </c>
      <c r="B1355" s="133" t="s">
        <v>4523</v>
      </c>
      <c r="C1355" s="185" t="s">
        <v>3023</v>
      </c>
      <c r="D1355" s="133" t="s">
        <v>1539</v>
      </c>
      <c r="E1355" s="134">
        <v>1</v>
      </c>
      <c r="F1355" s="135" t="s">
        <v>1449</v>
      </c>
      <c r="G1355" s="185" t="s">
        <v>15</v>
      </c>
      <c r="H1355" s="185" t="s">
        <v>15</v>
      </c>
      <c r="I1355" s="185" t="s">
        <v>15</v>
      </c>
      <c r="J1355" s="135" t="s">
        <v>1450</v>
      </c>
      <c r="K1355" s="186">
        <v>600</v>
      </c>
      <c r="L1355" s="187" t="s">
        <v>173</v>
      </c>
      <c r="M1355" s="187" t="s">
        <v>175</v>
      </c>
    </row>
    <row r="1356" spans="1:13" s="188" customFormat="1">
      <c r="A1356" s="185" t="s">
        <v>1447</v>
      </c>
      <c r="B1356" s="133" t="s">
        <v>4524</v>
      </c>
      <c r="C1356" s="185" t="s">
        <v>3023</v>
      </c>
      <c r="D1356" s="133" t="s">
        <v>1538</v>
      </c>
      <c r="E1356" s="134">
        <v>1</v>
      </c>
      <c r="F1356" s="135" t="s">
        <v>1449</v>
      </c>
      <c r="G1356" s="185" t="s">
        <v>15</v>
      </c>
      <c r="H1356" s="185" t="s">
        <v>15</v>
      </c>
      <c r="I1356" s="185" t="s">
        <v>15</v>
      </c>
      <c r="J1356" s="135" t="s">
        <v>1450</v>
      </c>
      <c r="K1356" s="186">
        <v>1908</v>
      </c>
      <c r="L1356" s="187" t="s">
        <v>173</v>
      </c>
      <c r="M1356" s="187" t="s">
        <v>175</v>
      </c>
    </row>
    <row r="1357" spans="1:13" s="188" customFormat="1">
      <c r="A1357" s="185" t="s">
        <v>1447</v>
      </c>
      <c r="B1357" s="133" t="s">
        <v>4525</v>
      </c>
      <c r="C1357" s="185" t="s">
        <v>3023</v>
      </c>
      <c r="D1357" s="133" t="s">
        <v>4526</v>
      </c>
      <c r="E1357" s="134">
        <v>1</v>
      </c>
      <c r="F1357" s="135" t="s">
        <v>1449</v>
      </c>
      <c r="G1357" s="185" t="s">
        <v>15</v>
      </c>
      <c r="H1357" s="185" t="s">
        <v>15</v>
      </c>
      <c r="I1357" s="185" t="s">
        <v>15</v>
      </c>
      <c r="J1357" s="135" t="s">
        <v>1450</v>
      </c>
      <c r="K1357" s="186">
        <v>12456</v>
      </c>
      <c r="L1357" s="187" t="s">
        <v>173</v>
      </c>
      <c r="M1357" s="187" t="s">
        <v>175</v>
      </c>
    </row>
    <row r="1358" spans="1:13" s="188" customFormat="1">
      <c r="A1358" s="185" t="s">
        <v>1447</v>
      </c>
      <c r="B1358" s="133" t="s">
        <v>4527</v>
      </c>
      <c r="C1358" s="185" t="s">
        <v>3023</v>
      </c>
      <c r="D1358" s="133" t="s">
        <v>4526</v>
      </c>
      <c r="E1358" s="134">
        <v>1</v>
      </c>
      <c r="F1358" s="135" t="s">
        <v>1449</v>
      </c>
      <c r="G1358" s="185" t="s">
        <v>15</v>
      </c>
      <c r="H1358" s="185" t="s">
        <v>15</v>
      </c>
      <c r="I1358" s="185" t="s">
        <v>15</v>
      </c>
      <c r="J1358" s="135" t="s">
        <v>1450</v>
      </c>
      <c r="K1358" s="186">
        <v>10668</v>
      </c>
      <c r="L1358" s="187" t="s">
        <v>173</v>
      </c>
      <c r="M1358" s="187" t="s">
        <v>175</v>
      </c>
    </row>
    <row r="1359" spans="1:13" s="188" customFormat="1">
      <c r="A1359" s="185" t="s">
        <v>1447</v>
      </c>
      <c r="B1359" s="133" t="s">
        <v>4528</v>
      </c>
      <c r="C1359" s="185" t="s">
        <v>3023</v>
      </c>
      <c r="D1359" s="133" t="s">
        <v>4526</v>
      </c>
      <c r="E1359" s="134">
        <v>1</v>
      </c>
      <c r="F1359" s="135" t="s">
        <v>1449</v>
      </c>
      <c r="G1359" s="185" t="s">
        <v>15</v>
      </c>
      <c r="H1359" s="185" t="s">
        <v>15</v>
      </c>
      <c r="I1359" s="185" t="s">
        <v>15</v>
      </c>
      <c r="J1359" s="135" t="s">
        <v>1450</v>
      </c>
      <c r="K1359" s="186">
        <v>9792</v>
      </c>
      <c r="L1359" s="187" t="s">
        <v>173</v>
      </c>
      <c r="M1359" s="187" t="s">
        <v>175</v>
      </c>
    </row>
    <row r="1360" spans="1:13" s="188" customFormat="1">
      <c r="A1360" s="185" t="s">
        <v>1447</v>
      </c>
      <c r="B1360" s="133" t="s">
        <v>4529</v>
      </c>
      <c r="C1360" s="185" t="s">
        <v>3023</v>
      </c>
      <c r="D1360" s="133" t="s">
        <v>4526</v>
      </c>
      <c r="E1360" s="134">
        <v>1</v>
      </c>
      <c r="F1360" s="135" t="s">
        <v>1449</v>
      </c>
      <c r="G1360" s="185" t="s">
        <v>15</v>
      </c>
      <c r="H1360" s="185" t="s">
        <v>15</v>
      </c>
      <c r="I1360" s="185" t="s">
        <v>15</v>
      </c>
      <c r="J1360" s="135" t="s">
        <v>1450</v>
      </c>
      <c r="K1360" s="186">
        <v>9420</v>
      </c>
      <c r="L1360" s="187" t="s">
        <v>173</v>
      </c>
      <c r="M1360" s="187" t="s">
        <v>175</v>
      </c>
    </row>
    <row r="1361" spans="1:13" s="188" customFormat="1">
      <c r="A1361" s="185" t="s">
        <v>1447</v>
      </c>
      <c r="B1361" s="133" t="s">
        <v>4530</v>
      </c>
      <c r="C1361" s="185" t="s">
        <v>3023</v>
      </c>
      <c r="D1361" s="133" t="s">
        <v>4526</v>
      </c>
      <c r="E1361" s="134">
        <v>1</v>
      </c>
      <c r="F1361" s="135" t="s">
        <v>1449</v>
      </c>
      <c r="G1361" s="185" t="s">
        <v>15</v>
      </c>
      <c r="H1361" s="185" t="s">
        <v>15</v>
      </c>
      <c r="I1361" s="185" t="s">
        <v>15</v>
      </c>
      <c r="J1361" s="135" t="s">
        <v>1450</v>
      </c>
      <c r="K1361" s="186">
        <v>9072</v>
      </c>
      <c r="L1361" s="187" t="s">
        <v>173</v>
      </c>
      <c r="M1361" s="187" t="s">
        <v>175</v>
      </c>
    </row>
    <row r="1362" spans="1:13" s="188" customFormat="1">
      <c r="A1362" s="185" t="s">
        <v>1447</v>
      </c>
      <c r="B1362" s="133" t="s">
        <v>4531</v>
      </c>
      <c r="C1362" s="185" t="s">
        <v>3023</v>
      </c>
      <c r="D1362" s="133" t="s">
        <v>4526</v>
      </c>
      <c r="E1362" s="134">
        <v>1</v>
      </c>
      <c r="F1362" s="135" t="s">
        <v>1449</v>
      </c>
      <c r="G1362" s="185" t="s">
        <v>15</v>
      </c>
      <c r="H1362" s="185" t="s">
        <v>15</v>
      </c>
      <c r="I1362" s="185" t="s">
        <v>15</v>
      </c>
      <c r="J1362" s="135" t="s">
        <v>1450</v>
      </c>
      <c r="K1362" s="186">
        <v>8892</v>
      </c>
      <c r="L1362" s="187" t="s">
        <v>173</v>
      </c>
      <c r="M1362" s="187" t="s">
        <v>175</v>
      </c>
    </row>
    <row r="1363" spans="1:13" s="188" customFormat="1">
      <c r="A1363" s="185" t="s">
        <v>1447</v>
      </c>
      <c r="B1363" s="133" t="s">
        <v>4532</v>
      </c>
      <c r="C1363" s="185" t="s">
        <v>3023</v>
      </c>
      <c r="D1363" s="133" t="s">
        <v>4533</v>
      </c>
      <c r="E1363" s="134">
        <v>1</v>
      </c>
      <c r="F1363" s="135" t="s">
        <v>1449</v>
      </c>
      <c r="G1363" s="185" t="s">
        <v>15</v>
      </c>
      <c r="H1363" s="185" t="s">
        <v>15</v>
      </c>
      <c r="I1363" s="185" t="s">
        <v>15</v>
      </c>
      <c r="J1363" s="135" t="s">
        <v>1450</v>
      </c>
      <c r="K1363" s="186">
        <v>1560</v>
      </c>
      <c r="L1363" s="187" t="s">
        <v>173</v>
      </c>
      <c r="M1363" s="187" t="s">
        <v>175</v>
      </c>
    </row>
    <row r="1364" spans="1:13" s="188" customFormat="1">
      <c r="A1364" s="185" t="s">
        <v>1447</v>
      </c>
      <c r="B1364" s="133" t="s">
        <v>4534</v>
      </c>
      <c r="C1364" s="185" t="s">
        <v>3023</v>
      </c>
      <c r="D1364" s="133" t="s">
        <v>4533</v>
      </c>
      <c r="E1364" s="134">
        <v>1</v>
      </c>
      <c r="F1364" s="135" t="s">
        <v>1449</v>
      </c>
      <c r="G1364" s="185" t="s">
        <v>15</v>
      </c>
      <c r="H1364" s="185" t="s">
        <v>15</v>
      </c>
      <c r="I1364" s="185" t="s">
        <v>15</v>
      </c>
      <c r="J1364" s="135" t="s">
        <v>1450</v>
      </c>
      <c r="K1364" s="186">
        <v>1500</v>
      </c>
      <c r="L1364" s="187" t="s">
        <v>173</v>
      </c>
      <c r="M1364" s="187" t="s">
        <v>175</v>
      </c>
    </row>
    <row r="1365" spans="1:13" s="188" customFormat="1">
      <c r="A1365" s="185" t="s">
        <v>1447</v>
      </c>
      <c r="B1365" s="133" t="s">
        <v>4535</v>
      </c>
      <c r="C1365" s="185" t="s">
        <v>3023</v>
      </c>
      <c r="D1365" s="133" t="s">
        <v>4533</v>
      </c>
      <c r="E1365" s="134">
        <v>1</v>
      </c>
      <c r="F1365" s="135" t="s">
        <v>1449</v>
      </c>
      <c r="G1365" s="185" t="s">
        <v>15</v>
      </c>
      <c r="H1365" s="185" t="s">
        <v>15</v>
      </c>
      <c r="I1365" s="185" t="s">
        <v>15</v>
      </c>
      <c r="J1365" s="135" t="s">
        <v>1450</v>
      </c>
      <c r="K1365" s="186">
        <v>1428</v>
      </c>
      <c r="L1365" s="187" t="s">
        <v>173</v>
      </c>
      <c r="M1365" s="187" t="s">
        <v>175</v>
      </c>
    </row>
    <row r="1366" spans="1:13" s="188" customFormat="1">
      <c r="A1366" s="185" t="s">
        <v>1447</v>
      </c>
      <c r="B1366" s="133" t="s">
        <v>4536</v>
      </c>
      <c r="C1366" s="185" t="s">
        <v>3023</v>
      </c>
      <c r="D1366" s="133" t="s">
        <v>4533</v>
      </c>
      <c r="E1366" s="134">
        <v>1</v>
      </c>
      <c r="F1366" s="135" t="s">
        <v>1449</v>
      </c>
      <c r="G1366" s="185" t="s">
        <v>15</v>
      </c>
      <c r="H1366" s="185" t="s">
        <v>15</v>
      </c>
      <c r="I1366" s="185" t="s">
        <v>15</v>
      </c>
      <c r="J1366" s="135" t="s">
        <v>1450</v>
      </c>
      <c r="K1366" s="186">
        <v>1368</v>
      </c>
      <c r="L1366" s="187" t="s">
        <v>173</v>
      </c>
      <c r="M1366" s="187" t="s">
        <v>175</v>
      </c>
    </row>
    <row r="1367" spans="1:13" s="188" customFormat="1">
      <c r="A1367" s="185" t="s">
        <v>1447</v>
      </c>
      <c r="B1367" s="133" t="s">
        <v>4537</v>
      </c>
      <c r="C1367" s="185" t="s">
        <v>3023</v>
      </c>
      <c r="D1367" s="133" t="s">
        <v>4533</v>
      </c>
      <c r="E1367" s="134">
        <v>1</v>
      </c>
      <c r="F1367" s="135" t="s">
        <v>1449</v>
      </c>
      <c r="G1367" s="185" t="s">
        <v>15</v>
      </c>
      <c r="H1367" s="185" t="s">
        <v>15</v>
      </c>
      <c r="I1367" s="185" t="s">
        <v>15</v>
      </c>
      <c r="J1367" s="135" t="s">
        <v>1450</v>
      </c>
      <c r="K1367" s="186">
        <v>1308</v>
      </c>
      <c r="L1367" s="187" t="s">
        <v>173</v>
      </c>
      <c r="M1367" s="187" t="s">
        <v>175</v>
      </c>
    </row>
    <row r="1368" spans="1:13" s="188" customFormat="1">
      <c r="A1368" s="185" t="s">
        <v>1447</v>
      </c>
      <c r="B1368" s="133" t="s">
        <v>4538</v>
      </c>
      <c r="C1368" s="185" t="s">
        <v>3023</v>
      </c>
      <c r="D1368" s="133" t="s">
        <v>4539</v>
      </c>
      <c r="E1368" s="134">
        <v>1</v>
      </c>
      <c r="F1368" s="135" t="s">
        <v>1449</v>
      </c>
      <c r="G1368" s="185" t="s">
        <v>15</v>
      </c>
      <c r="H1368" s="185" t="s">
        <v>15</v>
      </c>
      <c r="I1368" s="185" t="s">
        <v>15</v>
      </c>
      <c r="J1368" s="135" t="s">
        <v>1450</v>
      </c>
      <c r="K1368" s="186">
        <v>540</v>
      </c>
      <c r="L1368" s="187" t="s">
        <v>173</v>
      </c>
      <c r="M1368" s="187" t="s">
        <v>175</v>
      </c>
    </row>
    <row r="1369" spans="1:13" s="188" customFormat="1">
      <c r="A1369" s="185" t="s">
        <v>1447</v>
      </c>
      <c r="B1369" s="133" t="s">
        <v>4540</v>
      </c>
      <c r="C1369" s="185" t="s">
        <v>3023</v>
      </c>
      <c r="D1369" s="133" t="s">
        <v>4539</v>
      </c>
      <c r="E1369" s="134">
        <v>1</v>
      </c>
      <c r="F1369" s="135" t="s">
        <v>1449</v>
      </c>
      <c r="G1369" s="185" t="s">
        <v>15</v>
      </c>
      <c r="H1369" s="185" t="s">
        <v>15</v>
      </c>
      <c r="I1369" s="185" t="s">
        <v>15</v>
      </c>
      <c r="J1369" s="135" t="s">
        <v>1450</v>
      </c>
      <c r="K1369" s="186">
        <v>516</v>
      </c>
      <c r="L1369" s="187" t="s">
        <v>173</v>
      </c>
      <c r="M1369" s="187" t="s">
        <v>175</v>
      </c>
    </row>
    <row r="1370" spans="1:13" s="188" customFormat="1">
      <c r="A1370" s="185" t="s">
        <v>1447</v>
      </c>
      <c r="B1370" s="133" t="s">
        <v>4541</v>
      </c>
      <c r="C1370" s="185" t="s">
        <v>3023</v>
      </c>
      <c r="D1370" s="133" t="s">
        <v>4539</v>
      </c>
      <c r="E1370" s="134">
        <v>1</v>
      </c>
      <c r="F1370" s="135" t="s">
        <v>1449</v>
      </c>
      <c r="G1370" s="185" t="s">
        <v>15</v>
      </c>
      <c r="H1370" s="185" t="s">
        <v>15</v>
      </c>
      <c r="I1370" s="185" t="s">
        <v>15</v>
      </c>
      <c r="J1370" s="135" t="s">
        <v>1450</v>
      </c>
      <c r="K1370" s="186">
        <v>504</v>
      </c>
      <c r="L1370" s="187" t="s">
        <v>173</v>
      </c>
      <c r="M1370" s="187" t="s">
        <v>175</v>
      </c>
    </row>
    <row r="1371" spans="1:13" s="188" customFormat="1">
      <c r="A1371" s="185" t="s">
        <v>1447</v>
      </c>
      <c r="B1371" s="133" t="s">
        <v>4542</v>
      </c>
      <c r="C1371" s="185" t="s">
        <v>3023</v>
      </c>
      <c r="D1371" s="133" t="s">
        <v>4539</v>
      </c>
      <c r="E1371" s="134">
        <v>1</v>
      </c>
      <c r="F1371" s="135" t="s">
        <v>1449</v>
      </c>
      <c r="G1371" s="185" t="s">
        <v>15</v>
      </c>
      <c r="H1371" s="185" t="s">
        <v>15</v>
      </c>
      <c r="I1371" s="185" t="s">
        <v>15</v>
      </c>
      <c r="J1371" s="135" t="s">
        <v>1450</v>
      </c>
      <c r="K1371" s="186">
        <v>480</v>
      </c>
      <c r="L1371" s="187" t="s">
        <v>173</v>
      </c>
      <c r="M1371" s="187" t="s">
        <v>175</v>
      </c>
    </row>
    <row r="1372" spans="1:13" s="188" customFormat="1">
      <c r="A1372" s="185" t="s">
        <v>1447</v>
      </c>
      <c r="B1372" s="133" t="s">
        <v>4543</v>
      </c>
      <c r="C1372" s="185" t="s">
        <v>3023</v>
      </c>
      <c r="D1372" s="133" t="s">
        <v>4539</v>
      </c>
      <c r="E1372" s="134">
        <v>1</v>
      </c>
      <c r="F1372" s="135" t="s">
        <v>1449</v>
      </c>
      <c r="G1372" s="185" t="s">
        <v>15</v>
      </c>
      <c r="H1372" s="185" t="s">
        <v>15</v>
      </c>
      <c r="I1372" s="185" t="s">
        <v>15</v>
      </c>
      <c r="J1372" s="135" t="s">
        <v>1450</v>
      </c>
      <c r="K1372" s="186">
        <v>456</v>
      </c>
      <c r="L1372" s="187" t="s">
        <v>173</v>
      </c>
      <c r="M1372" s="187" t="s">
        <v>175</v>
      </c>
    </row>
    <row r="1373" spans="1:13" s="188" customFormat="1">
      <c r="A1373" s="185" t="s">
        <v>1447</v>
      </c>
      <c r="B1373" s="133" t="s">
        <v>4544</v>
      </c>
      <c r="C1373" s="185" t="s">
        <v>3023</v>
      </c>
      <c r="D1373" s="133" t="s">
        <v>4545</v>
      </c>
      <c r="E1373" s="134">
        <v>1</v>
      </c>
      <c r="F1373" s="135" t="s">
        <v>1449</v>
      </c>
      <c r="G1373" s="185" t="s">
        <v>15</v>
      </c>
      <c r="H1373" s="185" t="s">
        <v>15</v>
      </c>
      <c r="I1373" s="185" t="s">
        <v>15</v>
      </c>
      <c r="J1373" s="135" t="s">
        <v>1450</v>
      </c>
      <c r="K1373" s="186">
        <v>95568</v>
      </c>
      <c r="L1373" s="187" t="s">
        <v>173</v>
      </c>
      <c r="M1373" s="187" t="s">
        <v>175</v>
      </c>
    </row>
    <row r="1374" spans="1:13" s="188" customFormat="1">
      <c r="A1374" s="185" t="s">
        <v>1447</v>
      </c>
      <c r="B1374" s="133" t="s">
        <v>4546</v>
      </c>
      <c r="C1374" s="185" t="s">
        <v>3023</v>
      </c>
      <c r="D1374" s="133" t="s">
        <v>4547</v>
      </c>
      <c r="E1374" s="134">
        <v>1</v>
      </c>
      <c r="F1374" s="135" t="s">
        <v>1449</v>
      </c>
      <c r="G1374" s="185" t="s">
        <v>15</v>
      </c>
      <c r="H1374" s="185" t="s">
        <v>15</v>
      </c>
      <c r="I1374" s="185" t="s">
        <v>15</v>
      </c>
      <c r="J1374" s="135" t="s">
        <v>1450</v>
      </c>
      <c r="K1374" s="186">
        <v>18024</v>
      </c>
      <c r="L1374" s="187" t="s">
        <v>173</v>
      </c>
      <c r="M1374" s="187" t="s">
        <v>175</v>
      </c>
    </row>
    <row r="1375" spans="1:13" s="188" customFormat="1">
      <c r="A1375" s="185" t="s">
        <v>1447</v>
      </c>
      <c r="B1375" s="133" t="s">
        <v>4548</v>
      </c>
      <c r="C1375" s="185" t="s">
        <v>3023</v>
      </c>
      <c r="D1375" s="133" t="s">
        <v>4547</v>
      </c>
      <c r="E1375" s="134">
        <v>1</v>
      </c>
      <c r="F1375" s="135" t="s">
        <v>1449</v>
      </c>
      <c r="G1375" s="185" t="s">
        <v>15</v>
      </c>
      <c r="H1375" s="185" t="s">
        <v>15</v>
      </c>
      <c r="I1375" s="185" t="s">
        <v>15</v>
      </c>
      <c r="J1375" s="135" t="s">
        <v>1450</v>
      </c>
      <c r="K1375" s="186">
        <v>9840</v>
      </c>
      <c r="L1375" s="187" t="s">
        <v>173</v>
      </c>
      <c r="M1375" s="187" t="s">
        <v>175</v>
      </c>
    </row>
    <row r="1376" spans="1:13" s="188" customFormat="1">
      <c r="A1376" s="185" t="s">
        <v>1447</v>
      </c>
      <c r="B1376" s="133" t="s">
        <v>4549</v>
      </c>
      <c r="C1376" s="185" t="s">
        <v>3023</v>
      </c>
      <c r="D1376" s="133" t="s">
        <v>4547</v>
      </c>
      <c r="E1376" s="134">
        <v>1</v>
      </c>
      <c r="F1376" s="135" t="s">
        <v>1449</v>
      </c>
      <c r="G1376" s="185" t="s">
        <v>15</v>
      </c>
      <c r="H1376" s="185" t="s">
        <v>15</v>
      </c>
      <c r="I1376" s="185" t="s">
        <v>15</v>
      </c>
      <c r="J1376" s="135" t="s">
        <v>1450</v>
      </c>
      <c r="K1376" s="186">
        <v>7908</v>
      </c>
      <c r="L1376" s="187" t="s">
        <v>173</v>
      </c>
      <c r="M1376" s="187" t="s">
        <v>175</v>
      </c>
    </row>
    <row r="1377" spans="1:13" s="188" customFormat="1">
      <c r="A1377" s="185" t="s">
        <v>1447</v>
      </c>
      <c r="B1377" s="133" t="s">
        <v>4550</v>
      </c>
      <c r="C1377" s="185" t="s">
        <v>3023</v>
      </c>
      <c r="D1377" s="133" t="s">
        <v>4547</v>
      </c>
      <c r="E1377" s="134">
        <v>1</v>
      </c>
      <c r="F1377" s="135" t="s">
        <v>1449</v>
      </c>
      <c r="G1377" s="185" t="s">
        <v>15</v>
      </c>
      <c r="H1377" s="185" t="s">
        <v>15</v>
      </c>
      <c r="I1377" s="185" t="s">
        <v>15</v>
      </c>
      <c r="J1377" s="135" t="s">
        <v>1450</v>
      </c>
      <c r="K1377" s="186">
        <v>7224</v>
      </c>
      <c r="L1377" s="187" t="s">
        <v>173</v>
      </c>
      <c r="M1377" s="187" t="s">
        <v>175</v>
      </c>
    </row>
    <row r="1378" spans="1:13" s="188" customFormat="1">
      <c r="A1378" s="185" t="s">
        <v>1447</v>
      </c>
      <c r="B1378" s="133" t="s">
        <v>4551</v>
      </c>
      <c r="C1378" s="185" t="s">
        <v>3023</v>
      </c>
      <c r="D1378" s="133" t="s">
        <v>4547</v>
      </c>
      <c r="E1378" s="134">
        <v>1</v>
      </c>
      <c r="F1378" s="135" t="s">
        <v>1449</v>
      </c>
      <c r="G1378" s="185" t="s">
        <v>15</v>
      </c>
      <c r="H1378" s="185" t="s">
        <v>15</v>
      </c>
      <c r="I1378" s="185" t="s">
        <v>15</v>
      </c>
      <c r="J1378" s="135" t="s">
        <v>1450</v>
      </c>
      <c r="K1378" s="186">
        <v>6720</v>
      </c>
      <c r="L1378" s="187" t="s">
        <v>173</v>
      </c>
      <c r="M1378" s="187" t="s">
        <v>175</v>
      </c>
    </row>
    <row r="1379" spans="1:13" s="188" customFormat="1">
      <c r="A1379" s="185" t="s">
        <v>1447</v>
      </c>
      <c r="B1379" s="133" t="s">
        <v>4552</v>
      </c>
      <c r="C1379" s="185" t="s">
        <v>3023</v>
      </c>
      <c r="D1379" s="133" t="s">
        <v>4547</v>
      </c>
      <c r="E1379" s="134">
        <v>1</v>
      </c>
      <c r="F1379" s="135" t="s">
        <v>1449</v>
      </c>
      <c r="G1379" s="185" t="s">
        <v>15</v>
      </c>
      <c r="H1379" s="185" t="s">
        <v>15</v>
      </c>
      <c r="I1379" s="185" t="s">
        <v>15</v>
      </c>
      <c r="J1379" s="135" t="s">
        <v>1450</v>
      </c>
      <c r="K1379" s="186">
        <v>5724</v>
      </c>
      <c r="L1379" s="187" t="s">
        <v>173</v>
      </c>
      <c r="M1379" s="187" t="s">
        <v>175</v>
      </c>
    </row>
    <row r="1380" spans="1:13" s="188" customFormat="1">
      <c r="A1380" s="185" t="s">
        <v>1447</v>
      </c>
      <c r="B1380" s="133" t="s">
        <v>4553</v>
      </c>
      <c r="C1380" s="185" t="s">
        <v>3023</v>
      </c>
      <c r="D1380" s="133" t="s">
        <v>4554</v>
      </c>
      <c r="E1380" s="134">
        <v>1</v>
      </c>
      <c r="F1380" s="135" t="s">
        <v>1449</v>
      </c>
      <c r="G1380" s="185" t="s">
        <v>15</v>
      </c>
      <c r="H1380" s="185" t="s">
        <v>15</v>
      </c>
      <c r="I1380" s="185" t="s">
        <v>15</v>
      </c>
      <c r="J1380" s="135" t="s">
        <v>1450</v>
      </c>
      <c r="K1380" s="186">
        <v>192696</v>
      </c>
      <c r="L1380" s="187" t="s">
        <v>173</v>
      </c>
      <c r="M1380" s="187" t="s">
        <v>175</v>
      </c>
    </row>
    <row r="1381" spans="1:13" s="188" customFormat="1">
      <c r="A1381" s="185" t="s">
        <v>1447</v>
      </c>
      <c r="B1381" s="133" t="s">
        <v>4555</v>
      </c>
      <c r="C1381" s="185" t="s">
        <v>3023</v>
      </c>
      <c r="D1381" s="133" t="s">
        <v>4556</v>
      </c>
      <c r="E1381" s="134">
        <v>1</v>
      </c>
      <c r="F1381" s="135" t="s">
        <v>1449</v>
      </c>
      <c r="G1381" s="185" t="s">
        <v>15</v>
      </c>
      <c r="H1381" s="185" t="s">
        <v>15</v>
      </c>
      <c r="I1381" s="185" t="s">
        <v>15</v>
      </c>
      <c r="J1381" s="135" t="s">
        <v>1450</v>
      </c>
      <c r="K1381" s="186">
        <v>58968</v>
      </c>
      <c r="L1381" s="187" t="s">
        <v>173</v>
      </c>
      <c r="M1381" s="187" t="s">
        <v>175</v>
      </c>
    </row>
    <row r="1382" spans="1:13" s="188" customFormat="1">
      <c r="A1382" s="185" t="s">
        <v>1447</v>
      </c>
      <c r="B1382" s="133" t="s">
        <v>4557</v>
      </c>
      <c r="C1382" s="185" t="s">
        <v>3023</v>
      </c>
      <c r="D1382" s="133" t="s">
        <v>4556</v>
      </c>
      <c r="E1382" s="134">
        <v>1</v>
      </c>
      <c r="F1382" s="135" t="s">
        <v>1449</v>
      </c>
      <c r="G1382" s="185" t="s">
        <v>15</v>
      </c>
      <c r="H1382" s="185" t="s">
        <v>15</v>
      </c>
      <c r="I1382" s="185" t="s">
        <v>15</v>
      </c>
      <c r="J1382" s="135" t="s">
        <v>1450</v>
      </c>
      <c r="K1382" s="186">
        <v>49152</v>
      </c>
      <c r="L1382" s="187" t="s">
        <v>173</v>
      </c>
      <c r="M1382" s="187" t="s">
        <v>175</v>
      </c>
    </row>
    <row r="1383" spans="1:13" s="188" customFormat="1">
      <c r="A1383" s="185" t="s">
        <v>1447</v>
      </c>
      <c r="B1383" s="133" t="s">
        <v>4558</v>
      </c>
      <c r="C1383" s="185" t="s">
        <v>3023</v>
      </c>
      <c r="D1383" s="133" t="s">
        <v>4556</v>
      </c>
      <c r="E1383" s="134">
        <v>1</v>
      </c>
      <c r="F1383" s="135" t="s">
        <v>1449</v>
      </c>
      <c r="G1383" s="185" t="s">
        <v>15</v>
      </c>
      <c r="H1383" s="185" t="s">
        <v>15</v>
      </c>
      <c r="I1383" s="185" t="s">
        <v>15</v>
      </c>
      <c r="J1383" s="135" t="s">
        <v>1450</v>
      </c>
      <c r="K1383" s="186">
        <v>37032</v>
      </c>
      <c r="L1383" s="187" t="s">
        <v>173</v>
      </c>
      <c r="M1383" s="187" t="s">
        <v>175</v>
      </c>
    </row>
    <row r="1384" spans="1:13" s="188" customFormat="1">
      <c r="A1384" s="185" t="s">
        <v>1447</v>
      </c>
      <c r="B1384" s="133" t="s">
        <v>4559</v>
      </c>
      <c r="C1384" s="185" t="s">
        <v>3023</v>
      </c>
      <c r="D1384" s="133" t="s">
        <v>4556</v>
      </c>
      <c r="E1384" s="134">
        <v>1</v>
      </c>
      <c r="F1384" s="135" t="s">
        <v>1449</v>
      </c>
      <c r="G1384" s="185" t="s">
        <v>15</v>
      </c>
      <c r="H1384" s="185" t="s">
        <v>15</v>
      </c>
      <c r="I1384" s="185" t="s">
        <v>15</v>
      </c>
      <c r="J1384" s="135" t="s">
        <v>1450</v>
      </c>
      <c r="K1384" s="186">
        <v>29172</v>
      </c>
      <c r="L1384" s="187" t="s">
        <v>173</v>
      </c>
      <c r="M1384" s="187" t="s">
        <v>175</v>
      </c>
    </row>
    <row r="1385" spans="1:13" s="188" customFormat="1">
      <c r="A1385" s="185" t="s">
        <v>1447</v>
      </c>
      <c r="B1385" s="133" t="s">
        <v>4560</v>
      </c>
      <c r="C1385" s="185" t="s">
        <v>3023</v>
      </c>
      <c r="D1385" s="133" t="s">
        <v>1572</v>
      </c>
      <c r="E1385" s="134">
        <v>1</v>
      </c>
      <c r="F1385" s="135" t="s">
        <v>1449</v>
      </c>
      <c r="G1385" s="185" t="s">
        <v>15</v>
      </c>
      <c r="H1385" s="185" t="s">
        <v>15</v>
      </c>
      <c r="I1385" s="185" t="s">
        <v>15</v>
      </c>
      <c r="J1385" s="135" t="s">
        <v>1450</v>
      </c>
      <c r="K1385" s="186">
        <v>1872</v>
      </c>
      <c r="L1385" s="187" t="s">
        <v>173</v>
      </c>
      <c r="M1385" s="187" t="s">
        <v>175</v>
      </c>
    </row>
    <row r="1386" spans="1:13" s="188" customFormat="1">
      <c r="A1386" s="185" t="s">
        <v>1447</v>
      </c>
      <c r="B1386" s="133" t="s">
        <v>4561</v>
      </c>
      <c r="C1386" s="185" t="s">
        <v>3023</v>
      </c>
      <c r="D1386" s="133" t="s">
        <v>1572</v>
      </c>
      <c r="E1386" s="134">
        <v>1</v>
      </c>
      <c r="F1386" s="135" t="s">
        <v>1449</v>
      </c>
      <c r="G1386" s="185" t="s">
        <v>15</v>
      </c>
      <c r="H1386" s="185" t="s">
        <v>15</v>
      </c>
      <c r="I1386" s="185" t="s">
        <v>15</v>
      </c>
      <c r="J1386" s="135" t="s">
        <v>1450</v>
      </c>
      <c r="K1386" s="186">
        <v>1560</v>
      </c>
      <c r="L1386" s="187" t="s">
        <v>173</v>
      </c>
      <c r="M1386" s="187" t="s">
        <v>175</v>
      </c>
    </row>
    <row r="1387" spans="1:13" s="188" customFormat="1">
      <c r="A1387" s="185" t="s">
        <v>1447</v>
      </c>
      <c r="B1387" s="133" t="s">
        <v>4562</v>
      </c>
      <c r="C1387" s="185" t="s">
        <v>3023</v>
      </c>
      <c r="D1387" s="133" t="s">
        <v>1572</v>
      </c>
      <c r="E1387" s="134">
        <v>1</v>
      </c>
      <c r="F1387" s="135" t="s">
        <v>1449</v>
      </c>
      <c r="G1387" s="185" t="s">
        <v>15</v>
      </c>
      <c r="H1387" s="185" t="s">
        <v>15</v>
      </c>
      <c r="I1387" s="185" t="s">
        <v>15</v>
      </c>
      <c r="J1387" s="135" t="s">
        <v>1450</v>
      </c>
      <c r="K1387" s="186">
        <v>1248</v>
      </c>
      <c r="L1387" s="187" t="s">
        <v>173</v>
      </c>
      <c r="M1387" s="187" t="s">
        <v>175</v>
      </c>
    </row>
    <row r="1388" spans="1:13" s="188" customFormat="1">
      <c r="A1388" s="185" t="s">
        <v>1447</v>
      </c>
      <c r="B1388" s="133" t="s">
        <v>4563</v>
      </c>
      <c r="C1388" s="185" t="s">
        <v>3023</v>
      </c>
      <c r="D1388" s="133" t="s">
        <v>1572</v>
      </c>
      <c r="E1388" s="134">
        <v>1</v>
      </c>
      <c r="F1388" s="135" t="s">
        <v>1449</v>
      </c>
      <c r="G1388" s="185" t="s">
        <v>15</v>
      </c>
      <c r="H1388" s="185" t="s">
        <v>15</v>
      </c>
      <c r="I1388" s="185" t="s">
        <v>15</v>
      </c>
      <c r="J1388" s="135" t="s">
        <v>1450</v>
      </c>
      <c r="K1388" s="186">
        <v>1116</v>
      </c>
      <c r="L1388" s="187" t="s">
        <v>173</v>
      </c>
      <c r="M1388" s="187" t="s">
        <v>175</v>
      </c>
    </row>
    <row r="1389" spans="1:13" s="188" customFormat="1">
      <c r="A1389" s="185" t="s">
        <v>1447</v>
      </c>
      <c r="B1389" s="133" t="s">
        <v>4564</v>
      </c>
      <c r="C1389" s="185" t="s">
        <v>3023</v>
      </c>
      <c r="D1389" s="133" t="s">
        <v>1573</v>
      </c>
      <c r="E1389" s="134">
        <v>1</v>
      </c>
      <c r="F1389" s="135" t="s">
        <v>1449</v>
      </c>
      <c r="G1389" s="185" t="s">
        <v>15</v>
      </c>
      <c r="H1389" s="185" t="s">
        <v>15</v>
      </c>
      <c r="I1389" s="185" t="s">
        <v>15</v>
      </c>
      <c r="J1389" s="135" t="s">
        <v>1450</v>
      </c>
      <c r="K1389" s="186">
        <v>70968</v>
      </c>
      <c r="L1389" s="187" t="s">
        <v>173</v>
      </c>
      <c r="M1389" s="187" t="s">
        <v>175</v>
      </c>
    </row>
    <row r="1390" spans="1:13" s="188" customFormat="1">
      <c r="A1390" s="185" t="s">
        <v>1447</v>
      </c>
      <c r="B1390" s="133" t="s">
        <v>4565</v>
      </c>
      <c r="C1390" s="185" t="s">
        <v>3023</v>
      </c>
      <c r="D1390" s="133" t="s">
        <v>1574</v>
      </c>
      <c r="E1390" s="134">
        <v>1</v>
      </c>
      <c r="F1390" s="135" t="s">
        <v>1449</v>
      </c>
      <c r="G1390" s="185" t="s">
        <v>15</v>
      </c>
      <c r="H1390" s="185" t="s">
        <v>15</v>
      </c>
      <c r="I1390" s="185" t="s">
        <v>15</v>
      </c>
      <c r="J1390" s="135" t="s">
        <v>1450</v>
      </c>
      <c r="K1390" s="186">
        <v>4860</v>
      </c>
      <c r="L1390" s="187" t="s">
        <v>173</v>
      </c>
      <c r="M1390" s="187" t="s">
        <v>175</v>
      </c>
    </row>
    <row r="1391" spans="1:13" s="188" customFormat="1">
      <c r="A1391" s="185" t="s">
        <v>1447</v>
      </c>
      <c r="B1391" s="133" t="s">
        <v>4566</v>
      </c>
      <c r="C1391" s="185" t="s">
        <v>3023</v>
      </c>
      <c r="D1391" s="133" t="s">
        <v>1575</v>
      </c>
      <c r="E1391" s="134">
        <v>1</v>
      </c>
      <c r="F1391" s="135" t="s">
        <v>1449</v>
      </c>
      <c r="G1391" s="185" t="s">
        <v>15</v>
      </c>
      <c r="H1391" s="185" t="s">
        <v>15</v>
      </c>
      <c r="I1391" s="185" t="s">
        <v>15</v>
      </c>
      <c r="J1391" s="135" t="s">
        <v>1450</v>
      </c>
      <c r="K1391" s="186">
        <v>49800</v>
      </c>
      <c r="L1391" s="187" t="s">
        <v>173</v>
      </c>
      <c r="M1391" s="187" t="s">
        <v>175</v>
      </c>
    </row>
    <row r="1392" spans="1:13" s="188" customFormat="1">
      <c r="A1392" s="185" t="s">
        <v>1447</v>
      </c>
      <c r="B1392" s="133" t="s">
        <v>4567</v>
      </c>
      <c r="C1392" s="185" t="s">
        <v>3023</v>
      </c>
      <c r="D1392" s="133" t="s">
        <v>1576</v>
      </c>
      <c r="E1392" s="134">
        <v>1</v>
      </c>
      <c r="F1392" s="135" t="s">
        <v>1449</v>
      </c>
      <c r="G1392" s="185" t="s">
        <v>15</v>
      </c>
      <c r="H1392" s="185" t="s">
        <v>15</v>
      </c>
      <c r="I1392" s="185" t="s">
        <v>15</v>
      </c>
      <c r="J1392" s="135" t="s">
        <v>1450</v>
      </c>
      <c r="K1392" s="186">
        <v>52296</v>
      </c>
      <c r="L1392" s="187" t="s">
        <v>173</v>
      </c>
      <c r="M1392" s="187" t="s">
        <v>175</v>
      </c>
    </row>
    <row r="1393" spans="1:13" s="188" customFormat="1">
      <c r="A1393" s="185" t="s">
        <v>1447</v>
      </c>
      <c r="B1393" s="133" t="s">
        <v>4568</v>
      </c>
      <c r="C1393" s="185" t="s">
        <v>3023</v>
      </c>
      <c r="D1393" s="133" t="s">
        <v>1576</v>
      </c>
      <c r="E1393" s="134">
        <v>1</v>
      </c>
      <c r="F1393" s="135" t="s">
        <v>1449</v>
      </c>
      <c r="G1393" s="185" t="s">
        <v>15</v>
      </c>
      <c r="H1393" s="185" t="s">
        <v>15</v>
      </c>
      <c r="I1393" s="185" t="s">
        <v>15</v>
      </c>
      <c r="J1393" s="135" t="s">
        <v>1450</v>
      </c>
      <c r="K1393" s="186">
        <v>44820</v>
      </c>
      <c r="L1393" s="187" t="s">
        <v>173</v>
      </c>
      <c r="M1393" s="187" t="s">
        <v>175</v>
      </c>
    </row>
    <row r="1394" spans="1:13" s="188" customFormat="1">
      <c r="A1394" s="185" t="s">
        <v>1447</v>
      </c>
      <c r="B1394" s="133" t="s">
        <v>4569</v>
      </c>
      <c r="C1394" s="185" t="s">
        <v>3023</v>
      </c>
      <c r="D1394" s="133" t="s">
        <v>1576</v>
      </c>
      <c r="E1394" s="134">
        <v>1</v>
      </c>
      <c r="F1394" s="135" t="s">
        <v>1449</v>
      </c>
      <c r="G1394" s="185" t="s">
        <v>15</v>
      </c>
      <c r="H1394" s="185" t="s">
        <v>15</v>
      </c>
      <c r="I1394" s="185" t="s">
        <v>15</v>
      </c>
      <c r="J1394" s="135" t="s">
        <v>1450</v>
      </c>
      <c r="K1394" s="186">
        <v>41088</v>
      </c>
      <c r="L1394" s="187" t="s">
        <v>173</v>
      </c>
      <c r="M1394" s="187" t="s">
        <v>175</v>
      </c>
    </row>
    <row r="1395" spans="1:13" s="188" customFormat="1">
      <c r="A1395" s="185" t="s">
        <v>1447</v>
      </c>
      <c r="B1395" s="133" t="s">
        <v>4570</v>
      </c>
      <c r="C1395" s="185" t="s">
        <v>3023</v>
      </c>
      <c r="D1395" s="133" t="s">
        <v>1576</v>
      </c>
      <c r="E1395" s="134">
        <v>1</v>
      </c>
      <c r="F1395" s="135" t="s">
        <v>1449</v>
      </c>
      <c r="G1395" s="185" t="s">
        <v>15</v>
      </c>
      <c r="H1395" s="185" t="s">
        <v>15</v>
      </c>
      <c r="I1395" s="185" t="s">
        <v>15</v>
      </c>
      <c r="J1395" s="135" t="s">
        <v>1450</v>
      </c>
      <c r="K1395" s="186">
        <v>38604</v>
      </c>
      <c r="L1395" s="187" t="s">
        <v>173</v>
      </c>
      <c r="M1395" s="187" t="s">
        <v>175</v>
      </c>
    </row>
    <row r="1396" spans="1:13" s="188" customFormat="1">
      <c r="A1396" s="185" t="s">
        <v>1447</v>
      </c>
      <c r="B1396" s="133" t="s">
        <v>4571</v>
      </c>
      <c r="C1396" s="185" t="s">
        <v>3023</v>
      </c>
      <c r="D1396" s="133" t="s">
        <v>1577</v>
      </c>
      <c r="E1396" s="134">
        <v>1</v>
      </c>
      <c r="F1396" s="135" t="s">
        <v>1449</v>
      </c>
      <c r="G1396" s="185" t="s">
        <v>15</v>
      </c>
      <c r="H1396" s="185" t="s">
        <v>15</v>
      </c>
      <c r="I1396" s="185" t="s">
        <v>15</v>
      </c>
      <c r="J1396" s="135" t="s">
        <v>1450</v>
      </c>
      <c r="K1396" s="186">
        <v>4980</v>
      </c>
      <c r="L1396" s="187" t="s">
        <v>173</v>
      </c>
      <c r="M1396" s="187" t="s">
        <v>175</v>
      </c>
    </row>
    <row r="1397" spans="1:13" s="188" customFormat="1">
      <c r="A1397" s="185" t="s">
        <v>1447</v>
      </c>
      <c r="B1397" s="133" t="s">
        <v>4572</v>
      </c>
      <c r="C1397" s="185" t="s">
        <v>3023</v>
      </c>
      <c r="D1397" s="133" t="s">
        <v>1577</v>
      </c>
      <c r="E1397" s="134">
        <v>1</v>
      </c>
      <c r="F1397" s="135" t="s">
        <v>1449</v>
      </c>
      <c r="G1397" s="185" t="s">
        <v>15</v>
      </c>
      <c r="H1397" s="185" t="s">
        <v>15</v>
      </c>
      <c r="I1397" s="185" t="s">
        <v>15</v>
      </c>
      <c r="J1397" s="135" t="s">
        <v>1450</v>
      </c>
      <c r="K1397" s="186">
        <v>2988</v>
      </c>
      <c r="L1397" s="187" t="s">
        <v>173</v>
      </c>
      <c r="M1397" s="187" t="s">
        <v>175</v>
      </c>
    </row>
    <row r="1398" spans="1:13" s="188" customFormat="1">
      <c r="A1398" s="185" t="s">
        <v>1447</v>
      </c>
      <c r="B1398" s="133" t="s">
        <v>4573</v>
      </c>
      <c r="C1398" s="185" t="s">
        <v>3023</v>
      </c>
      <c r="D1398" s="133" t="s">
        <v>1577</v>
      </c>
      <c r="E1398" s="134">
        <v>1</v>
      </c>
      <c r="F1398" s="135" t="s">
        <v>1449</v>
      </c>
      <c r="G1398" s="185" t="s">
        <v>15</v>
      </c>
      <c r="H1398" s="185" t="s">
        <v>15</v>
      </c>
      <c r="I1398" s="185" t="s">
        <v>15</v>
      </c>
      <c r="J1398" s="135" t="s">
        <v>1450</v>
      </c>
      <c r="K1398" s="186">
        <v>2244</v>
      </c>
      <c r="L1398" s="187" t="s">
        <v>173</v>
      </c>
      <c r="M1398" s="187" t="s">
        <v>175</v>
      </c>
    </row>
    <row r="1399" spans="1:13" s="188" customFormat="1">
      <c r="A1399" s="185" t="s">
        <v>1447</v>
      </c>
      <c r="B1399" s="133" t="s">
        <v>4574</v>
      </c>
      <c r="C1399" s="185" t="s">
        <v>3023</v>
      </c>
      <c r="D1399" s="133" t="s">
        <v>1577</v>
      </c>
      <c r="E1399" s="134">
        <v>1</v>
      </c>
      <c r="F1399" s="135" t="s">
        <v>1449</v>
      </c>
      <c r="G1399" s="185" t="s">
        <v>15</v>
      </c>
      <c r="H1399" s="185" t="s">
        <v>15</v>
      </c>
      <c r="I1399" s="185" t="s">
        <v>15</v>
      </c>
      <c r="J1399" s="135" t="s">
        <v>1450</v>
      </c>
      <c r="K1399" s="186">
        <v>1680</v>
      </c>
      <c r="L1399" s="187" t="s">
        <v>173</v>
      </c>
      <c r="M1399" s="187" t="s">
        <v>175</v>
      </c>
    </row>
    <row r="1400" spans="1:13" s="188" customFormat="1">
      <c r="A1400" s="185" t="s">
        <v>1447</v>
      </c>
      <c r="B1400" s="133" t="s">
        <v>4575</v>
      </c>
      <c r="C1400" s="185" t="s">
        <v>3023</v>
      </c>
      <c r="D1400" s="133" t="s">
        <v>1577</v>
      </c>
      <c r="E1400" s="134">
        <v>1</v>
      </c>
      <c r="F1400" s="135" t="s">
        <v>1449</v>
      </c>
      <c r="G1400" s="185" t="s">
        <v>15</v>
      </c>
      <c r="H1400" s="185" t="s">
        <v>15</v>
      </c>
      <c r="I1400" s="185" t="s">
        <v>15</v>
      </c>
      <c r="J1400" s="135" t="s">
        <v>1450</v>
      </c>
      <c r="K1400" s="186">
        <v>1308</v>
      </c>
      <c r="L1400" s="187" t="s">
        <v>173</v>
      </c>
      <c r="M1400" s="187" t="s">
        <v>175</v>
      </c>
    </row>
    <row r="1401" spans="1:13" s="188" customFormat="1">
      <c r="A1401" s="185" t="s">
        <v>1447</v>
      </c>
      <c r="B1401" s="133" t="s">
        <v>4576</v>
      </c>
      <c r="C1401" s="185" t="s">
        <v>3023</v>
      </c>
      <c r="D1401" s="133" t="s">
        <v>1578</v>
      </c>
      <c r="E1401" s="134">
        <v>1</v>
      </c>
      <c r="F1401" s="135" t="s">
        <v>1449</v>
      </c>
      <c r="G1401" s="185" t="s">
        <v>15</v>
      </c>
      <c r="H1401" s="185" t="s">
        <v>15</v>
      </c>
      <c r="I1401" s="185" t="s">
        <v>15</v>
      </c>
      <c r="J1401" s="135" t="s">
        <v>1450</v>
      </c>
      <c r="K1401" s="186">
        <v>93384</v>
      </c>
      <c r="L1401" s="187" t="s">
        <v>173</v>
      </c>
      <c r="M1401" s="187" t="s">
        <v>175</v>
      </c>
    </row>
    <row r="1402" spans="1:13" s="188" customFormat="1">
      <c r="A1402" s="185" t="s">
        <v>1447</v>
      </c>
      <c r="B1402" s="133" t="s">
        <v>4577</v>
      </c>
      <c r="C1402" s="185" t="s">
        <v>3023</v>
      </c>
      <c r="D1402" s="133" t="s">
        <v>1578</v>
      </c>
      <c r="E1402" s="134">
        <v>1</v>
      </c>
      <c r="F1402" s="135" t="s">
        <v>1449</v>
      </c>
      <c r="G1402" s="185" t="s">
        <v>15</v>
      </c>
      <c r="H1402" s="185" t="s">
        <v>15</v>
      </c>
      <c r="I1402" s="185" t="s">
        <v>15</v>
      </c>
      <c r="J1402" s="135" t="s">
        <v>1450</v>
      </c>
      <c r="K1402" s="186">
        <v>79692</v>
      </c>
      <c r="L1402" s="187" t="s">
        <v>173</v>
      </c>
      <c r="M1402" s="187" t="s">
        <v>175</v>
      </c>
    </row>
    <row r="1403" spans="1:13" s="188" customFormat="1">
      <c r="A1403" s="185" t="s">
        <v>1447</v>
      </c>
      <c r="B1403" s="133" t="s">
        <v>4578</v>
      </c>
      <c r="C1403" s="185" t="s">
        <v>3023</v>
      </c>
      <c r="D1403" s="133" t="s">
        <v>1578</v>
      </c>
      <c r="E1403" s="134">
        <v>1</v>
      </c>
      <c r="F1403" s="135" t="s">
        <v>1449</v>
      </c>
      <c r="G1403" s="185" t="s">
        <v>15</v>
      </c>
      <c r="H1403" s="185" t="s">
        <v>15</v>
      </c>
      <c r="I1403" s="185" t="s">
        <v>15</v>
      </c>
      <c r="J1403" s="135" t="s">
        <v>1450</v>
      </c>
      <c r="K1403" s="186">
        <v>58524</v>
      </c>
      <c r="L1403" s="187" t="s">
        <v>173</v>
      </c>
      <c r="M1403" s="187" t="s">
        <v>175</v>
      </c>
    </row>
    <row r="1404" spans="1:13" s="188" customFormat="1">
      <c r="A1404" s="185" t="s">
        <v>1447</v>
      </c>
      <c r="B1404" s="133" t="s">
        <v>4579</v>
      </c>
      <c r="C1404" s="185" t="s">
        <v>3023</v>
      </c>
      <c r="D1404" s="133" t="s">
        <v>1578</v>
      </c>
      <c r="E1404" s="134">
        <v>1</v>
      </c>
      <c r="F1404" s="135" t="s">
        <v>1449</v>
      </c>
      <c r="G1404" s="185" t="s">
        <v>15</v>
      </c>
      <c r="H1404" s="185" t="s">
        <v>15</v>
      </c>
      <c r="I1404" s="185" t="s">
        <v>15</v>
      </c>
      <c r="J1404" s="135" t="s">
        <v>1450</v>
      </c>
      <c r="K1404" s="186">
        <v>46068</v>
      </c>
      <c r="L1404" s="187" t="s">
        <v>173</v>
      </c>
      <c r="M1404" s="187" t="s">
        <v>175</v>
      </c>
    </row>
    <row r="1405" spans="1:13" s="188" customFormat="1">
      <c r="A1405" s="185" t="s">
        <v>1447</v>
      </c>
      <c r="B1405" s="133" t="s">
        <v>4580</v>
      </c>
      <c r="C1405" s="185" t="s">
        <v>3023</v>
      </c>
      <c r="D1405" s="133" t="s">
        <v>1578</v>
      </c>
      <c r="E1405" s="134">
        <v>1</v>
      </c>
      <c r="F1405" s="135" t="s">
        <v>1449</v>
      </c>
      <c r="G1405" s="185" t="s">
        <v>15</v>
      </c>
      <c r="H1405" s="185" t="s">
        <v>15</v>
      </c>
      <c r="I1405" s="185" t="s">
        <v>15</v>
      </c>
      <c r="J1405" s="135" t="s">
        <v>1450</v>
      </c>
      <c r="K1405" s="186">
        <v>39840</v>
      </c>
      <c r="L1405" s="187" t="s">
        <v>173</v>
      </c>
      <c r="M1405" s="187" t="s">
        <v>175</v>
      </c>
    </row>
    <row r="1406" spans="1:13" s="188" customFormat="1">
      <c r="A1406" s="185" t="s">
        <v>1447</v>
      </c>
      <c r="B1406" s="133" t="s">
        <v>4581</v>
      </c>
      <c r="C1406" s="185" t="s">
        <v>3023</v>
      </c>
      <c r="D1406" s="133" t="s">
        <v>1578</v>
      </c>
      <c r="E1406" s="134">
        <v>1</v>
      </c>
      <c r="F1406" s="135" t="s">
        <v>1449</v>
      </c>
      <c r="G1406" s="185" t="s">
        <v>15</v>
      </c>
      <c r="H1406" s="185" t="s">
        <v>15</v>
      </c>
      <c r="I1406" s="185" t="s">
        <v>15</v>
      </c>
      <c r="J1406" s="135" t="s">
        <v>1450</v>
      </c>
      <c r="K1406" s="186">
        <v>33624</v>
      </c>
      <c r="L1406" s="187" t="s">
        <v>173</v>
      </c>
      <c r="M1406" s="187" t="s">
        <v>175</v>
      </c>
    </row>
    <row r="1407" spans="1:13" s="188" customFormat="1">
      <c r="A1407" s="185" t="s">
        <v>1447</v>
      </c>
      <c r="B1407" s="133" t="s">
        <v>4582</v>
      </c>
      <c r="C1407" s="185" t="s">
        <v>3023</v>
      </c>
      <c r="D1407" s="133" t="s">
        <v>1579</v>
      </c>
      <c r="E1407" s="134">
        <v>1</v>
      </c>
      <c r="F1407" s="135" t="s">
        <v>1449</v>
      </c>
      <c r="G1407" s="185" t="s">
        <v>15</v>
      </c>
      <c r="H1407" s="185" t="s">
        <v>15</v>
      </c>
      <c r="I1407" s="185" t="s">
        <v>15</v>
      </c>
      <c r="J1407" s="135" t="s">
        <v>1450</v>
      </c>
      <c r="K1407" s="186">
        <v>93384</v>
      </c>
      <c r="L1407" s="187" t="s">
        <v>173</v>
      </c>
      <c r="M1407" s="187" t="s">
        <v>175</v>
      </c>
    </row>
    <row r="1408" spans="1:13" s="188" customFormat="1">
      <c r="A1408" s="185" t="s">
        <v>1447</v>
      </c>
      <c r="B1408" s="133" t="s">
        <v>4583</v>
      </c>
      <c r="C1408" s="185" t="s">
        <v>3023</v>
      </c>
      <c r="D1408" s="133" t="s">
        <v>1579</v>
      </c>
      <c r="E1408" s="134">
        <v>1</v>
      </c>
      <c r="F1408" s="135" t="s">
        <v>1449</v>
      </c>
      <c r="G1408" s="185" t="s">
        <v>15</v>
      </c>
      <c r="H1408" s="185" t="s">
        <v>15</v>
      </c>
      <c r="I1408" s="185" t="s">
        <v>15</v>
      </c>
      <c r="J1408" s="135" t="s">
        <v>1450</v>
      </c>
      <c r="K1408" s="186">
        <v>79692</v>
      </c>
      <c r="L1408" s="187" t="s">
        <v>173</v>
      </c>
      <c r="M1408" s="187" t="s">
        <v>175</v>
      </c>
    </row>
    <row r="1409" spans="1:13" s="188" customFormat="1">
      <c r="A1409" s="185" t="s">
        <v>1447</v>
      </c>
      <c r="B1409" s="133" t="s">
        <v>4584</v>
      </c>
      <c r="C1409" s="185" t="s">
        <v>3023</v>
      </c>
      <c r="D1409" s="133" t="s">
        <v>1579</v>
      </c>
      <c r="E1409" s="134">
        <v>1</v>
      </c>
      <c r="F1409" s="135" t="s">
        <v>1449</v>
      </c>
      <c r="G1409" s="185" t="s">
        <v>15</v>
      </c>
      <c r="H1409" s="185" t="s">
        <v>15</v>
      </c>
      <c r="I1409" s="185" t="s">
        <v>15</v>
      </c>
      <c r="J1409" s="135" t="s">
        <v>1450</v>
      </c>
      <c r="K1409" s="186">
        <v>58524</v>
      </c>
      <c r="L1409" s="187" t="s">
        <v>173</v>
      </c>
      <c r="M1409" s="187" t="s">
        <v>175</v>
      </c>
    </row>
    <row r="1410" spans="1:13" s="188" customFormat="1">
      <c r="A1410" s="185" t="s">
        <v>1447</v>
      </c>
      <c r="B1410" s="133" t="s">
        <v>4585</v>
      </c>
      <c r="C1410" s="185" t="s">
        <v>3023</v>
      </c>
      <c r="D1410" s="133" t="s">
        <v>1579</v>
      </c>
      <c r="E1410" s="134">
        <v>1</v>
      </c>
      <c r="F1410" s="135" t="s">
        <v>1449</v>
      </c>
      <c r="G1410" s="185" t="s">
        <v>15</v>
      </c>
      <c r="H1410" s="185" t="s">
        <v>15</v>
      </c>
      <c r="I1410" s="185" t="s">
        <v>15</v>
      </c>
      <c r="J1410" s="135" t="s">
        <v>1450</v>
      </c>
      <c r="K1410" s="186">
        <v>46068</v>
      </c>
      <c r="L1410" s="187" t="s">
        <v>173</v>
      </c>
      <c r="M1410" s="187" t="s">
        <v>175</v>
      </c>
    </row>
    <row r="1411" spans="1:13" s="188" customFormat="1">
      <c r="A1411" s="185" t="s">
        <v>1447</v>
      </c>
      <c r="B1411" s="133" t="s">
        <v>4586</v>
      </c>
      <c r="C1411" s="185" t="s">
        <v>3023</v>
      </c>
      <c r="D1411" s="133" t="s">
        <v>1579</v>
      </c>
      <c r="E1411" s="134">
        <v>1</v>
      </c>
      <c r="F1411" s="135" t="s">
        <v>1449</v>
      </c>
      <c r="G1411" s="185" t="s">
        <v>15</v>
      </c>
      <c r="H1411" s="185" t="s">
        <v>15</v>
      </c>
      <c r="I1411" s="185" t="s">
        <v>15</v>
      </c>
      <c r="J1411" s="135" t="s">
        <v>1450</v>
      </c>
      <c r="K1411" s="186">
        <v>39840</v>
      </c>
      <c r="L1411" s="187" t="s">
        <v>173</v>
      </c>
      <c r="M1411" s="187" t="s">
        <v>175</v>
      </c>
    </row>
    <row r="1412" spans="1:13" s="188" customFormat="1">
      <c r="A1412" s="185" t="s">
        <v>1447</v>
      </c>
      <c r="B1412" s="133" t="s">
        <v>4587</v>
      </c>
      <c r="C1412" s="185" t="s">
        <v>3023</v>
      </c>
      <c r="D1412" s="133" t="s">
        <v>1579</v>
      </c>
      <c r="E1412" s="134">
        <v>1</v>
      </c>
      <c r="F1412" s="135" t="s">
        <v>1449</v>
      </c>
      <c r="G1412" s="185" t="s">
        <v>15</v>
      </c>
      <c r="H1412" s="185" t="s">
        <v>15</v>
      </c>
      <c r="I1412" s="185" t="s">
        <v>15</v>
      </c>
      <c r="J1412" s="135" t="s">
        <v>1450</v>
      </c>
      <c r="K1412" s="186">
        <v>33624</v>
      </c>
      <c r="L1412" s="187" t="s">
        <v>173</v>
      </c>
      <c r="M1412" s="187" t="s">
        <v>175</v>
      </c>
    </row>
    <row r="1413" spans="1:13" s="188" customFormat="1">
      <c r="A1413" s="185" t="s">
        <v>1447</v>
      </c>
      <c r="B1413" s="133" t="s">
        <v>4588</v>
      </c>
      <c r="C1413" s="185" t="s">
        <v>3023</v>
      </c>
      <c r="D1413" s="133" t="s">
        <v>1580</v>
      </c>
      <c r="E1413" s="134">
        <v>1</v>
      </c>
      <c r="F1413" s="135" t="s">
        <v>1449</v>
      </c>
      <c r="G1413" s="185" t="s">
        <v>15</v>
      </c>
      <c r="H1413" s="185" t="s">
        <v>15</v>
      </c>
      <c r="I1413" s="185" t="s">
        <v>15</v>
      </c>
      <c r="J1413" s="135" t="s">
        <v>1450</v>
      </c>
      <c r="K1413" s="186">
        <v>93384</v>
      </c>
      <c r="L1413" s="187" t="s">
        <v>173</v>
      </c>
      <c r="M1413" s="187" t="s">
        <v>175</v>
      </c>
    </row>
    <row r="1414" spans="1:13" s="188" customFormat="1">
      <c r="A1414" s="185" t="s">
        <v>1447</v>
      </c>
      <c r="B1414" s="133" t="s">
        <v>4589</v>
      </c>
      <c r="C1414" s="185" t="s">
        <v>3023</v>
      </c>
      <c r="D1414" s="133" t="s">
        <v>1580</v>
      </c>
      <c r="E1414" s="134">
        <v>1</v>
      </c>
      <c r="F1414" s="135" t="s">
        <v>1449</v>
      </c>
      <c r="G1414" s="185" t="s">
        <v>15</v>
      </c>
      <c r="H1414" s="185" t="s">
        <v>15</v>
      </c>
      <c r="I1414" s="185" t="s">
        <v>15</v>
      </c>
      <c r="J1414" s="135" t="s">
        <v>1450</v>
      </c>
      <c r="K1414" s="186">
        <v>79692</v>
      </c>
      <c r="L1414" s="187" t="s">
        <v>173</v>
      </c>
      <c r="M1414" s="187" t="s">
        <v>175</v>
      </c>
    </row>
    <row r="1415" spans="1:13" s="188" customFormat="1">
      <c r="A1415" s="185" t="s">
        <v>1447</v>
      </c>
      <c r="B1415" s="133" t="s">
        <v>4590</v>
      </c>
      <c r="C1415" s="185" t="s">
        <v>3023</v>
      </c>
      <c r="D1415" s="133" t="s">
        <v>1580</v>
      </c>
      <c r="E1415" s="134">
        <v>1</v>
      </c>
      <c r="F1415" s="135" t="s">
        <v>1449</v>
      </c>
      <c r="G1415" s="185" t="s">
        <v>15</v>
      </c>
      <c r="H1415" s="185" t="s">
        <v>15</v>
      </c>
      <c r="I1415" s="185" t="s">
        <v>15</v>
      </c>
      <c r="J1415" s="135" t="s">
        <v>1450</v>
      </c>
      <c r="K1415" s="186">
        <v>58524</v>
      </c>
      <c r="L1415" s="187" t="s">
        <v>173</v>
      </c>
      <c r="M1415" s="187" t="s">
        <v>175</v>
      </c>
    </row>
    <row r="1416" spans="1:13" s="188" customFormat="1">
      <c r="A1416" s="185" t="s">
        <v>1447</v>
      </c>
      <c r="B1416" s="133" t="s">
        <v>4591</v>
      </c>
      <c r="C1416" s="185" t="s">
        <v>3023</v>
      </c>
      <c r="D1416" s="133" t="s">
        <v>1580</v>
      </c>
      <c r="E1416" s="134">
        <v>1</v>
      </c>
      <c r="F1416" s="135" t="s">
        <v>1449</v>
      </c>
      <c r="G1416" s="185" t="s">
        <v>15</v>
      </c>
      <c r="H1416" s="185" t="s">
        <v>15</v>
      </c>
      <c r="I1416" s="185" t="s">
        <v>15</v>
      </c>
      <c r="J1416" s="135" t="s">
        <v>1450</v>
      </c>
      <c r="K1416" s="186">
        <v>46068</v>
      </c>
      <c r="L1416" s="187" t="s">
        <v>173</v>
      </c>
      <c r="M1416" s="187" t="s">
        <v>175</v>
      </c>
    </row>
    <row r="1417" spans="1:13" s="188" customFormat="1">
      <c r="A1417" s="185" t="s">
        <v>1447</v>
      </c>
      <c r="B1417" s="133" t="s">
        <v>4592</v>
      </c>
      <c r="C1417" s="185" t="s">
        <v>3023</v>
      </c>
      <c r="D1417" s="133" t="s">
        <v>1580</v>
      </c>
      <c r="E1417" s="134">
        <v>1</v>
      </c>
      <c r="F1417" s="135" t="s">
        <v>1449</v>
      </c>
      <c r="G1417" s="185" t="s">
        <v>15</v>
      </c>
      <c r="H1417" s="185" t="s">
        <v>15</v>
      </c>
      <c r="I1417" s="185" t="s">
        <v>15</v>
      </c>
      <c r="J1417" s="135" t="s">
        <v>1450</v>
      </c>
      <c r="K1417" s="186">
        <v>39840</v>
      </c>
      <c r="L1417" s="187" t="s">
        <v>173</v>
      </c>
      <c r="M1417" s="187" t="s">
        <v>175</v>
      </c>
    </row>
    <row r="1418" spans="1:13" s="188" customFormat="1">
      <c r="A1418" s="185" t="s">
        <v>1447</v>
      </c>
      <c r="B1418" s="133" t="s">
        <v>4593</v>
      </c>
      <c r="C1418" s="185" t="s">
        <v>3023</v>
      </c>
      <c r="D1418" s="133" t="s">
        <v>1580</v>
      </c>
      <c r="E1418" s="134">
        <v>1</v>
      </c>
      <c r="F1418" s="135" t="s">
        <v>1449</v>
      </c>
      <c r="G1418" s="185" t="s">
        <v>15</v>
      </c>
      <c r="H1418" s="185" t="s">
        <v>15</v>
      </c>
      <c r="I1418" s="185" t="s">
        <v>15</v>
      </c>
      <c r="J1418" s="135" t="s">
        <v>1450</v>
      </c>
      <c r="K1418" s="186">
        <v>33624</v>
      </c>
      <c r="L1418" s="187" t="s">
        <v>173</v>
      </c>
      <c r="M1418" s="187" t="s">
        <v>175</v>
      </c>
    </row>
    <row r="1419" spans="1:13" s="188" customFormat="1">
      <c r="A1419" s="185" t="s">
        <v>1447</v>
      </c>
      <c r="B1419" s="133" t="s">
        <v>4594</v>
      </c>
      <c r="C1419" s="185" t="s">
        <v>3023</v>
      </c>
      <c r="D1419" s="133" t="s">
        <v>1581</v>
      </c>
      <c r="E1419" s="134">
        <v>1</v>
      </c>
      <c r="F1419" s="135" t="s">
        <v>1449</v>
      </c>
      <c r="G1419" s="185" t="s">
        <v>15</v>
      </c>
      <c r="H1419" s="185" t="s">
        <v>15</v>
      </c>
      <c r="I1419" s="185" t="s">
        <v>15</v>
      </c>
      <c r="J1419" s="135" t="s">
        <v>1450</v>
      </c>
      <c r="K1419" s="186">
        <v>93384</v>
      </c>
      <c r="L1419" s="187" t="s">
        <v>173</v>
      </c>
      <c r="M1419" s="187" t="s">
        <v>175</v>
      </c>
    </row>
    <row r="1420" spans="1:13" s="188" customFormat="1">
      <c r="A1420" s="185" t="s">
        <v>1447</v>
      </c>
      <c r="B1420" s="133" t="s">
        <v>4595</v>
      </c>
      <c r="C1420" s="185" t="s">
        <v>3023</v>
      </c>
      <c r="D1420" s="133" t="s">
        <v>1581</v>
      </c>
      <c r="E1420" s="134">
        <v>1</v>
      </c>
      <c r="F1420" s="135" t="s">
        <v>1449</v>
      </c>
      <c r="G1420" s="185" t="s">
        <v>15</v>
      </c>
      <c r="H1420" s="185" t="s">
        <v>15</v>
      </c>
      <c r="I1420" s="185" t="s">
        <v>15</v>
      </c>
      <c r="J1420" s="135" t="s">
        <v>1450</v>
      </c>
      <c r="K1420" s="186">
        <v>79692</v>
      </c>
      <c r="L1420" s="187" t="s">
        <v>173</v>
      </c>
      <c r="M1420" s="187" t="s">
        <v>175</v>
      </c>
    </row>
    <row r="1421" spans="1:13" s="188" customFormat="1">
      <c r="A1421" s="185" t="s">
        <v>1447</v>
      </c>
      <c r="B1421" s="133" t="s">
        <v>4596</v>
      </c>
      <c r="C1421" s="185" t="s">
        <v>3023</v>
      </c>
      <c r="D1421" s="133" t="s">
        <v>1581</v>
      </c>
      <c r="E1421" s="134">
        <v>1</v>
      </c>
      <c r="F1421" s="135" t="s">
        <v>1449</v>
      </c>
      <c r="G1421" s="185" t="s">
        <v>15</v>
      </c>
      <c r="H1421" s="185" t="s">
        <v>15</v>
      </c>
      <c r="I1421" s="185" t="s">
        <v>15</v>
      </c>
      <c r="J1421" s="135" t="s">
        <v>1450</v>
      </c>
      <c r="K1421" s="186">
        <v>58524</v>
      </c>
      <c r="L1421" s="187" t="s">
        <v>173</v>
      </c>
      <c r="M1421" s="187" t="s">
        <v>175</v>
      </c>
    </row>
    <row r="1422" spans="1:13" s="188" customFormat="1">
      <c r="A1422" s="185" t="s">
        <v>1447</v>
      </c>
      <c r="B1422" s="133" t="s">
        <v>4597</v>
      </c>
      <c r="C1422" s="185" t="s">
        <v>3023</v>
      </c>
      <c r="D1422" s="133" t="s">
        <v>1581</v>
      </c>
      <c r="E1422" s="134">
        <v>1</v>
      </c>
      <c r="F1422" s="135" t="s">
        <v>1449</v>
      </c>
      <c r="G1422" s="185" t="s">
        <v>15</v>
      </c>
      <c r="H1422" s="185" t="s">
        <v>15</v>
      </c>
      <c r="I1422" s="185" t="s">
        <v>15</v>
      </c>
      <c r="J1422" s="135" t="s">
        <v>1450</v>
      </c>
      <c r="K1422" s="186">
        <v>46068</v>
      </c>
      <c r="L1422" s="187" t="s">
        <v>173</v>
      </c>
      <c r="M1422" s="187" t="s">
        <v>175</v>
      </c>
    </row>
    <row r="1423" spans="1:13" s="188" customFormat="1">
      <c r="A1423" s="185" t="s">
        <v>1447</v>
      </c>
      <c r="B1423" s="133" t="s">
        <v>4598</v>
      </c>
      <c r="C1423" s="185" t="s">
        <v>3023</v>
      </c>
      <c r="D1423" s="133" t="s">
        <v>1581</v>
      </c>
      <c r="E1423" s="134">
        <v>1</v>
      </c>
      <c r="F1423" s="135" t="s">
        <v>1449</v>
      </c>
      <c r="G1423" s="185" t="s">
        <v>15</v>
      </c>
      <c r="H1423" s="185" t="s">
        <v>15</v>
      </c>
      <c r="I1423" s="185" t="s">
        <v>15</v>
      </c>
      <c r="J1423" s="135" t="s">
        <v>1450</v>
      </c>
      <c r="K1423" s="186">
        <v>39840</v>
      </c>
      <c r="L1423" s="187" t="s">
        <v>173</v>
      </c>
      <c r="M1423" s="187" t="s">
        <v>175</v>
      </c>
    </row>
    <row r="1424" spans="1:13" s="188" customFormat="1">
      <c r="A1424" s="185" t="s">
        <v>1447</v>
      </c>
      <c r="B1424" s="133" t="s">
        <v>4599</v>
      </c>
      <c r="C1424" s="185" t="s">
        <v>3023</v>
      </c>
      <c r="D1424" s="133" t="s">
        <v>1581</v>
      </c>
      <c r="E1424" s="134">
        <v>1</v>
      </c>
      <c r="F1424" s="135" t="s">
        <v>1449</v>
      </c>
      <c r="G1424" s="185" t="s">
        <v>15</v>
      </c>
      <c r="H1424" s="185" t="s">
        <v>15</v>
      </c>
      <c r="I1424" s="185" t="s">
        <v>15</v>
      </c>
      <c r="J1424" s="135" t="s">
        <v>1450</v>
      </c>
      <c r="K1424" s="186">
        <v>33624</v>
      </c>
      <c r="L1424" s="187" t="s">
        <v>173</v>
      </c>
      <c r="M1424" s="187" t="s">
        <v>175</v>
      </c>
    </row>
    <row r="1425" spans="1:13" s="188" customFormat="1">
      <c r="A1425" s="185" t="s">
        <v>1447</v>
      </c>
      <c r="B1425" s="133" t="s">
        <v>4600</v>
      </c>
      <c r="C1425" s="185" t="s">
        <v>3023</v>
      </c>
      <c r="D1425" s="133" t="s">
        <v>1582</v>
      </c>
      <c r="E1425" s="134">
        <v>1</v>
      </c>
      <c r="F1425" s="135" t="s">
        <v>1449</v>
      </c>
      <c r="G1425" s="185" t="s">
        <v>15</v>
      </c>
      <c r="H1425" s="185" t="s">
        <v>15</v>
      </c>
      <c r="I1425" s="185" t="s">
        <v>15</v>
      </c>
      <c r="J1425" s="135" t="s">
        <v>1450</v>
      </c>
      <c r="K1425" s="186">
        <v>93384</v>
      </c>
      <c r="L1425" s="187" t="s">
        <v>173</v>
      </c>
      <c r="M1425" s="187" t="s">
        <v>175</v>
      </c>
    </row>
    <row r="1426" spans="1:13" s="188" customFormat="1">
      <c r="A1426" s="185" t="s">
        <v>1447</v>
      </c>
      <c r="B1426" s="133" t="s">
        <v>4601</v>
      </c>
      <c r="C1426" s="185" t="s">
        <v>3023</v>
      </c>
      <c r="D1426" s="133" t="s">
        <v>1582</v>
      </c>
      <c r="E1426" s="134">
        <v>1</v>
      </c>
      <c r="F1426" s="135" t="s">
        <v>1449</v>
      </c>
      <c r="G1426" s="185" t="s">
        <v>15</v>
      </c>
      <c r="H1426" s="185" t="s">
        <v>15</v>
      </c>
      <c r="I1426" s="185" t="s">
        <v>15</v>
      </c>
      <c r="J1426" s="135" t="s">
        <v>1450</v>
      </c>
      <c r="K1426" s="186">
        <v>79692</v>
      </c>
      <c r="L1426" s="187" t="s">
        <v>173</v>
      </c>
      <c r="M1426" s="187" t="s">
        <v>175</v>
      </c>
    </row>
    <row r="1427" spans="1:13" s="188" customFormat="1">
      <c r="A1427" s="185" t="s">
        <v>1447</v>
      </c>
      <c r="B1427" s="133" t="s">
        <v>4602</v>
      </c>
      <c r="C1427" s="185" t="s">
        <v>3023</v>
      </c>
      <c r="D1427" s="133" t="s">
        <v>1582</v>
      </c>
      <c r="E1427" s="134">
        <v>1</v>
      </c>
      <c r="F1427" s="135" t="s">
        <v>1449</v>
      </c>
      <c r="G1427" s="185" t="s">
        <v>15</v>
      </c>
      <c r="H1427" s="185" t="s">
        <v>15</v>
      </c>
      <c r="I1427" s="185" t="s">
        <v>15</v>
      </c>
      <c r="J1427" s="135" t="s">
        <v>1450</v>
      </c>
      <c r="K1427" s="186">
        <v>58524</v>
      </c>
      <c r="L1427" s="187" t="s">
        <v>173</v>
      </c>
      <c r="M1427" s="187" t="s">
        <v>175</v>
      </c>
    </row>
    <row r="1428" spans="1:13" s="188" customFormat="1">
      <c r="A1428" s="185" t="s">
        <v>1447</v>
      </c>
      <c r="B1428" s="133" t="s">
        <v>4603</v>
      </c>
      <c r="C1428" s="185" t="s">
        <v>3023</v>
      </c>
      <c r="D1428" s="133" t="s">
        <v>1582</v>
      </c>
      <c r="E1428" s="134">
        <v>1</v>
      </c>
      <c r="F1428" s="135" t="s">
        <v>1449</v>
      </c>
      <c r="G1428" s="185" t="s">
        <v>15</v>
      </c>
      <c r="H1428" s="185" t="s">
        <v>15</v>
      </c>
      <c r="I1428" s="185" t="s">
        <v>15</v>
      </c>
      <c r="J1428" s="135" t="s">
        <v>1450</v>
      </c>
      <c r="K1428" s="186">
        <v>46068</v>
      </c>
      <c r="L1428" s="187" t="s">
        <v>173</v>
      </c>
      <c r="M1428" s="187" t="s">
        <v>175</v>
      </c>
    </row>
    <row r="1429" spans="1:13" s="188" customFormat="1">
      <c r="A1429" s="185" t="s">
        <v>1447</v>
      </c>
      <c r="B1429" s="133" t="s">
        <v>4604</v>
      </c>
      <c r="C1429" s="185" t="s">
        <v>3023</v>
      </c>
      <c r="D1429" s="133" t="s">
        <v>1582</v>
      </c>
      <c r="E1429" s="134">
        <v>1</v>
      </c>
      <c r="F1429" s="135" t="s">
        <v>1449</v>
      </c>
      <c r="G1429" s="185" t="s">
        <v>15</v>
      </c>
      <c r="H1429" s="185" t="s">
        <v>15</v>
      </c>
      <c r="I1429" s="185" t="s">
        <v>15</v>
      </c>
      <c r="J1429" s="135" t="s">
        <v>1450</v>
      </c>
      <c r="K1429" s="186">
        <v>39840</v>
      </c>
      <c r="L1429" s="187" t="s">
        <v>173</v>
      </c>
      <c r="M1429" s="187" t="s">
        <v>175</v>
      </c>
    </row>
    <row r="1430" spans="1:13" s="188" customFormat="1">
      <c r="A1430" s="185" t="s">
        <v>1447</v>
      </c>
      <c r="B1430" s="133" t="s">
        <v>4605</v>
      </c>
      <c r="C1430" s="185" t="s">
        <v>3023</v>
      </c>
      <c r="D1430" s="133" t="s">
        <v>1582</v>
      </c>
      <c r="E1430" s="134">
        <v>1</v>
      </c>
      <c r="F1430" s="135" t="s">
        <v>1449</v>
      </c>
      <c r="G1430" s="185" t="s">
        <v>15</v>
      </c>
      <c r="H1430" s="185" t="s">
        <v>15</v>
      </c>
      <c r="I1430" s="185" t="s">
        <v>15</v>
      </c>
      <c r="J1430" s="135" t="s">
        <v>1450</v>
      </c>
      <c r="K1430" s="186">
        <v>33624</v>
      </c>
      <c r="L1430" s="187" t="s">
        <v>173</v>
      </c>
      <c r="M1430" s="187" t="s">
        <v>175</v>
      </c>
    </row>
    <row r="1431" spans="1:13" s="188" customFormat="1">
      <c r="A1431" s="185" t="s">
        <v>1447</v>
      </c>
      <c r="B1431" s="133" t="s">
        <v>4606</v>
      </c>
      <c r="C1431" s="185" t="s">
        <v>3023</v>
      </c>
      <c r="D1431" s="133" t="s">
        <v>1583</v>
      </c>
      <c r="E1431" s="134">
        <v>1</v>
      </c>
      <c r="F1431" s="135" t="s">
        <v>1449</v>
      </c>
      <c r="G1431" s="185" t="s">
        <v>15</v>
      </c>
      <c r="H1431" s="185" t="s">
        <v>15</v>
      </c>
      <c r="I1431" s="185" t="s">
        <v>15</v>
      </c>
      <c r="J1431" s="135" t="s">
        <v>1450</v>
      </c>
      <c r="K1431" s="186">
        <v>93384</v>
      </c>
      <c r="L1431" s="187" t="s">
        <v>173</v>
      </c>
      <c r="M1431" s="187" t="s">
        <v>175</v>
      </c>
    </row>
    <row r="1432" spans="1:13" s="188" customFormat="1">
      <c r="A1432" s="185" t="s">
        <v>1447</v>
      </c>
      <c r="B1432" s="133" t="s">
        <v>4607</v>
      </c>
      <c r="C1432" s="185" t="s">
        <v>3023</v>
      </c>
      <c r="D1432" s="133" t="s">
        <v>1583</v>
      </c>
      <c r="E1432" s="134">
        <v>1</v>
      </c>
      <c r="F1432" s="135" t="s">
        <v>1449</v>
      </c>
      <c r="G1432" s="185" t="s">
        <v>15</v>
      </c>
      <c r="H1432" s="185" t="s">
        <v>15</v>
      </c>
      <c r="I1432" s="185" t="s">
        <v>15</v>
      </c>
      <c r="J1432" s="135" t="s">
        <v>1450</v>
      </c>
      <c r="K1432" s="186">
        <v>79692</v>
      </c>
      <c r="L1432" s="187" t="s">
        <v>173</v>
      </c>
      <c r="M1432" s="187" t="s">
        <v>175</v>
      </c>
    </row>
    <row r="1433" spans="1:13" s="188" customFormat="1">
      <c r="A1433" s="185" t="s">
        <v>1447</v>
      </c>
      <c r="B1433" s="133" t="s">
        <v>4608</v>
      </c>
      <c r="C1433" s="185" t="s">
        <v>3023</v>
      </c>
      <c r="D1433" s="133" t="s">
        <v>1583</v>
      </c>
      <c r="E1433" s="134">
        <v>1</v>
      </c>
      <c r="F1433" s="135" t="s">
        <v>1449</v>
      </c>
      <c r="G1433" s="185" t="s">
        <v>15</v>
      </c>
      <c r="H1433" s="185" t="s">
        <v>15</v>
      </c>
      <c r="I1433" s="185" t="s">
        <v>15</v>
      </c>
      <c r="J1433" s="135" t="s">
        <v>1450</v>
      </c>
      <c r="K1433" s="186">
        <v>58524</v>
      </c>
      <c r="L1433" s="187" t="s">
        <v>173</v>
      </c>
      <c r="M1433" s="187" t="s">
        <v>175</v>
      </c>
    </row>
    <row r="1434" spans="1:13" s="188" customFormat="1">
      <c r="A1434" s="185" t="s">
        <v>1447</v>
      </c>
      <c r="B1434" s="133" t="s">
        <v>4609</v>
      </c>
      <c r="C1434" s="185" t="s">
        <v>3023</v>
      </c>
      <c r="D1434" s="133" t="s">
        <v>1583</v>
      </c>
      <c r="E1434" s="134">
        <v>1</v>
      </c>
      <c r="F1434" s="135" t="s">
        <v>1449</v>
      </c>
      <c r="G1434" s="185" t="s">
        <v>15</v>
      </c>
      <c r="H1434" s="185" t="s">
        <v>15</v>
      </c>
      <c r="I1434" s="185" t="s">
        <v>15</v>
      </c>
      <c r="J1434" s="135" t="s">
        <v>1450</v>
      </c>
      <c r="K1434" s="186">
        <v>46068</v>
      </c>
      <c r="L1434" s="187" t="s">
        <v>173</v>
      </c>
      <c r="M1434" s="187" t="s">
        <v>175</v>
      </c>
    </row>
    <row r="1435" spans="1:13" s="188" customFormat="1">
      <c r="A1435" s="185" t="s">
        <v>1447</v>
      </c>
      <c r="B1435" s="133" t="s">
        <v>4610</v>
      </c>
      <c r="C1435" s="185" t="s">
        <v>3023</v>
      </c>
      <c r="D1435" s="133" t="s">
        <v>1583</v>
      </c>
      <c r="E1435" s="134">
        <v>1</v>
      </c>
      <c r="F1435" s="135" t="s">
        <v>1449</v>
      </c>
      <c r="G1435" s="185" t="s">
        <v>15</v>
      </c>
      <c r="H1435" s="185" t="s">
        <v>15</v>
      </c>
      <c r="I1435" s="185" t="s">
        <v>15</v>
      </c>
      <c r="J1435" s="135" t="s">
        <v>1450</v>
      </c>
      <c r="K1435" s="186">
        <v>39840</v>
      </c>
      <c r="L1435" s="187" t="s">
        <v>173</v>
      </c>
      <c r="M1435" s="187" t="s">
        <v>175</v>
      </c>
    </row>
    <row r="1436" spans="1:13" s="188" customFormat="1">
      <c r="A1436" s="185" t="s">
        <v>1447</v>
      </c>
      <c r="B1436" s="133" t="s">
        <v>4611</v>
      </c>
      <c r="C1436" s="185" t="s">
        <v>3023</v>
      </c>
      <c r="D1436" s="133" t="s">
        <v>1583</v>
      </c>
      <c r="E1436" s="134">
        <v>1</v>
      </c>
      <c r="F1436" s="135" t="s">
        <v>1449</v>
      </c>
      <c r="G1436" s="185" t="s">
        <v>15</v>
      </c>
      <c r="H1436" s="185" t="s">
        <v>15</v>
      </c>
      <c r="I1436" s="185" t="s">
        <v>15</v>
      </c>
      <c r="J1436" s="135" t="s">
        <v>1450</v>
      </c>
      <c r="K1436" s="186">
        <v>33624</v>
      </c>
      <c r="L1436" s="187" t="s">
        <v>173</v>
      </c>
      <c r="M1436" s="187" t="s">
        <v>175</v>
      </c>
    </row>
    <row r="1437" spans="1:13" s="188" customFormat="1">
      <c r="A1437" s="185" t="s">
        <v>1447</v>
      </c>
      <c r="B1437" s="133" t="s">
        <v>4612</v>
      </c>
      <c r="C1437" s="185" t="s">
        <v>3023</v>
      </c>
      <c r="D1437" s="133" t="s">
        <v>1584</v>
      </c>
      <c r="E1437" s="134">
        <v>1</v>
      </c>
      <c r="F1437" s="135" t="s">
        <v>1449</v>
      </c>
      <c r="G1437" s="185" t="s">
        <v>15</v>
      </c>
      <c r="H1437" s="185" t="s">
        <v>15</v>
      </c>
      <c r="I1437" s="185" t="s">
        <v>15</v>
      </c>
      <c r="J1437" s="135" t="s">
        <v>1450</v>
      </c>
      <c r="K1437" s="186">
        <v>28020</v>
      </c>
      <c r="L1437" s="187" t="s">
        <v>173</v>
      </c>
      <c r="M1437" s="187" t="s">
        <v>175</v>
      </c>
    </row>
    <row r="1438" spans="1:13" s="188" customFormat="1">
      <c r="A1438" s="185" t="s">
        <v>1447</v>
      </c>
      <c r="B1438" s="133" t="s">
        <v>4613</v>
      </c>
      <c r="C1438" s="185" t="s">
        <v>3023</v>
      </c>
      <c r="D1438" s="133" t="s">
        <v>1585</v>
      </c>
      <c r="E1438" s="134">
        <v>1</v>
      </c>
      <c r="F1438" s="135" t="s">
        <v>1449</v>
      </c>
      <c r="G1438" s="185" t="s">
        <v>15</v>
      </c>
      <c r="H1438" s="185" t="s">
        <v>15</v>
      </c>
      <c r="I1438" s="185" t="s">
        <v>15</v>
      </c>
      <c r="J1438" s="135" t="s">
        <v>1450</v>
      </c>
      <c r="K1438" s="186">
        <v>8088</v>
      </c>
      <c r="L1438" s="187" t="s">
        <v>173</v>
      </c>
      <c r="M1438" s="187" t="s">
        <v>175</v>
      </c>
    </row>
    <row r="1439" spans="1:13" s="188" customFormat="1">
      <c r="A1439" s="185" t="s">
        <v>1447</v>
      </c>
      <c r="B1439" s="133" t="s">
        <v>4614</v>
      </c>
      <c r="C1439" s="185" t="s">
        <v>3023</v>
      </c>
      <c r="D1439" s="133" t="s">
        <v>1586</v>
      </c>
      <c r="E1439" s="134">
        <v>1</v>
      </c>
      <c r="F1439" s="135" t="s">
        <v>1449</v>
      </c>
      <c r="G1439" s="185" t="s">
        <v>15</v>
      </c>
      <c r="H1439" s="185" t="s">
        <v>15</v>
      </c>
      <c r="I1439" s="185" t="s">
        <v>15</v>
      </c>
      <c r="J1439" s="135" t="s">
        <v>1450</v>
      </c>
      <c r="K1439" s="186">
        <v>3876</v>
      </c>
      <c r="L1439" s="187" t="s">
        <v>173</v>
      </c>
      <c r="M1439" s="187" t="s">
        <v>175</v>
      </c>
    </row>
    <row r="1440" spans="1:13" s="188" customFormat="1">
      <c r="A1440" s="185" t="s">
        <v>1447</v>
      </c>
      <c r="B1440" s="133" t="s">
        <v>4615</v>
      </c>
      <c r="C1440" s="185" t="s">
        <v>3023</v>
      </c>
      <c r="D1440" s="133" t="s">
        <v>1586</v>
      </c>
      <c r="E1440" s="134">
        <v>1</v>
      </c>
      <c r="F1440" s="135" t="s">
        <v>1449</v>
      </c>
      <c r="G1440" s="185" t="s">
        <v>15</v>
      </c>
      <c r="H1440" s="185" t="s">
        <v>15</v>
      </c>
      <c r="I1440" s="185" t="s">
        <v>15</v>
      </c>
      <c r="J1440" s="135" t="s">
        <v>1450</v>
      </c>
      <c r="K1440" s="186">
        <v>3108</v>
      </c>
      <c r="L1440" s="187" t="s">
        <v>173</v>
      </c>
      <c r="M1440" s="187" t="s">
        <v>175</v>
      </c>
    </row>
    <row r="1441" spans="1:13" s="188" customFormat="1">
      <c r="A1441" s="185" t="s">
        <v>1447</v>
      </c>
      <c r="B1441" s="133" t="s">
        <v>4616</v>
      </c>
      <c r="C1441" s="185" t="s">
        <v>3023</v>
      </c>
      <c r="D1441" s="133" t="s">
        <v>1586</v>
      </c>
      <c r="E1441" s="134">
        <v>1</v>
      </c>
      <c r="F1441" s="135" t="s">
        <v>1449</v>
      </c>
      <c r="G1441" s="185" t="s">
        <v>15</v>
      </c>
      <c r="H1441" s="185" t="s">
        <v>15</v>
      </c>
      <c r="I1441" s="185" t="s">
        <v>15</v>
      </c>
      <c r="J1441" s="135" t="s">
        <v>1450</v>
      </c>
      <c r="K1441" s="186">
        <v>2796</v>
      </c>
      <c r="L1441" s="187" t="s">
        <v>173</v>
      </c>
      <c r="M1441" s="187" t="s">
        <v>175</v>
      </c>
    </row>
    <row r="1442" spans="1:13" s="188" customFormat="1">
      <c r="A1442" s="185" t="s">
        <v>1447</v>
      </c>
      <c r="B1442" s="133" t="s">
        <v>4617</v>
      </c>
      <c r="C1442" s="185" t="s">
        <v>3023</v>
      </c>
      <c r="D1442" s="133" t="s">
        <v>1586</v>
      </c>
      <c r="E1442" s="134">
        <v>1</v>
      </c>
      <c r="F1442" s="135" t="s">
        <v>1449</v>
      </c>
      <c r="G1442" s="185" t="s">
        <v>15</v>
      </c>
      <c r="H1442" s="185" t="s">
        <v>15</v>
      </c>
      <c r="I1442" s="185" t="s">
        <v>15</v>
      </c>
      <c r="J1442" s="135" t="s">
        <v>1450</v>
      </c>
      <c r="K1442" s="186">
        <v>2616</v>
      </c>
      <c r="L1442" s="187" t="s">
        <v>173</v>
      </c>
      <c r="M1442" s="187" t="s">
        <v>175</v>
      </c>
    </row>
    <row r="1443" spans="1:13" s="188" customFormat="1">
      <c r="A1443" s="185" t="s">
        <v>1447</v>
      </c>
      <c r="B1443" s="133" t="s">
        <v>4618</v>
      </c>
      <c r="C1443" s="185" t="s">
        <v>3023</v>
      </c>
      <c r="D1443" s="133" t="s">
        <v>4619</v>
      </c>
      <c r="E1443" s="134">
        <v>1</v>
      </c>
      <c r="F1443" s="135" t="s">
        <v>1449</v>
      </c>
      <c r="G1443" s="185" t="s">
        <v>15</v>
      </c>
      <c r="H1443" s="185" t="s">
        <v>15</v>
      </c>
      <c r="I1443" s="185" t="s">
        <v>15</v>
      </c>
      <c r="J1443" s="135" t="s">
        <v>1450</v>
      </c>
      <c r="K1443" s="186">
        <v>6756</v>
      </c>
      <c r="L1443" s="187" t="s">
        <v>173</v>
      </c>
      <c r="M1443" s="187" t="s">
        <v>175</v>
      </c>
    </row>
    <row r="1444" spans="1:13" s="188" customFormat="1">
      <c r="A1444" s="185" t="s">
        <v>1447</v>
      </c>
      <c r="B1444" s="133" t="s">
        <v>4620</v>
      </c>
      <c r="C1444" s="185" t="s">
        <v>3023</v>
      </c>
      <c r="D1444" s="133" t="s">
        <v>4619</v>
      </c>
      <c r="E1444" s="134">
        <v>1</v>
      </c>
      <c r="F1444" s="135" t="s">
        <v>1449</v>
      </c>
      <c r="G1444" s="185" t="s">
        <v>15</v>
      </c>
      <c r="H1444" s="185" t="s">
        <v>15</v>
      </c>
      <c r="I1444" s="185" t="s">
        <v>15</v>
      </c>
      <c r="J1444" s="135" t="s">
        <v>1450</v>
      </c>
      <c r="K1444" s="186">
        <v>4464</v>
      </c>
      <c r="L1444" s="187" t="s">
        <v>173</v>
      </c>
      <c r="M1444" s="187" t="s">
        <v>175</v>
      </c>
    </row>
    <row r="1445" spans="1:13" s="188" customFormat="1">
      <c r="A1445" s="185" t="s">
        <v>1447</v>
      </c>
      <c r="B1445" s="133" t="s">
        <v>4621</v>
      </c>
      <c r="C1445" s="185" t="s">
        <v>3023</v>
      </c>
      <c r="D1445" s="133" t="s">
        <v>4619</v>
      </c>
      <c r="E1445" s="134">
        <v>1</v>
      </c>
      <c r="F1445" s="135" t="s">
        <v>1449</v>
      </c>
      <c r="G1445" s="185" t="s">
        <v>15</v>
      </c>
      <c r="H1445" s="185" t="s">
        <v>15</v>
      </c>
      <c r="I1445" s="185" t="s">
        <v>15</v>
      </c>
      <c r="J1445" s="135" t="s">
        <v>1450</v>
      </c>
      <c r="K1445" s="186">
        <v>3420</v>
      </c>
      <c r="L1445" s="187" t="s">
        <v>173</v>
      </c>
      <c r="M1445" s="187" t="s">
        <v>175</v>
      </c>
    </row>
    <row r="1446" spans="1:13" s="188" customFormat="1">
      <c r="A1446" s="185" t="s">
        <v>1447</v>
      </c>
      <c r="B1446" s="133" t="s">
        <v>4622</v>
      </c>
      <c r="C1446" s="185" t="s">
        <v>3023</v>
      </c>
      <c r="D1446" s="133" t="s">
        <v>4619</v>
      </c>
      <c r="E1446" s="134">
        <v>1</v>
      </c>
      <c r="F1446" s="135" t="s">
        <v>1449</v>
      </c>
      <c r="G1446" s="185" t="s">
        <v>15</v>
      </c>
      <c r="H1446" s="185" t="s">
        <v>15</v>
      </c>
      <c r="I1446" s="185" t="s">
        <v>15</v>
      </c>
      <c r="J1446" s="135" t="s">
        <v>1450</v>
      </c>
      <c r="K1446" s="186">
        <v>2604</v>
      </c>
      <c r="L1446" s="187" t="s">
        <v>173</v>
      </c>
      <c r="M1446" s="187" t="s">
        <v>175</v>
      </c>
    </row>
    <row r="1447" spans="1:13" s="188" customFormat="1">
      <c r="A1447" s="185" t="s">
        <v>1447</v>
      </c>
      <c r="B1447" s="133" t="s">
        <v>4623</v>
      </c>
      <c r="C1447" s="185" t="s">
        <v>3023</v>
      </c>
      <c r="D1447" s="133" t="s">
        <v>4619</v>
      </c>
      <c r="E1447" s="134">
        <v>1</v>
      </c>
      <c r="F1447" s="135" t="s">
        <v>1449</v>
      </c>
      <c r="G1447" s="185" t="s">
        <v>15</v>
      </c>
      <c r="H1447" s="185" t="s">
        <v>15</v>
      </c>
      <c r="I1447" s="185" t="s">
        <v>15</v>
      </c>
      <c r="J1447" s="135" t="s">
        <v>1450</v>
      </c>
      <c r="K1447" s="186">
        <v>2052</v>
      </c>
      <c r="L1447" s="187" t="s">
        <v>173</v>
      </c>
      <c r="M1447" s="187" t="s">
        <v>175</v>
      </c>
    </row>
    <row r="1448" spans="1:13" s="188" customFormat="1">
      <c r="A1448" s="185" t="s">
        <v>1447</v>
      </c>
      <c r="B1448" s="133" t="s">
        <v>4624</v>
      </c>
      <c r="C1448" s="185" t="s">
        <v>3023</v>
      </c>
      <c r="D1448" s="133" t="s">
        <v>4625</v>
      </c>
      <c r="E1448" s="134">
        <v>1</v>
      </c>
      <c r="F1448" s="135" t="s">
        <v>1449</v>
      </c>
      <c r="G1448" s="185" t="s">
        <v>15</v>
      </c>
      <c r="H1448" s="185" t="s">
        <v>15</v>
      </c>
      <c r="I1448" s="185" t="s">
        <v>15</v>
      </c>
      <c r="J1448" s="135" t="s">
        <v>1450</v>
      </c>
      <c r="K1448" s="186">
        <v>7260</v>
      </c>
      <c r="L1448" s="187" t="s">
        <v>173</v>
      </c>
      <c r="M1448" s="187" t="s">
        <v>175</v>
      </c>
    </row>
    <row r="1449" spans="1:13" s="188" customFormat="1">
      <c r="A1449" s="185" t="s">
        <v>1447</v>
      </c>
      <c r="B1449" s="133" t="s">
        <v>4626</v>
      </c>
      <c r="C1449" s="185" t="s">
        <v>3023</v>
      </c>
      <c r="D1449" s="133" t="s">
        <v>4625</v>
      </c>
      <c r="E1449" s="134">
        <v>1</v>
      </c>
      <c r="F1449" s="135" t="s">
        <v>1449</v>
      </c>
      <c r="G1449" s="185" t="s">
        <v>15</v>
      </c>
      <c r="H1449" s="185" t="s">
        <v>15</v>
      </c>
      <c r="I1449" s="185" t="s">
        <v>15</v>
      </c>
      <c r="J1449" s="135" t="s">
        <v>1450</v>
      </c>
      <c r="K1449" s="186">
        <v>4536</v>
      </c>
      <c r="L1449" s="187" t="s">
        <v>173</v>
      </c>
      <c r="M1449" s="187" t="s">
        <v>175</v>
      </c>
    </row>
    <row r="1450" spans="1:13" s="188" customFormat="1">
      <c r="A1450" s="185" t="s">
        <v>1447</v>
      </c>
      <c r="B1450" s="133" t="s">
        <v>4627</v>
      </c>
      <c r="C1450" s="185" t="s">
        <v>3023</v>
      </c>
      <c r="D1450" s="133" t="s">
        <v>4625</v>
      </c>
      <c r="E1450" s="134">
        <v>1</v>
      </c>
      <c r="F1450" s="135" t="s">
        <v>1449</v>
      </c>
      <c r="G1450" s="185" t="s">
        <v>15</v>
      </c>
      <c r="H1450" s="185" t="s">
        <v>15</v>
      </c>
      <c r="I1450" s="185" t="s">
        <v>15</v>
      </c>
      <c r="J1450" s="135" t="s">
        <v>1450</v>
      </c>
      <c r="K1450" s="186">
        <v>3108</v>
      </c>
      <c r="L1450" s="187" t="s">
        <v>173</v>
      </c>
      <c r="M1450" s="187" t="s">
        <v>175</v>
      </c>
    </row>
    <row r="1451" spans="1:13" s="188" customFormat="1">
      <c r="A1451" s="185" t="s">
        <v>1447</v>
      </c>
      <c r="B1451" s="133" t="s">
        <v>4628</v>
      </c>
      <c r="C1451" s="185" t="s">
        <v>3023</v>
      </c>
      <c r="D1451" s="133" t="s">
        <v>4625</v>
      </c>
      <c r="E1451" s="134">
        <v>1</v>
      </c>
      <c r="F1451" s="135" t="s">
        <v>1449</v>
      </c>
      <c r="G1451" s="185" t="s">
        <v>15</v>
      </c>
      <c r="H1451" s="185" t="s">
        <v>15</v>
      </c>
      <c r="I1451" s="185" t="s">
        <v>15</v>
      </c>
      <c r="J1451" s="135" t="s">
        <v>1450</v>
      </c>
      <c r="K1451" s="186">
        <v>2460</v>
      </c>
      <c r="L1451" s="187" t="s">
        <v>173</v>
      </c>
      <c r="M1451" s="187" t="s">
        <v>175</v>
      </c>
    </row>
    <row r="1452" spans="1:13" s="188" customFormat="1">
      <c r="A1452" s="185" t="s">
        <v>1447</v>
      </c>
      <c r="B1452" s="133" t="s">
        <v>4629</v>
      </c>
      <c r="C1452" s="185" t="s">
        <v>3023</v>
      </c>
      <c r="D1452" s="133" t="s">
        <v>4625</v>
      </c>
      <c r="E1452" s="134">
        <v>1</v>
      </c>
      <c r="F1452" s="135" t="s">
        <v>1449</v>
      </c>
      <c r="G1452" s="185" t="s">
        <v>15</v>
      </c>
      <c r="H1452" s="185" t="s">
        <v>15</v>
      </c>
      <c r="I1452" s="185" t="s">
        <v>15</v>
      </c>
      <c r="J1452" s="135" t="s">
        <v>1450</v>
      </c>
      <c r="K1452" s="186">
        <v>1944</v>
      </c>
      <c r="L1452" s="187" t="s">
        <v>173</v>
      </c>
      <c r="M1452" s="187" t="s">
        <v>175</v>
      </c>
    </row>
    <row r="1453" spans="1:13" s="188" customFormat="1">
      <c r="A1453" s="185" t="s">
        <v>1447</v>
      </c>
      <c r="B1453" s="133" t="s">
        <v>4630</v>
      </c>
      <c r="C1453" s="185" t="s">
        <v>3023</v>
      </c>
      <c r="D1453" s="133" t="s">
        <v>4625</v>
      </c>
      <c r="E1453" s="134">
        <v>1</v>
      </c>
      <c r="F1453" s="135" t="s">
        <v>1449</v>
      </c>
      <c r="G1453" s="185" t="s">
        <v>15</v>
      </c>
      <c r="H1453" s="185" t="s">
        <v>15</v>
      </c>
      <c r="I1453" s="185" t="s">
        <v>15</v>
      </c>
      <c r="J1453" s="135" t="s">
        <v>1450</v>
      </c>
      <c r="K1453" s="186">
        <v>1512</v>
      </c>
      <c r="L1453" s="187" t="s">
        <v>173</v>
      </c>
      <c r="M1453" s="187" t="s">
        <v>175</v>
      </c>
    </row>
    <row r="1454" spans="1:13" s="188" customFormat="1">
      <c r="A1454" s="185" t="s">
        <v>1447</v>
      </c>
      <c r="B1454" s="133" t="s">
        <v>4631</v>
      </c>
      <c r="C1454" s="185" t="s">
        <v>3023</v>
      </c>
      <c r="D1454" s="133" t="s">
        <v>4625</v>
      </c>
      <c r="E1454" s="134">
        <v>1</v>
      </c>
      <c r="F1454" s="135" t="s">
        <v>1449</v>
      </c>
      <c r="G1454" s="185" t="s">
        <v>15</v>
      </c>
      <c r="H1454" s="185" t="s">
        <v>15</v>
      </c>
      <c r="I1454" s="185" t="s">
        <v>15</v>
      </c>
      <c r="J1454" s="135" t="s">
        <v>1450</v>
      </c>
      <c r="K1454" s="186">
        <v>1104</v>
      </c>
      <c r="L1454" s="187" t="s">
        <v>173</v>
      </c>
      <c r="M1454" s="187" t="s">
        <v>175</v>
      </c>
    </row>
    <row r="1455" spans="1:13" s="188" customFormat="1">
      <c r="A1455" s="185" t="s">
        <v>1447</v>
      </c>
      <c r="B1455" s="133" t="s">
        <v>4632</v>
      </c>
      <c r="C1455" s="185" t="s">
        <v>3023</v>
      </c>
      <c r="D1455" s="133" t="s">
        <v>4625</v>
      </c>
      <c r="E1455" s="134">
        <v>1</v>
      </c>
      <c r="F1455" s="135" t="s">
        <v>1449</v>
      </c>
      <c r="G1455" s="185" t="s">
        <v>15</v>
      </c>
      <c r="H1455" s="185" t="s">
        <v>15</v>
      </c>
      <c r="I1455" s="185" t="s">
        <v>15</v>
      </c>
      <c r="J1455" s="135" t="s">
        <v>1450</v>
      </c>
      <c r="K1455" s="186">
        <v>660</v>
      </c>
      <c r="L1455" s="187" t="s">
        <v>173</v>
      </c>
      <c r="M1455" s="187" t="s">
        <v>175</v>
      </c>
    </row>
    <row r="1456" spans="1:13" s="188" customFormat="1">
      <c r="A1456" s="185" t="s">
        <v>1447</v>
      </c>
      <c r="B1456" s="133" t="s">
        <v>4633</v>
      </c>
      <c r="C1456" s="185" t="s">
        <v>3023</v>
      </c>
      <c r="D1456" s="133" t="s">
        <v>4625</v>
      </c>
      <c r="E1456" s="134">
        <v>1</v>
      </c>
      <c r="F1456" s="135" t="s">
        <v>1449</v>
      </c>
      <c r="G1456" s="185" t="s">
        <v>15</v>
      </c>
      <c r="H1456" s="185" t="s">
        <v>15</v>
      </c>
      <c r="I1456" s="185" t="s">
        <v>15</v>
      </c>
      <c r="J1456" s="135" t="s">
        <v>1450</v>
      </c>
      <c r="K1456" s="186">
        <v>312</v>
      </c>
      <c r="L1456" s="187" t="s">
        <v>173</v>
      </c>
      <c r="M1456" s="187" t="s">
        <v>175</v>
      </c>
    </row>
    <row r="1457" spans="1:13" s="188" customFormat="1">
      <c r="A1457" s="185" t="s">
        <v>1447</v>
      </c>
      <c r="B1457" s="133" t="s">
        <v>4634</v>
      </c>
      <c r="C1457" s="185" t="s">
        <v>3023</v>
      </c>
      <c r="D1457" s="133" t="s">
        <v>4625</v>
      </c>
      <c r="E1457" s="134">
        <v>1</v>
      </c>
      <c r="F1457" s="135" t="s">
        <v>1449</v>
      </c>
      <c r="G1457" s="185" t="s">
        <v>15</v>
      </c>
      <c r="H1457" s="185" t="s">
        <v>15</v>
      </c>
      <c r="I1457" s="185" t="s">
        <v>15</v>
      </c>
      <c r="J1457" s="135" t="s">
        <v>1450</v>
      </c>
      <c r="K1457" s="186">
        <v>216</v>
      </c>
      <c r="L1457" s="187" t="s">
        <v>173</v>
      </c>
      <c r="M1457" s="187" t="s">
        <v>175</v>
      </c>
    </row>
    <row r="1458" spans="1:13" s="188" customFormat="1">
      <c r="A1458" s="185" t="s">
        <v>1447</v>
      </c>
      <c r="B1458" s="133" t="s">
        <v>4635</v>
      </c>
      <c r="C1458" s="185" t="s">
        <v>3023</v>
      </c>
      <c r="D1458" s="133" t="s">
        <v>4636</v>
      </c>
      <c r="E1458" s="134">
        <v>1</v>
      </c>
      <c r="F1458" s="135" t="s">
        <v>1449</v>
      </c>
      <c r="G1458" s="185" t="s">
        <v>15</v>
      </c>
      <c r="H1458" s="185" t="s">
        <v>15</v>
      </c>
      <c r="I1458" s="185" t="s">
        <v>15</v>
      </c>
      <c r="J1458" s="135" t="s">
        <v>1450</v>
      </c>
      <c r="K1458" s="186">
        <v>4356</v>
      </c>
      <c r="L1458" s="187" t="s">
        <v>173</v>
      </c>
      <c r="M1458" s="187" t="s">
        <v>175</v>
      </c>
    </row>
    <row r="1459" spans="1:13" s="188" customFormat="1">
      <c r="A1459" s="185" t="s">
        <v>1447</v>
      </c>
      <c r="B1459" s="133" t="s">
        <v>4637</v>
      </c>
      <c r="C1459" s="185" t="s">
        <v>3023</v>
      </c>
      <c r="D1459" s="133" t="s">
        <v>4636</v>
      </c>
      <c r="E1459" s="134">
        <v>1</v>
      </c>
      <c r="F1459" s="135" t="s">
        <v>1449</v>
      </c>
      <c r="G1459" s="185" t="s">
        <v>15</v>
      </c>
      <c r="H1459" s="185" t="s">
        <v>15</v>
      </c>
      <c r="I1459" s="185" t="s">
        <v>15</v>
      </c>
      <c r="J1459" s="135" t="s">
        <v>1450</v>
      </c>
      <c r="K1459" s="186">
        <v>3732</v>
      </c>
      <c r="L1459" s="187" t="s">
        <v>173</v>
      </c>
      <c r="M1459" s="187" t="s">
        <v>175</v>
      </c>
    </row>
    <row r="1460" spans="1:13" s="188" customFormat="1">
      <c r="A1460" s="185" t="s">
        <v>1447</v>
      </c>
      <c r="B1460" s="133" t="s">
        <v>4638</v>
      </c>
      <c r="C1460" s="185" t="s">
        <v>3023</v>
      </c>
      <c r="D1460" s="133" t="s">
        <v>4636</v>
      </c>
      <c r="E1460" s="134">
        <v>1</v>
      </c>
      <c r="F1460" s="135" t="s">
        <v>1449</v>
      </c>
      <c r="G1460" s="185" t="s">
        <v>15</v>
      </c>
      <c r="H1460" s="185" t="s">
        <v>15</v>
      </c>
      <c r="I1460" s="185" t="s">
        <v>15</v>
      </c>
      <c r="J1460" s="135" t="s">
        <v>1450</v>
      </c>
      <c r="K1460" s="186">
        <v>3108</v>
      </c>
      <c r="L1460" s="187" t="s">
        <v>173</v>
      </c>
      <c r="M1460" s="187" t="s">
        <v>175</v>
      </c>
    </row>
    <row r="1461" spans="1:13" s="188" customFormat="1">
      <c r="A1461" s="185" t="s">
        <v>1447</v>
      </c>
      <c r="B1461" s="133" t="s">
        <v>4639</v>
      </c>
      <c r="C1461" s="185" t="s">
        <v>3023</v>
      </c>
      <c r="D1461" s="133" t="s">
        <v>1587</v>
      </c>
      <c r="E1461" s="134">
        <v>1</v>
      </c>
      <c r="F1461" s="135" t="s">
        <v>1449</v>
      </c>
      <c r="G1461" s="185" t="s">
        <v>15</v>
      </c>
      <c r="H1461" s="185" t="s">
        <v>15</v>
      </c>
      <c r="I1461" s="185" t="s">
        <v>15</v>
      </c>
      <c r="J1461" s="135" t="s">
        <v>1450</v>
      </c>
      <c r="K1461" s="186">
        <v>3384</v>
      </c>
      <c r="L1461" s="187" t="s">
        <v>173</v>
      </c>
      <c r="M1461" s="187" t="s">
        <v>175</v>
      </c>
    </row>
    <row r="1462" spans="1:13" s="188" customFormat="1">
      <c r="A1462" s="185" t="s">
        <v>1447</v>
      </c>
      <c r="B1462" s="133" t="s">
        <v>4640</v>
      </c>
      <c r="C1462" s="185" t="s">
        <v>3023</v>
      </c>
      <c r="D1462" s="133" t="s">
        <v>1587</v>
      </c>
      <c r="E1462" s="134">
        <v>1</v>
      </c>
      <c r="F1462" s="135" t="s">
        <v>1449</v>
      </c>
      <c r="G1462" s="185" t="s">
        <v>15</v>
      </c>
      <c r="H1462" s="185" t="s">
        <v>15</v>
      </c>
      <c r="I1462" s="185" t="s">
        <v>15</v>
      </c>
      <c r="J1462" s="135" t="s">
        <v>1450</v>
      </c>
      <c r="K1462" s="186">
        <v>2736</v>
      </c>
      <c r="L1462" s="187" t="s">
        <v>173</v>
      </c>
      <c r="M1462" s="187" t="s">
        <v>175</v>
      </c>
    </row>
    <row r="1463" spans="1:13" s="188" customFormat="1">
      <c r="A1463" s="185" t="s">
        <v>1447</v>
      </c>
      <c r="B1463" s="133" t="s">
        <v>4641</v>
      </c>
      <c r="C1463" s="185" t="s">
        <v>3023</v>
      </c>
      <c r="D1463" s="133" t="s">
        <v>1587</v>
      </c>
      <c r="E1463" s="134">
        <v>1</v>
      </c>
      <c r="F1463" s="135" t="s">
        <v>1449</v>
      </c>
      <c r="G1463" s="185" t="s">
        <v>15</v>
      </c>
      <c r="H1463" s="185" t="s">
        <v>15</v>
      </c>
      <c r="I1463" s="185" t="s">
        <v>15</v>
      </c>
      <c r="J1463" s="135" t="s">
        <v>1450</v>
      </c>
      <c r="K1463" s="186">
        <v>2364</v>
      </c>
      <c r="L1463" s="187" t="s">
        <v>173</v>
      </c>
      <c r="M1463" s="187" t="s">
        <v>175</v>
      </c>
    </row>
    <row r="1464" spans="1:13" s="188" customFormat="1">
      <c r="A1464" s="185" t="s">
        <v>1447</v>
      </c>
      <c r="B1464" s="133" t="s">
        <v>4642</v>
      </c>
      <c r="C1464" s="185" t="s">
        <v>3023</v>
      </c>
      <c r="D1464" s="133" t="s">
        <v>1587</v>
      </c>
      <c r="E1464" s="134">
        <v>1</v>
      </c>
      <c r="F1464" s="135" t="s">
        <v>1449</v>
      </c>
      <c r="G1464" s="185" t="s">
        <v>15</v>
      </c>
      <c r="H1464" s="185" t="s">
        <v>15</v>
      </c>
      <c r="I1464" s="185" t="s">
        <v>15</v>
      </c>
      <c r="J1464" s="135" t="s">
        <v>1450</v>
      </c>
      <c r="K1464" s="186">
        <v>2244</v>
      </c>
      <c r="L1464" s="187" t="s">
        <v>173</v>
      </c>
      <c r="M1464" s="187" t="s">
        <v>175</v>
      </c>
    </row>
    <row r="1465" spans="1:13" s="188" customFormat="1">
      <c r="A1465" s="185" t="s">
        <v>1447</v>
      </c>
      <c r="B1465" s="133" t="s">
        <v>4643</v>
      </c>
      <c r="C1465" s="185" t="s">
        <v>3023</v>
      </c>
      <c r="D1465" s="133" t="s">
        <v>4644</v>
      </c>
      <c r="E1465" s="134">
        <v>1</v>
      </c>
      <c r="F1465" s="135" t="s">
        <v>1449</v>
      </c>
      <c r="G1465" s="185" t="s">
        <v>15</v>
      </c>
      <c r="H1465" s="185" t="s">
        <v>15</v>
      </c>
      <c r="I1465" s="185" t="s">
        <v>15</v>
      </c>
      <c r="J1465" s="135" t="s">
        <v>1450</v>
      </c>
      <c r="K1465" s="186">
        <v>6228</v>
      </c>
      <c r="L1465" s="187" t="s">
        <v>173</v>
      </c>
      <c r="M1465" s="187" t="s">
        <v>175</v>
      </c>
    </row>
    <row r="1466" spans="1:13" s="188" customFormat="1">
      <c r="A1466" s="185" t="s">
        <v>1447</v>
      </c>
      <c r="B1466" s="133" t="s">
        <v>4645</v>
      </c>
      <c r="C1466" s="185" t="s">
        <v>3023</v>
      </c>
      <c r="D1466" s="133" t="s">
        <v>4646</v>
      </c>
      <c r="E1466" s="134">
        <v>1</v>
      </c>
      <c r="F1466" s="135" t="s">
        <v>1449</v>
      </c>
      <c r="G1466" s="185" t="s">
        <v>15</v>
      </c>
      <c r="H1466" s="185" t="s">
        <v>15</v>
      </c>
      <c r="I1466" s="185" t="s">
        <v>15</v>
      </c>
      <c r="J1466" s="135" t="s">
        <v>1450</v>
      </c>
      <c r="K1466" s="186">
        <v>39432</v>
      </c>
      <c r="L1466" s="187" t="s">
        <v>173</v>
      </c>
      <c r="M1466" s="187" t="s">
        <v>175</v>
      </c>
    </row>
    <row r="1467" spans="1:13" s="188" customFormat="1">
      <c r="A1467" s="185" t="s">
        <v>1447</v>
      </c>
      <c r="B1467" s="133" t="s">
        <v>4647</v>
      </c>
      <c r="C1467" s="185" t="s">
        <v>3023</v>
      </c>
      <c r="D1467" s="133" t="s">
        <v>4646</v>
      </c>
      <c r="E1467" s="134">
        <v>1</v>
      </c>
      <c r="F1467" s="135" t="s">
        <v>1449</v>
      </c>
      <c r="G1467" s="185" t="s">
        <v>15</v>
      </c>
      <c r="H1467" s="185" t="s">
        <v>15</v>
      </c>
      <c r="I1467" s="185" t="s">
        <v>15</v>
      </c>
      <c r="J1467" s="135" t="s">
        <v>1450</v>
      </c>
      <c r="K1467" s="186">
        <v>39120</v>
      </c>
      <c r="L1467" s="187" t="s">
        <v>173</v>
      </c>
      <c r="M1467" s="187" t="s">
        <v>175</v>
      </c>
    </row>
    <row r="1468" spans="1:13" s="188" customFormat="1">
      <c r="A1468" s="185" t="s">
        <v>1447</v>
      </c>
      <c r="B1468" s="133" t="s">
        <v>4648</v>
      </c>
      <c r="C1468" s="185" t="s">
        <v>3023</v>
      </c>
      <c r="D1468" s="133" t="s">
        <v>4646</v>
      </c>
      <c r="E1468" s="134">
        <v>1</v>
      </c>
      <c r="F1468" s="135" t="s">
        <v>1449</v>
      </c>
      <c r="G1468" s="185" t="s">
        <v>15</v>
      </c>
      <c r="H1468" s="185" t="s">
        <v>15</v>
      </c>
      <c r="I1468" s="185" t="s">
        <v>15</v>
      </c>
      <c r="J1468" s="135" t="s">
        <v>1450</v>
      </c>
      <c r="K1468" s="186">
        <v>38808</v>
      </c>
      <c r="L1468" s="187" t="s">
        <v>173</v>
      </c>
      <c r="M1468" s="187" t="s">
        <v>175</v>
      </c>
    </row>
    <row r="1469" spans="1:13" s="188" customFormat="1">
      <c r="A1469" s="185" t="s">
        <v>1447</v>
      </c>
      <c r="B1469" s="133" t="s">
        <v>4649</v>
      </c>
      <c r="C1469" s="185" t="s">
        <v>3023</v>
      </c>
      <c r="D1469" s="133" t="s">
        <v>4646</v>
      </c>
      <c r="E1469" s="134">
        <v>1</v>
      </c>
      <c r="F1469" s="135" t="s">
        <v>1449</v>
      </c>
      <c r="G1469" s="185" t="s">
        <v>15</v>
      </c>
      <c r="H1469" s="185" t="s">
        <v>15</v>
      </c>
      <c r="I1469" s="185" t="s">
        <v>15</v>
      </c>
      <c r="J1469" s="135" t="s">
        <v>1450</v>
      </c>
      <c r="K1469" s="186">
        <v>38496</v>
      </c>
      <c r="L1469" s="187" t="s">
        <v>173</v>
      </c>
      <c r="M1469" s="187" t="s">
        <v>175</v>
      </c>
    </row>
    <row r="1470" spans="1:13" s="188" customFormat="1">
      <c r="A1470" s="185" t="s">
        <v>1447</v>
      </c>
      <c r="B1470" s="133" t="s">
        <v>4650</v>
      </c>
      <c r="C1470" s="185" t="s">
        <v>3023</v>
      </c>
      <c r="D1470" s="133" t="s">
        <v>4646</v>
      </c>
      <c r="E1470" s="134">
        <v>1</v>
      </c>
      <c r="F1470" s="135" t="s">
        <v>1449</v>
      </c>
      <c r="G1470" s="185" t="s">
        <v>15</v>
      </c>
      <c r="H1470" s="185" t="s">
        <v>15</v>
      </c>
      <c r="I1470" s="185" t="s">
        <v>15</v>
      </c>
      <c r="J1470" s="135" t="s">
        <v>1450</v>
      </c>
      <c r="K1470" s="186">
        <v>37200</v>
      </c>
      <c r="L1470" s="187" t="s">
        <v>173</v>
      </c>
      <c r="M1470" s="187" t="s">
        <v>175</v>
      </c>
    </row>
    <row r="1471" spans="1:13" s="188" customFormat="1">
      <c r="A1471" s="185" t="s">
        <v>1447</v>
      </c>
      <c r="B1471" s="133" t="s">
        <v>4651</v>
      </c>
      <c r="C1471" s="185" t="s">
        <v>3023</v>
      </c>
      <c r="D1471" s="133" t="s">
        <v>4652</v>
      </c>
      <c r="E1471" s="134">
        <v>1</v>
      </c>
      <c r="F1471" s="135" t="s">
        <v>1449</v>
      </c>
      <c r="G1471" s="185" t="s">
        <v>15</v>
      </c>
      <c r="H1471" s="185" t="s">
        <v>15</v>
      </c>
      <c r="I1471" s="185" t="s">
        <v>15</v>
      </c>
      <c r="J1471" s="135" t="s">
        <v>1450</v>
      </c>
      <c r="K1471" s="186">
        <v>16032</v>
      </c>
      <c r="L1471" s="187" t="s">
        <v>173</v>
      </c>
      <c r="M1471" s="187" t="s">
        <v>175</v>
      </c>
    </row>
    <row r="1472" spans="1:13" s="188" customFormat="1">
      <c r="A1472" s="185" t="s">
        <v>1447</v>
      </c>
      <c r="B1472" s="133" t="s">
        <v>4653</v>
      </c>
      <c r="C1472" s="185" t="s">
        <v>3023</v>
      </c>
      <c r="D1472" s="133" t="s">
        <v>4652</v>
      </c>
      <c r="E1472" s="134">
        <v>1</v>
      </c>
      <c r="F1472" s="135" t="s">
        <v>1449</v>
      </c>
      <c r="G1472" s="185" t="s">
        <v>15</v>
      </c>
      <c r="H1472" s="185" t="s">
        <v>15</v>
      </c>
      <c r="I1472" s="185" t="s">
        <v>15</v>
      </c>
      <c r="J1472" s="135" t="s">
        <v>1450</v>
      </c>
      <c r="K1472" s="186">
        <v>14748</v>
      </c>
      <c r="L1472" s="187" t="s">
        <v>173</v>
      </c>
      <c r="M1472" s="187" t="s">
        <v>175</v>
      </c>
    </row>
    <row r="1473" spans="1:13" s="188" customFormat="1">
      <c r="A1473" s="185" t="s">
        <v>1447</v>
      </c>
      <c r="B1473" s="133" t="s">
        <v>4654</v>
      </c>
      <c r="C1473" s="185" t="s">
        <v>3023</v>
      </c>
      <c r="D1473" s="133" t="s">
        <v>4652</v>
      </c>
      <c r="E1473" s="134">
        <v>1</v>
      </c>
      <c r="F1473" s="135" t="s">
        <v>1449</v>
      </c>
      <c r="G1473" s="185" t="s">
        <v>15</v>
      </c>
      <c r="H1473" s="185" t="s">
        <v>15</v>
      </c>
      <c r="I1473" s="185" t="s">
        <v>15</v>
      </c>
      <c r="J1473" s="135" t="s">
        <v>1450</v>
      </c>
      <c r="K1473" s="186">
        <v>14112</v>
      </c>
      <c r="L1473" s="187" t="s">
        <v>173</v>
      </c>
      <c r="M1473" s="187" t="s">
        <v>175</v>
      </c>
    </row>
    <row r="1474" spans="1:13" s="188" customFormat="1">
      <c r="A1474" s="185" t="s">
        <v>1447</v>
      </c>
      <c r="B1474" s="133" t="s">
        <v>4655</v>
      </c>
      <c r="C1474" s="185" t="s">
        <v>3023</v>
      </c>
      <c r="D1474" s="133" t="s">
        <v>4652</v>
      </c>
      <c r="E1474" s="134">
        <v>1</v>
      </c>
      <c r="F1474" s="135" t="s">
        <v>1449</v>
      </c>
      <c r="G1474" s="185" t="s">
        <v>15</v>
      </c>
      <c r="H1474" s="185" t="s">
        <v>15</v>
      </c>
      <c r="I1474" s="185" t="s">
        <v>15</v>
      </c>
      <c r="J1474" s="135" t="s">
        <v>1450</v>
      </c>
      <c r="K1474" s="186">
        <v>13788</v>
      </c>
      <c r="L1474" s="187" t="s">
        <v>173</v>
      </c>
      <c r="M1474" s="187" t="s">
        <v>175</v>
      </c>
    </row>
    <row r="1475" spans="1:13" s="188" customFormat="1">
      <c r="A1475" s="185" t="s">
        <v>1447</v>
      </c>
      <c r="B1475" s="133" t="s">
        <v>4656</v>
      </c>
      <c r="C1475" s="185" t="s">
        <v>3023</v>
      </c>
      <c r="D1475" s="133" t="s">
        <v>4652</v>
      </c>
      <c r="E1475" s="134">
        <v>1</v>
      </c>
      <c r="F1475" s="135" t="s">
        <v>1449</v>
      </c>
      <c r="G1475" s="185" t="s">
        <v>15</v>
      </c>
      <c r="H1475" s="185" t="s">
        <v>15</v>
      </c>
      <c r="I1475" s="185" t="s">
        <v>15</v>
      </c>
      <c r="J1475" s="135" t="s">
        <v>1450</v>
      </c>
      <c r="K1475" s="186">
        <v>13464</v>
      </c>
      <c r="L1475" s="187" t="s">
        <v>173</v>
      </c>
      <c r="M1475" s="187" t="s">
        <v>175</v>
      </c>
    </row>
    <row r="1476" spans="1:13" s="188" customFormat="1">
      <c r="A1476" s="185" t="s">
        <v>1447</v>
      </c>
      <c r="B1476" s="133" t="s">
        <v>4657</v>
      </c>
      <c r="C1476" s="185" t="s">
        <v>3023</v>
      </c>
      <c r="D1476" s="133" t="s">
        <v>1588</v>
      </c>
      <c r="E1476" s="134">
        <v>1</v>
      </c>
      <c r="F1476" s="135" t="s">
        <v>1449</v>
      </c>
      <c r="G1476" s="185" t="s">
        <v>15</v>
      </c>
      <c r="H1476" s="185" t="s">
        <v>15</v>
      </c>
      <c r="I1476" s="185" t="s">
        <v>15</v>
      </c>
      <c r="J1476" s="135" t="s">
        <v>1450</v>
      </c>
      <c r="K1476" s="186">
        <v>12456</v>
      </c>
      <c r="L1476" s="187" t="s">
        <v>173</v>
      </c>
      <c r="M1476" s="187" t="s">
        <v>175</v>
      </c>
    </row>
    <row r="1477" spans="1:13" s="188" customFormat="1">
      <c r="A1477" s="185" t="s">
        <v>1447</v>
      </c>
      <c r="B1477" s="133" t="s">
        <v>4658</v>
      </c>
      <c r="C1477" s="185" t="s">
        <v>3023</v>
      </c>
      <c r="D1477" s="133" t="s">
        <v>1589</v>
      </c>
      <c r="E1477" s="134">
        <v>1</v>
      </c>
      <c r="F1477" s="135" t="s">
        <v>1449</v>
      </c>
      <c r="G1477" s="185" t="s">
        <v>15</v>
      </c>
      <c r="H1477" s="185" t="s">
        <v>15</v>
      </c>
      <c r="I1477" s="185" t="s">
        <v>15</v>
      </c>
      <c r="J1477" s="135" t="s">
        <v>1450</v>
      </c>
      <c r="K1477" s="186">
        <v>12.48</v>
      </c>
      <c r="L1477" s="187" t="s">
        <v>173</v>
      </c>
      <c r="M1477" s="187" t="s">
        <v>175</v>
      </c>
    </row>
    <row r="1478" spans="1:13" s="188" customFormat="1">
      <c r="A1478" s="185" t="s">
        <v>1447</v>
      </c>
      <c r="B1478" s="133" t="s">
        <v>4659</v>
      </c>
      <c r="C1478" s="185" t="s">
        <v>3023</v>
      </c>
      <c r="D1478" s="133" t="s">
        <v>4660</v>
      </c>
      <c r="E1478" s="134">
        <v>1</v>
      </c>
      <c r="F1478" s="135" t="s">
        <v>1449</v>
      </c>
      <c r="G1478" s="185" t="s">
        <v>15</v>
      </c>
      <c r="H1478" s="185" t="s">
        <v>15</v>
      </c>
      <c r="I1478" s="185" t="s">
        <v>15</v>
      </c>
      <c r="J1478" s="135" t="s">
        <v>1450</v>
      </c>
      <c r="K1478" s="186">
        <v>6132</v>
      </c>
      <c r="L1478" s="187" t="s">
        <v>173</v>
      </c>
      <c r="M1478" s="187" t="s">
        <v>175</v>
      </c>
    </row>
    <row r="1479" spans="1:13" s="188" customFormat="1">
      <c r="A1479" s="185" t="s">
        <v>1447</v>
      </c>
      <c r="B1479" s="133" t="s">
        <v>4661</v>
      </c>
      <c r="C1479" s="185" t="s">
        <v>3023</v>
      </c>
      <c r="D1479" s="133" t="s">
        <v>4660</v>
      </c>
      <c r="E1479" s="134">
        <v>1</v>
      </c>
      <c r="F1479" s="135" t="s">
        <v>1449</v>
      </c>
      <c r="G1479" s="185" t="s">
        <v>15</v>
      </c>
      <c r="H1479" s="185" t="s">
        <v>15</v>
      </c>
      <c r="I1479" s="185" t="s">
        <v>15</v>
      </c>
      <c r="J1479" s="135" t="s">
        <v>1450</v>
      </c>
      <c r="K1479" s="186">
        <v>4188</v>
      </c>
      <c r="L1479" s="187" t="s">
        <v>173</v>
      </c>
      <c r="M1479" s="187" t="s">
        <v>175</v>
      </c>
    </row>
    <row r="1480" spans="1:13" s="188" customFormat="1">
      <c r="A1480" s="185" t="s">
        <v>1447</v>
      </c>
      <c r="B1480" s="133" t="s">
        <v>4662</v>
      </c>
      <c r="C1480" s="185" t="s">
        <v>3023</v>
      </c>
      <c r="D1480" s="133" t="s">
        <v>4660</v>
      </c>
      <c r="E1480" s="134">
        <v>1</v>
      </c>
      <c r="F1480" s="135" t="s">
        <v>1449</v>
      </c>
      <c r="G1480" s="185" t="s">
        <v>15</v>
      </c>
      <c r="H1480" s="185" t="s">
        <v>15</v>
      </c>
      <c r="I1480" s="185" t="s">
        <v>15</v>
      </c>
      <c r="J1480" s="135" t="s">
        <v>1450</v>
      </c>
      <c r="K1480" s="186">
        <v>3228</v>
      </c>
      <c r="L1480" s="187" t="s">
        <v>173</v>
      </c>
      <c r="M1480" s="187" t="s">
        <v>175</v>
      </c>
    </row>
    <row r="1481" spans="1:13" s="188" customFormat="1">
      <c r="A1481" s="185" t="s">
        <v>1447</v>
      </c>
      <c r="B1481" s="133" t="s">
        <v>4663</v>
      </c>
      <c r="C1481" s="185" t="s">
        <v>3023</v>
      </c>
      <c r="D1481" s="133" t="s">
        <v>4660</v>
      </c>
      <c r="E1481" s="134">
        <v>1</v>
      </c>
      <c r="F1481" s="135" t="s">
        <v>1449</v>
      </c>
      <c r="G1481" s="185" t="s">
        <v>15</v>
      </c>
      <c r="H1481" s="185" t="s">
        <v>15</v>
      </c>
      <c r="I1481" s="185" t="s">
        <v>15</v>
      </c>
      <c r="J1481" s="135" t="s">
        <v>1450</v>
      </c>
      <c r="K1481" s="186">
        <v>2448</v>
      </c>
      <c r="L1481" s="187" t="s">
        <v>173</v>
      </c>
      <c r="M1481" s="187" t="s">
        <v>175</v>
      </c>
    </row>
    <row r="1482" spans="1:13" s="188" customFormat="1">
      <c r="A1482" s="185" t="s">
        <v>1447</v>
      </c>
      <c r="B1482" s="133" t="s">
        <v>4664</v>
      </c>
      <c r="C1482" s="185" t="s">
        <v>3023</v>
      </c>
      <c r="D1482" s="133" t="s">
        <v>4660</v>
      </c>
      <c r="E1482" s="134">
        <v>1</v>
      </c>
      <c r="F1482" s="135" t="s">
        <v>1449</v>
      </c>
      <c r="G1482" s="185" t="s">
        <v>15</v>
      </c>
      <c r="H1482" s="185" t="s">
        <v>15</v>
      </c>
      <c r="I1482" s="185" t="s">
        <v>15</v>
      </c>
      <c r="J1482" s="135" t="s">
        <v>1450</v>
      </c>
      <c r="K1482" s="186">
        <v>1932</v>
      </c>
      <c r="L1482" s="187" t="s">
        <v>173</v>
      </c>
      <c r="M1482" s="187" t="s">
        <v>175</v>
      </c>
    </row>
    <row r="1483" spans="1:13" s="188" customFormat="1">
      <c r="A1483" s="185" t="s">
        <v>1447</v>
      </c>
      <c r="B1483" s="133" t="s">
        <v>4665</v>
      </c>
      <c r="C1483" s="185" t="s">
        <v>3023</v>
      </c>
      <c r="D1483" s="133" t="s">
        <v>4666</v>
      </c>
      <c r="E1483" s="134">
        <v>1</v>
      </c>
      <c r="F1483" s="135" t="s">
        <v>1449</v>
      </c>
      <c r="G1483" s="185" t="s">
        <v>15</v>
      </c>
      <c r="H1483" s="185" t="s">
        <v>15</v>
      </c>
      <c r="I1483" s="185" t="s">
        <v>15</v>
      </c>
      <c r="J1483" s="135" t="s">
        <v>1450</v>
      </c>
      <c r="K1483" s="186">
        <v>22416</v>
      </c>
      <c r="L1483" s="187" t="s">
        <v>173</v>
      </c>
      <c r="M1483" s="187" t="s">
        <v>175</v>
      </c>
    </row>
    <row r="1484" spans="1:13" s="188" customFormat="1">
      <c r="A1484" s="185" t="s">
        <v>1447</v>
      </c>
      <c r="B1484" s="133" t="s">
        <v>4667</v>
      </c>
      <c r="C1484" s="185" t="s">
        <v>3023</v>
      </c>
      <c r="D1484" s="133" t="s">
        <v>1590</v>
      </c>
      <c r="E1484" s="134">
        <v>1</v>
      </c>
      <c r="F1484" s="135" t="s">
        <v>1449</v>
      </c>
      <c r="G1484" s="185" t="s">
        <v>15</v>
      </c>
      <c r="H1484" s="185" t="s">
        <v>15</v>
      </c>
      <c r="I1484" s="185" t="s">
        <v>15</v>
      </c>
      <c r="J1484" s="135" t="s">
        <v>1450</v>
      </c>
      <c r="K1484" s="186">
        <v>1872</v>
      </c>
      <c r="L1484" s="187" t="s">
        <v>173</v>
      </c>
      <c r="M1484" s="187" t="s">
        <v>175</v>
      </c>
    </row>
    <row r="1485" spans="1:13" s="188" customFormat="1">
      <c r="A1485" s="185" t="s">
        <v>1447</v>
      </c>
      <c r="B1485" s="133" t="s">
        <v>4668</v>
      </c>
      <c r="C1485" s="185" t="s">
        <v>3023</v>
      </c>
      <c r="D1485" s="133" t="s">
        <v>1590</v>
      </c>
      <c r="E1485" s="134">
        <v>1</v>
      </c>
      <c r="F1485" s="135" t="s">
        <v>1449</v>
      </c>
      <c r="G1485" s="185" t="s">
        <v>15</v>
      </c>
      <c r="H1485" s="185" t="s">
        <v>15</v>
      </c>
      <c r="I1485" s="185" t="s">
        <v>15</v>
      </c>
      <c r="J1485" s="135" t="s">
        <v>1450</v>
      </c>
      <c r="K1485" s="186">
        <v>744</v>
      </c>
      <c r="L1485" s="187" t="s">
        <v>173</v>
      </c>
      <c r="M1485" s="187" t="s">
        <v>175</v>
      </c>
    </row>
    <row r="1486" spans="1:13" s="188" customFormat="1">
      <c r="A1486" s="185" t="s">
        <v>1447</v>
      </c>
      <c r="B1486" s="133" t="s">
        <v>4669</v>
      </c>
      <c r="C1486" s="185" t="s">
        <v>3023</v>
      </c>
      <c r="D1486" s="133" t="s">
        <v>1590</v>
      </c>
      <c r="E1486" s="134">
        <v>1</v>
      </c>
      <c r="F1486" s="135" t="s">
        <v>1449</v>
      </c>
      <c r="G1486" s="185" t="s">
        <v>15</v>
      </c>
      <c r="H1486" s="185" t="s">
        <v>15</v>
      </c>
      <c r="I1486" s="185" t="s">
        <v>15</v>
      </c>
      <c r="J1486" s="135" t="s">
        <v>1450</v>
      </c>
      <c r="K1486" s="186">
        <v>564</v>
      </c>
      <c r="L1486" s="187" t="s">
        <v>173</v>
      </c>
      <c r="M1486" s="187" t="s">
        <v>175</v>
      </c>
    </row>
    <row r="1487" spans="1:13" s="188" customFormat="1">
      <c r="A1487" s="185" t="s">
        <v>1447</v>
      </c>
      <c r="B1487" s="133" t="s">
        <v>4670</v>
      </c>
      <c r="C1487" s="185" t="s">
        <v>3023</v>
      </c>
      <c r="D1487" s="133" t="s">
        <v>1590</v>
      </c>
      <c r="E1487" s="134">
        <v>1</v>
      </c>
      <c r="F1487" s="135" t="s">
        <v>1449</v>
      </c>
      <c r="G1487" s="185" t="s">
        <v>15</v>
      </c>
      <c r="H1487" s="185" t="s">
        <v>15</v>
      </c>
      <c r="I1487" s="185" t="s">
        <v>15</v>
      </c>
      <c r="J1487" s="135" t="s">
        <v>1450</v>
      </c>
      <c r="K1487" s="186">
        <v>312</v>
      </c>
      <c r="L1487" s="187" t="s">
        <v>173</v>
      </c>
      <c r="M1487" s="187" t="s">
        <v>175</v>
      </c>
    </row>
    <row r="1488" spans="1:13" s="188" customFormat="1">
      <c r="A1488" s="185" t="s">
        <v>1447</v>
      </c>
      <c r="B1488" s="133" t="s">
        <v>4671</v>
      </c>
      <c r="C1488" s="185" t="s">
        <v>3023</v>
      </c>
      <c r="D1488" s="133" t="s">
        <v>1590</v>
      </c>
      <c r="E1488" s="134">
        <v>1</v>
      </c>
      <c r="F1488" s="135" t="s">
        <v>1449</v>
      </c>
      <c r="G1488" s="185" t="s">
        <v>15</v>
      </c>
      <c r="H1488" s="185" t="s">
        <v>15</v>
      </c>
      <c r="I1488" s="185" t="s">
        <v>15</v>
      </c>
      <c r="J1488" s="135" t="s">
        <v>1450</v>
      </c>
      <c r="K1488" s="186">
        <v>192</v>
      </c>
      <c r="L1488" s="187" t="s">
        <v>173</v>
      </c>
      <c r="M1488" s="187" t="s">
        <v>175</v>
      </c>
    </row>
    <row r="1489" spans="1:13" s="188" customFormat="1">
      <c r="A1489" s="185" t="s">
        <v>1447</v>
      </c>
      <c r="B1489" s="133" t="s">
        <v>4672</v>
      </c>
      <c r="C1489" s="185" t="s">
        <v>3023</v>
      </c>
      <c r="D1489" s="133" t="s">
        <v>1591</v>
      </c>
      <c r="E1489" s="134">
        <v>1</v>
      </c>
      <c r="F1489" s="135" t="s">
        <v>1449</v>
      </c>
      <c r="G1489" s="185" t="s">
        <v>15</v>
      </c>
      <c r="H1489" s="185" t="s">
        <v>15</v>
      </c>
      <c r="I1489" s="185" t="s">
        <v>15</v>
      </c>
      <c r="J1489" s="135" t="s">
        <v>1450</v>
      </c>
      <c r="K1489" s="186">
        <v>744</v>
      </c>
      <c r="L1489" s="187" t="s">
        <v>173</v>
      </c>
      <c r="M1489" s="187" t="s">
        <v>175</v>
      </c>
    </row>
    <row r="1490" spans="1:13" s="188" customFormat="1">
      <c r="A1490" s="185" t="s">
        <v>1447</v>
      </c>
      <c r="B1490" s="133" t="s">
        <v>4673</v>
      </c>
      <c r="C1490" s="185" t="s">
        <v>3023</v>
      </c>
      <c r="D1490" s="133" t="s">
        <v>1591</v>
      </c>
      <c r="E1490" s="134">
        <v>1</v>
      </c>
      <c r="F1490" s="135" t="s">
        <v>1449</v>
      </c>
      <c r="G1490" s="185" t="s">
        <v>15</v>
      </c>
      <c r="H1490" s="185" t="s">
        <v>15</v>
      </c>
      <c r="I1490" s="185" t="s">
        <v>15</v>
      </c>
      <c r="J1490" s="135" t="s">
        <v>1450</v>
      </c>
      <c r="K1490" s="186">
        <v>432</v>
      </c>
      <c r="L1490" s="187" t="s">
        <v>173</v>
      </c>
      <c r="M1490" s="187" t="s">
        <v>175</v>
      </c>
    </row>
    <row r="1491" spans="1:13" s="188" customFormat="1">
      <c r="A1491" s="185" t="s">
        <v>1447</v>
      </c>
      <c r="B1491" s="133" t="s">
        <v>4674</v>
      </c>
      <c r="C1491" s="185" t="s">
        <v>3023</v>
      </c>
      <c r="D1491" s="133" t="s">
        <v>1591</v>
      </c>
      <c r="E1491" s="134">
        <v>1</v>
      </c>
      <c r="F1491" s="135" t="s">
        <v>1449</v>
      </c>
      <c r="G1491" s="185" t="s">
        <v>15</v>
      </c>
      <c r="H1491" s="185" t="s">
        <v>15</v>
      </c>
      <c r="I1491" s="185" t="s">
        <v>15</v>
      </c>
      <c r="J1491" s="135" t="s">
        <v>1450</v>
      </c>
      <c r="K1491" s="186">
        <v>192</v>
      </c>
      <c r="L1491" s="187" t="s">
        <v>173</v>
      </c>
      <c r="M1491" s="187" t="s">
        <v>175</v>
      </c>
    </row>
    <row r="1492" spans="1:13" s="188" customFormat="1">
      <c r="A1492" s="185" t="s">
        <v>1447</v>
      </c>
      <c r="B1492" s="133" t="s">
        <v>4675</v>
      </c>
      <c r="C1492" s="185" t="s">
        <v>3023</v>
      </c>
      <c r="D1492" s="133" t="s">
        <v>1591</v>
      </c>
      <c r="E1492" s="134">
        <v>1</v>
      </c>
      <c r="F1492" s="135" t="s">
        <v>1449</v>
      </c>
      <c r="G1492" s="185" t="s">
        <v>15</v>
      </c>
      <c r="H1492" s="185" t="s">
        <v>15</v>
      </c>
      <c r="I1492" s="185" t="s">
        <v>15</v>
      </c>
      <c r="J1492" s="135" t="s">
        <v>1450</v>
      </c>
      <c r="K1492" s="186">
        <v>99.600000000000009</v>
      </c>
      <c r="L1492" s="187" t="s">
        <v>173</v>
      </c>
      <c r="M1492" s="187" t="s">
        <v>175</v>
      </c>
    </row>
    <row r="1493" spans="1:13" s="188" customFormat="1">
      <c r="A1493" s="185" t="s">
        <v>1447</v>
      </c>
      <c r="B1493" s="133" t="s">
        <v>4676</v>
      </c>
      <c r="C1493" s="185" t="s">
        <v>3023</v>
      </c>
      <c r="D1493" s="133" t="s">
        <v>1591</v>
      </c>
      <c r="E1493" s="134">
        <v>1</v>
      </c>
      <c r="F1493" s="135" t="s">
        <v>1449</v>
      </c>
      <c r="G1493" s="185" t="s">
        <v>15</v>
      </c>
      <c r="H1493" s="185" t="s">
        <v>15</v>
      </c>
      <c r="I1493" s="185" t="s">
        <v>15</v>
      </c>
      <c r="J1493" s="135" t="s">
        <v>1450</v>
      </c>
      <c r="K1493" s="186">
        <v>74.760000000000005</v>
      </c>
      <c r="L1493" s="187" t="s">
        <v>173</v>
      </c>
      <c r="M1493" s="187" t="s">
        <v>175</v>
      </c>
    </row>
    <row r="1494" spans="1:13" s="188" customFormat="1">
      <c r="A1494" s="185" t="s">
        <v>1447</v>
      </c>
      <c r="B1494" s="133" t="s">
        <v>4677</v>
      </c>
      <c r="C1494" s="185" t="s">
        <v>3023</v>
      </c>
      <c r="D1494" s="133" t="s">
        <v>1592</v>
      </c>
      <c r="E1494" s="134">
        <v>1</v>
      </c>
      <c r="F1494" s="135" t="s">
        <v>1449</v>
      </c>
      <c r="G1494" s="185" t="s">
        <v>15</v>
      </c>
      <c r="H1494" s="185" t="s">
        <v>15</v>
      </c>
      <c r="I1494" s="185" t="s">
        <v>15</v>
      </c>
      <c r="J1494" s="135" t="s">
        <v>1450</v>
      </c>
      <c r="K1494" s="186">
        <v>3444</v>
      </c>
      <c r="L1494" s="187" t="s">
        <v>173</v>
      </c>
      <c r="M1494" s="187" t="s">
        <v>175</v>
      </c>
    </row>
    <row r="1495" spans="1:13" s="188" customFormat="1">
      <c r="A1495" s="185" t="s">
        <v>1447</v>
      </c>
      <c r="B1495" s="133" t="s">
        <v>4678</v>
      </c>
      <c r="C1495" s="185" t="s">
        <v>3023</v>
      </c>
      <c r="D1495" s="133" t="s">
        <v>1592</v>
      </c>
      <c r="E1495" s="134">
        <v>1</v>
      </c>
      <c r="F1495" s="135" t="s">
        <v>1449</v>
      </c>
      <c r="G1495" s="185" t="s">
        <v>15</v>
      </c>
      <c r="H1495" s="185" t="s">
        <v>15</v>
      </c>
      <c r="I1495" s="185" t="s">
        <v>15</v>
      </c>
      <c r="J1495" s="135" t="s">
        <v>1450</v>
      </c>
      <c r="K1495" s="186">
        <v>1644</v>
      </c>
      <c r="L1495" s="187" t="s">
        <v>173</v>
      </c>
      <c r="M1495" s="187" t="s">
        <v>175</v>
      </c>
    </row>
    <row r="1496" spans="1:13" s="188" customFormat="1">
      <c r="A1496" s="185" t="s">
        <v>1447</v>
      </c>
      <c r="B1496" s="133" t="s">
        <v>4679</v>
      </c>
      <c r="C1496" s="185" t="s">
        <v>3023</v>
      </c>
      <c r="D1496" s="133" t="s">
        <v>1592</v>
      </c>
      <c r="E1496" s="134">
        <v>1</v>
      </c>
      <c r="F1496" s="135" t="s">
        <v>1449</v>
      </c>
      <c r="G1496" s="185" t="s">
        <v>15</v>
      </c>
      <c r="H1496" s="185" t="s">
        <v>15</v>
      </c>
      <c r="I1496" s="185" t="s">
        <v>15</v>
      </c>
      <c r="J1496" s="135" t="s">
        <v>1450</v>
      </c>
      <c r="K1496" s="186">
        <v>732</v>
      </c>
      <c r="L1496" s="187" t="s">
        <v>173</v>
      </c>
      <c r="M1496" s="187" t="s">
        <v>175</v>
      </c>
    </row>
    <row r="1497" spans="1:13" s="188" customFormat="1">
      <c r="A1497" s="185" t="s">
        <v>1447</v>
      </c>
      <c r="B1497" s="133" t="s">
        <v>4680</v>
      </c>
      <c r="C1497" s="185" t="s">
        <v>3023</v>
      </c>
      <c r="D1497" s="133" t="s">
        <v>1593</v>
      </c>
      <c r="E1497" s="134">
        <v>1</v>
      </c>
      <c r="F1497" s="135" t="s">
        <v>1449</v>
      </c>
      <c r="G1497" s="185" t="s">
        <v>15</v>
      </c>
      <c r="H1497" s="185" t="s">
        <v>15</v>
      </c>
      <c r="I1497" s="185" t="s">
        <v>15</v>
      </c>
      <c r="J1497" s="135" t="s">
        <v>1450</v>
      </c>
      <c r="K1497" s="186">
        <v>2844</v>
      </c>
      <c r="L1497" s="187" t="s">
        <v>173</v>
      </c>
      <c r="M1497" s="187" t="s">
        <v>175</v>
      </c>
    </row>
    <row r="1498" spans="1:13" s="188" customFormat="1">
      <c r="A1498" s="185" t="s">
        <v>1447</v>
      </c>
      <c r="B1498" s="133" t="s">
        <v>4681</v>
      </c>
      <c r="C1498" s="185" t="s">
        <v>3023</v>
      </c>
      <c r="D1498" s="133" t="s">
        <v>1593</v>
      </c>
      <c r="E1498" s="134">
        <v>1</v>
      </c>
      <c r="F1498" s="135" t="s">
        <v>1449</v>
      </c>
      <c r="G1498" s="185" t="s">
        <v>15</v>
      </c>
      <c r="H1498" s="185" t="s">
        <v>15</v>
      </c>
      <c r="I1498" s="185" t="s">
        <v>15</v>
      </c>
      <c r="J1498" s="135" t="s">
        <v>1450</v>
      </c>
      <c r="K1498" s="186">
        <v>1896</v>
      </c>
      <c r="L1498" s="187" t="s">
        <v>173</v>
      </c>
      <c r="M1498" s="187" t="s">
        <v>175</v>
      </c>
    </row>
    <row r="1499" spans="1:13" s="188" customFormat="1">
      <c r="A1499" s="185" t="s">
        <v>1447</v>
      </c>
      <c r="B1499" s="133" t="s">
        <v>4682</v>
      </c>
      <c r="C1499" s="185" t="s">
        <v>3023</v>
      </c>
      <c r="D1499" s="133" t="s">
        <v>1593</v>
      </c>
      <c r="E1499" s="134">
        <v>1</v>
      </c>
      <c r="F1499" s="135" t="s">
        <v>1449</v>
      </c>
      <c r="G1499" s="185" t="s">
        <v>15</v>
      </c>
      <c r="H1499" s="185" t="s">
        <v>15</v>
      </c>
      <c r="I1499" s="185" t="s">
        <v>15</v>
      </c>
      <c r="J1499" s="135" t="s">
        <v>1450</v>
      </c>
      <c r="K1499" s="186">
        <v>1440</v>
      </c>
      <c r="L1499" s="187" t="s">
        <v>173</v>
      </c>
      <c r="M1499" s="187" t="s">
        <v>175</v>
      </c>
    </row>
    <row r="1500" spans="1:13" s="188" customFormat="1">
      <c r="A1500" s="185" t="s">
        <v>1447</v>
      </c>
      <c r="B1500" s="133" t="s">
        <v>4683</v>
      </c>
      <c r="C1500" s="185" t="s">
        <v>3023</v>
      </c>
      <c r="D1500" s="133" t="s">
        <v>1594</v>
      </c>
      <c r="E1500" s="134">
        <v>1</v>
      </c>
      <c r="F1500" s="135" t="s">
        <v>1449</v>
      </c>
      <c r="G1500" s="185" t="s">
        <v>15</v>
      </c>
      <c r="H1500" s="185" t="s">
        <v>15</v>
      </c>
      <c r="I1500" s="185" t="s">
        <v>15</v>
      </c>
      <c r="J1500" s="135" t="s">
        <v>1450</v>
      </c>
      <c r="K1500" s="186">
        <v>4248</v>
      </c>
      <c r="L1500" s="187" t="s">
        <v>173</v>
      </c>
      <c r="M1500" s="187" t="s">
        <v>175</v>
      </c>
    </row>
    <row r="1501" spans="1:13" s="188" customFormat="1">
      <c r="A1501" s="185" t="s">
        <v>1447</v>
      </c>
      <c r="B1501" s="133" t="s">
        <v>4684</v>
      </c>
      <c r="C1501" s="185" t="s">
        <v>3023</v>
      </c>
      <c r="D1501" s="133" t="s">
        <v>1594</v>
      </c>
      <c r="E1501" s="134">
        <v>1</v>
      </c>
      <c r="F1501" s="135" t="s">
        <v>1449</v>
      </c>
      <c r="G1501" s="185" t="s">
        <v>15</v>
      </c>
      <c r="H1501" s="185" t="s">
        <v>15</v>
      </c>
      <c r="I1501" s="185" t="s">
        <v>15</v>
      </c>
      <c r="J1501" s="135" t="s">
        <v>1450</v>
      </c>
      <c r="K1501" s="186">
        <v>2052</v>
      </c>
      <c r="L1501" s="187" t="s">
        <v>173</v>
      </c>
      <c r="M1501" s="187" t="s">
        <v>175</v>
      </c>
    </row>
    <row r="1502" spans="1:13" s="188" customFormat="1">
      <c r="A1502" s="185" t="s">
        <v>1447</v>
      </c>
      <c r="B1502" s="133" t="s">
        <v>4685</v>
      </c>
      <c r="C1502" s="185" t="s">
        <v>3023</v>
      </c>
      <c r="D1502" s="133" t="s">
        <v>1594</v>
      </c>
      <c r="E1502" s="134">
        <v>1</v>
      </c>
      <c r="F1502" s="135" t="s">
        <v>1449</v>
      </c>
      <c r="G1502" s="185" t="s">
        <v>15</v>
      </c>
      <c r="H1502" s="185" t="s">
        <v>15</v>
      </c>
      <c r="I1502" s="185" t="s">
        <v>15</v>
      </c>
      <c r="J1502" s="135" t="s">
        <v>1450</v>
      </c>
      <c r="K1502" s="186">
        <v>912</v>
      </c>
      <c r="L1502" s="187" t="s">
        <v>173</v>
      </c>
      <c r="M1502" s="187" t="s">
        <v>175</v>
      </c>
    </row>
    <row r="1503" spans="1:13" s="188" customFormat="1">
      <c r="A1503" s="185" t="s">
        <v>1447</v>
      </c>
      <c r="B1503" s="133" t="s">
        <v>4686</v>
      </c>
      <c r="C1503" s="185" t="s">
        <v>3023</v>
      </c>
      <c r="D1503" s="133" t="s">
        <v>1595</v>
      </c>
      <c r="E1503" s="134">
        <v>1</v>
      </c>
      <c r="F1503" s="135" t="s">
        <v>1449</v>
      </c>
      <c r="G1503" s="185" t="s">
        <v>15</v>
      </c>
      <c r="H1503" s="185" t="s">
        <v>15</v>
      </c>
      <c r="I1503" s="185" t="s">
        <v>15</v>
      </c>
      <c r="J1503" s="135" t="s">
        <v>1450</v>
      </c>
      <c r="K1503" s="186">
        <v>468</v>
      </c>
      <c r="L1503" s="187" t="s">
        <v>173</v>
      </c>
      <c r="M1503" s="187" t="s">
        <v>175</v>
      </c>
    </row>
    <row r="1504" spans="1:13" s="188" customFormat="1">
      <c r="A1504" s="185" t="s">
        <v>1447</v>
      </c>
      <c r="B1504" s="133" t="s">
        <v>4687</v>
      </c>
      <c r="C1504" s="185" t="s">
        <v>3023</v>
      </c>
      <c r="D1504" s="133" t="s">
        <v>1595</v>
      </c>
      <c r="E1504" s="134">
        <v>1</v>
      </c>
      <c r="F1504" s="135" t="s">
        <v>1449</v>
      </c>
      <c r="G1504" s="185" t="s">
        <v>15</v>
      </c>
      <c r="H1504" s="185" t="s">
        <v>15</v>
      </c>
      <c r="I1504" s="185" t="s">
        <v>15</v>
      </c>
      <c r="J1504" s="135" t="s">
        <v>1450</v>
      </c>
      <c r="K1504" s="186">
        <v>300</v>
      </c>
      <c r="L1504" s="187" t="s">
        <v>173</v>
      </c>
      <c r="M1504" s="187" t="s">
        <v>175</v>
      </c>
    </row>
    <row r="1505" spans="1:13" s="188" customFormat="1">
      <c r="A1505" s="185" t="s">
        <v>1447</v>
      </c>
      <c r="B1505" s="133" t="s">
        <v>4688</v>
      </c>
      <c r="C1505" s="185" t="s">
        <v>3023</v>
      </c>
      <c r="D1505" s="133" t="s">
        <v>1595</v>
      </c>
      <c r="E1505" s="134">
        <v>1</v>
      </c>
      <c r="F1505" s="135" t="s">
        <v>1449</v>
      </c>
      <c r="G1505" s="185" t="s">
        <v>15</v>
      </c>
      <c r="H1505" s="185" t="s">
        <v>15</v>
      </c>
      <c r="I1505" s="185" t="s">
        <v>15</v>
      </c>
      <c r="J1505" s="135" t="s">
        <v>1450</v>
      </c>
      <c r="K1505" s="186">
        <v>264</v>
      </c>
      <c r="L1505" s="187" t="s">
        <v>173</v>
      </c>
      <c r="M1505" s="187" t="s">
        <v>175</v>
      </c>
    </row>
    <row r="1506" spans="1:13" s="188" customFormat="1">
      <c r="A1506" s="185" t="s">
        <v>1447</v>
      </c>
      <c r="B1506" s="133" t="s">
        <v>4689</v>
      </c>
      <c r="C1506" s="185" t="s">
        <v>3023</v>
      </c>
      <c r="D1506" s="133" t="s">
        <v>1596</v>
      </c>
      <c r="E1506" s="134">
        <v>1</v>
      </c>
      <c r="F1506" s="135" t="s">
        <v>1449</v>
      </c>
      <c r="G1506" s="185" t="s">
        <v>15</v>
      </c>
      <c r="H1506" s="185" t="s">
        <v>15</v>
      </c>
      <c r="I1506" s="185" t="s">
        <v>15</v>
      </c>
      <c r="J1506" s="135" t="s">
        <v>1450</v>
      </c>
      <c r="K1506" s="186">
        <v>19572</v>
      </c>
      <c r="L1506" s="187" t="s">
        <v>173</v>
      </c>
      <c r="M1506" s="187" t="s">
        <v>175</v>
      </c>
    </row>
    <row r="1507" spans="1:13" s="188" customFormat="1">
      <c r="A1507" s="185" t="s">
        <v>1447</v>
      </c>
      <c r="B1507" s="133" t="s">
        <v>4690</v>
      </c>
      <c r="C1507" s="185" t="s">
        <v>3023</v>
      </c>
      <c r="D1507" s="133" t="s">
        <v>1596</v>
      </c>
      <c r="E1507" s="134">
        <v>1</v>
      </c>
      <c r="F1507" s="135" t="s">
        <v>1449</v>
      </c>
      <c r="G1507" s="185" t="s">
        <v>15</v>
      </c>
      <c r="H1507" s="185" t="s">
        <v>15</v>
      </c>
      <c r="I1507" s="185" t="s">
        <v>15</v>
      </c>
      <c r="J1507" s="135" t="s">
        <v>1450</v>
      </c>
      <c r="K1507" s="186">
        <v>10152</v>
      </c>
      <c r="L1507" s="187" t="s">
        <v>173</v>
      </c>
      <c r="M1507" s="187" t="s">
        <v>175</v>
      </c>
    </row>
    <row r="1508" spans="1:13" s="188" customFormat="1">
      <c r="A1508" s="185" t="s">
        <v>1447</v>
      </c>
      <c r="B1508" s="133" t="s">
        <v>4691</v>
      </c>
      <c r="C1508" s="185" t="s">
        <v>3023</v>
      </c>
      <c r="D1508" s="133" t="s">
        <v>1596</v>
      </c>
      <c r="E1508" s="134">
        <v>1</v>
      </c>
      <c r="F1508" s="135" t="s">
        <v>1449</v>
      </c>
      <c r="G1508" s="185" t="s">
        <v>15</v>
      </c>
      <c r="H1508" s="185" t="s">
        <v>15</v>
      </c>
      <c r="I1508" s="185" t="s">
        <v>15</v>
      </c>
      <c r="J1508" s="135" t="s">
        <v>1450</v>
      </c>
      <c r="K1508" s="186">
        <v>7692</v>
      </c>
      <c r="L1508" s="187" t="s">
        <v>173</v>
      </c>
      <c r="M1508" s="187" t="s">
        <v>175</v>
      </c>
    </row>
    <row r="1509" spans="1:13" s="188" customFormat="1">
      <c r="A1509" s="185" t="s">
        <v>1447</v>
      </c>
      <c r="B1509" s="133" t="s">
        <v>4692</v>
      </c>
      <c r="C1509" s="185" t="s">
        <v>3023</v>
      </c>
      <c r="D1509" s="133" t="s">
        <v>1596</v>
      </c>
      <c r="E1509" s="134">
        <v>1</v>
      </c>
      <c r="F1509" s="135" t="s">
        <v>1449</v>
      </c>
      <c r="G1509" s="185" t="s">
        <v>15</v>
      </c>
      <c r="H1509" s="185" t="s">
        <v>15</v>
      </c>
      <c r="I1509" s="185" t="s">
        <v>15</v>
      </c>
      <c r="J1509" s="135" t="s">
        <v>1450</v>
      </c>
      <c r="K1509" s="186">
        <v>7296</v>
      </c>
      <c r="L1509" s="187" t="s">
        <v>173</v>
      </c>
      <c r="M1509" s="187" t="s">
        <v>175</v>
      </c>
    </row>
    <row r="1510" spans="1:13" s="188" customFormat="1">
      <c r="A1510" s="185" t="s">
        <v>1447</v>
      </c>
      <c r="B1510" s="133" t="s">
        <v>4693</v>
      </c>
      <c r="C1510" s="185" t="s">
        <v>3023</v>
      </c>
      <c r="D1510" s="133" t="s">
        <v>1597</v>
      </c>
      <c r="E1510" s="134">
        <v>1</v>
      </c>
      <c r="F1510" s="135" t="s">
        <v>1449</v>
      </c>
      <c r="G1510" s="185" t="s">
        <v>15</v>
      </c>
      <c r="H1510" s="185" t="s">
        <v>15</v>
      </c>
      <c r="I1510" s="185" t="s">
        <v>15</v>
      </c>
      <c r="J1510" s="135" t="s">
        <v>1450</v>
      </c>
      <c r="K1510" s="186">
        <v>4176</v>
      </c>
      <c r="L1510" s="187" t="s">
        <v>173</v>
      </c>
      <c r="M1510" s="187" t="s">
        <v>175</v>
      </c>
    </row>
    <row r="1511" spans="1:13" s="188" customFormat="1">
      <c r="A1511" s="185" t="s">
        <v>1447</v>
      </c>
      <c r="B1511" s="133" t="s">
        <v>4694</v>
      </c>
      <c r="C1511" s="185" t="s">
        <v>3023</v>
      </c>
      <c r="D1511" s="133" t="s">
        <v>1597</v>
      </c>
      <c r="E1511" s="134">
        <v>1</v>
      </c>
      <c r="F1511" s="135" t="s">
        <v>1449</v>
      </c>
      <c r="G1511" s="185" t="s">
        <v>15</v>
      </c>
      <c r="H1511" s="185" t="s">
        <v>15</v>
      </c>
      <c r="I1511" s="185" t="s">
        <v>15</v>
      </c>
      <c r="J1511" s="135" t="s">
        <v>1450</v>
      </c>
      <c r="K1511" s="186">
        <v>2664</v>
      </c>
      <c r="L1511" s="187" t="s">
        <v>173</v>
      </c>
      <c r="M1511" s="187" t="s">
        <v>175</v>
      </c>
    </row>
    <row r="1512" spans="1:13" s="188" customFormat="1">
      <c r="A1512" s="185" t="s">
        <v>1447</v>
      </c>
      <c r="B1512" s="133" t="s">
        <v>4695</v>
      </c>
      <c r="C1512" s="185" t="s">
        <v>3023</v>
      </c>
      <c r="D1512" s="133" t="s">
        <v>1597</v>
      </c>
      <c r="E1512" s="134">
        <v>1</v>
      </c>
      <c r="F1512" s="135" t="s">
        <v>1449</v>
      </c>
      <c r="G1512" s="185" t="s">
        <v>15</v>
      </c>
      <c r="H1512" s="185" t="s">
        <v>15</v>
      </c>
      <c r="I1512" s="185" t="s">
        <v>15</v>
      </c>
      <c r="J1512" s="135" t="s">
        <v>1450</v>
      </c>
      <c r="K1512" s="186">
        <v>2208</v>
      </c>
      <c r="L1512" s="187" t="s">
        <v>173</v>
      </c>
      <c r="M1512" s="187" t="s">
        <v>175</v>
      </c>
    </row>
    <row r="1513" spans="1:13" s="188" customFormat="1">
      <c r="A1513" s="185" t="s">
        <v>1447</v>
      </c>
      <c r="B1513" s="133" t="s">
        <v>4696</v>
      </c>
      <c r="C1513" s="185" t="s">
        <v>3023</v>
      </c>
      <c r="D1513" s="133" t="s">
        <v>1598</v>
      </c>
      <c r="E1513" s="134">
        <v>1</v>
      </c>
      <c r="F1513" s="135" t="s">
        <v>1449</v>
      </c>
      <c r="G1513" s="185" t="s">
        <v>15</v>
      </c>
      <c r="H1513" s="185" t="s">
        <v>15</v>
      </c>
      <c r="I1513" s="185" t="s">
        <v>15</v>
      </c>
      <c r="J1513" s="135" t="s">
        <v>1450</v>
      </c>
      <c r="K1513" s="186">
        <v>3360</v>
      </c>
      <c r="L1513" s="187" t="s">
        <v>173</v>
      </c>
      <c r="M1513" s="187" t="s">
        <v>175</v>
      </c>
    </row>
    <row r="1514" spans="1:13" s="188" customFormat="1">
      <c r="A1514" s="185" t="s">
        <v>1447</v>
      </c>
      <c r="B1514" s="133" t="s">
        <v>4697</v>
      </c>
      <c r="C1514" s="185" t="s">
        <v>3023</v>
      </c>
      <c r="D1514" s="133" t="s">
        <v>1598</v>
      </c>
      <c r="E1514" s="134">
        <v>1</v>
      </c>
      <c r="F1514" s="135" t="s">
        <v>1449</v>
      </c>
      <c r="G1514" s="185" t="s">
        <v>15</v>
      </c>
      <c r="H1514" s="185" t="s">
        <v>15</v>
      </c>
      <c r="I1514" s="185" t="s">
        <v>15</v>
      </c>
      <c r="J1514" s="135" t="s">
        <v>1450</v>
      </c>
      <c r="K1514" s="186">
        <v>984</v>
      </c>
      <c r="L1514" s="187" t="s">
        <v>173</v>
      </c>
      <c r="M1514" s="187" t="s">
        <v>175</v>
      </c>
    </row>
    <row r="1515" spans="1:13" s="188" customFormat="1">
      <c r="A1515" s="185" t="s">
        <v>1447</v>
      </c>
      <c r="B1515" s="133" t="s">
        <v>4698</v>
      </c>
      <c r="C1515" s="185" t="s">
        <v>3023</v>
      </c>
      <c r="D1515" s="133" t="s">
        <v>1598</v>
      </c>
      <c r="E1515" s="134">
        <v>1</v>
      </c>
      <c r="F1515" s="135" t="s">
        <v>1449</v>
      </c>
      <c r="G1515" s="185" t="s">
        <v>15</v>
      </c>
      <c r="H1515" s="185" t="s">
        <v>15</v>
      </c>
      <c r="I1515" s="185" t="s">
        <v>15</v>
      </c>
      <c r="J1515" s="135" t="s">
        <v>1450</v>
      </c>
      <c r="K1515" s="186">
        <v>660</v>
      </c>
      <c r="L1515" s="187" t="s">
        <v>173</v>
      </c>
      <c r="M1515" s="187" t="s">
        <v>175</v>
      </c>
    </row>
    <row r="1516" spans="1:13" s="188" customFormat="1">
      <c r="A1516" s="185" t="s">
        <v>1447</v>
      </c>
      <c r="B1516" s="133" t="s">
        <v>4699</v>
      </c>
      <c r="C1516" s="185" t="s">
        <v>3023</v>
      </c>
      <c r="D1516" s="133" t="s">
        <v>1599</v>
      </c>
      <c r="E1516" s="134">
        <v>1</v>
      </c>
      <c r="F1516" s="135" t="s">
        <v>1449</v>
      </c>
      <c r="G1516" s="185" t="s">
        <v>15</v>
      </c>
      <c r="H1516" s="185" t="s">
        <v>15</v>
      </c>
      <c r="I1516" s="185" t="s">
        <v>15</v>
      </c>
      <c r="J1516" s="135" t="s">
        <v>1450</v>
      </c>
      <c r="K1516" s="186">
        <v>3276</v>
      </c>
      <c r="L1516" s="187" t="s">
        <v>173</v>
      </c>
      <c r="M1516" s="187" t="s">
        <v>175</v>
      </c>
    </row>
    <row r="1517" spans="1:13" s="188" customFormat="1">
      <c r="A1517" s="185" t="s">
        <v>1447</v>
      </c>
      <c r="B1517" s="133" t="s">
        <v>4700</v>
      </c>
      <c r="C1517" s="185" t="s">
        <v>3023</v>
      </c>
      <c r="D1517" s="133" t="s">
        <v>1599</v>
      </c>
      <c r="E1517" s="134">
        <v>1</v>
      </c>
      <c r="F1517" s="135" t="s">
        <v>1449</v>
      </c>
      <c r="G1517" s="185" t="s">
        <v>15</v>
      </c>
      <c r="H1517" s="185" t="s">
        <v>15</v>
      </c>
      <c r="I1517" s="185" t="s">
        <v>15</v>
      </c>
      <c r="J1517" s="135" t="s">
        <v>1450</v>
      </c>
      <c r="K1517" s="186">
        <v>2304</v>
      </c>
      <c r="L1517" s="187" t="s">
        <v>173</v>
      </c>
      <c r="M1517" s="187" t="s">
        <v>175</v>
      </c>
    </row>
    <row r="1518" spans="1:13" s="188" customFormat="1">
      <c r="A1518" s="185" t="s">
        <v>1447</v>
      </c>
      <c r="B1518" s="133" t="s">
        <v>4701</v>
      </c>
      <c r="C1518" s="185" t="s">
        <v>3023</v>
      </c>
      <c r="D1518" s="133" t="s">
        <v>1599</v>
      </c>
      <c r="E1518" s="134">
        <v>1</v>
      </c>
      <c r="F1518" s="135" t="s">
        <v>1449</v>
      </c>
      <c r="G1518" s="185" t="s">
        <v>15</v>
      </c>
      <c r="H1518" s="185" t="s">
        <v>15</v>
      </c>
      <c r="I1518" s="185" t="s">
        <v>15</v>
      </c>
      <c r="J1518" s="135" t="s">
        <v>1450</v>
      </c>
      <c r="K1518" s="186">
        <v>1992</v>
      </c>
      <c r="L1518" s="187" t="s">
        <v>173</v>
      </c>
      <c r="M1518" s="187" t="s">
        <v>175</v>
      </c>
    </row>
    <row r="1519" spans="1:13" s="188" customFormat="1">
      <c r="A1519" s="185" t="s">
        <v>1447</v>
      </c>
      <c r="B1519" s="133" t="s">
        <v>4702</v>
      </c>
      <c r="C1519" s="185" t="s">
        <v>3023</v>
      </c>
      <c r="D1519" s="133" t="s">
        <v>1599</v>
      </c>
      <c r="E1519" s="134">
        <v>1</v>
      </c>
      <c r="F1519" s="135" t="s">
        <v>1449</v>
      </c>
      <c r="G1519" s="185" t="s">
        <v>15</v>
      </c>
      <c r="H1519" s="185" t="s">
        <v>15</v>
      </c>
      <c r="I1519" s="185" t="s">
        <v>15</v>
      </c>
      <c r="J1519" s="135" t="s">
        <v>1450</v>
      </c>
      <c r="K1519" s="186">
        <v>1860</v>
      </c>
      <c r="L1519" s="187" t="s">
        <v>173</v>
      </c>
      <c r="M1519" s="187" t="s">
        <v>175</v>
      </c>
    </row>
    <row r="1520" spans="1:13" s="188" customFormat="1">
      <c r="A1520" s="185" t="s">
        <v>1447</v>
      </c>
      <c r="B1520" s="133" t="s">
        <v>4703</v>
      </c>
      <c r="C1520" s="185" t="s">
        <v>3023</v>
      </c>
      <c r="D1520" s="133" t="s">
        <v>1600</v>
      </c>
      <c r="E1520" s="134">
        <v>1</v>
      </c>
      <c r="F1520" s="135" t="s">
        <v>1449</v>
      </c>
      <c r="G1520" s="185" t="s">
        <v>15</v>
      </c>
      <c r="H1520" s="185" t="s">
        <v>15</v>
      </c>
      <c r="I1520" s="185" t="s">
        <v>15</v>
      </c>
      <c r="J1520" s="135" t="s">
        <v>1450</v>
      </c>
      <c r="K1520" s="186">
        <v>4308</v>
      </c>
      <c r="L1520" s="187" t="s">
        <v>173</v>
      </c>
      <c r="M1520" s="187" t="s">
        <v>175</v>
      </c>
    </row>
    <row r="1521" spans="1:13" s="188" customFormat="1">
      <c r="A1521" s="185" t="s">
        <v>1447</v>
      </c>
      <c r="B1521" s="133" t="s">
        <v>4704</v>
      </c>
      <c r="C1521" s="185" t="s">
        <v>3023</v>
      </c>
      <c r="D1521" s="133" t="s">
        <v>1600</v>
      </c>
      <c r="E1521" s="134">
        <v>1</v>
      </c>
      <c r="F1521" s="135" t="s">
        <v>1449</v>
      </c>
      <c r="G1521" s="185" t="s">
        <v>15</v>
      </c>
      <c r="H1521" s="185" t="s">
        <v>15</v>
      </c>
      <c r="I1521" s="185" t="s">
        <v>15</v>
      </c>
      <c r="J1521" s="135" t="s">
        <v>1450</v>
      </c>
      <c r="K1521" s="186">
        <v>3132</v>
      </c>
      <c r="L1521" s="187" t="s">
        <v>173</v>
      </c>
      <c r="M1521" s="187" t="s">
        <v>175</v>
      </c>
    </row>
    <row r="1522" spans="1:13" s="188" customFormat="1">
      <c r="A1522" s="185" t="s">
        <v>1447</v>
      </c>
      <c r="B1522" s="133" t="s">
        <v>4705</v>
      </c>
      <c r="C1522" s="185" t="s">
        <v>3023</v>
      </c>
      <c r="D1522" s="133" t="s">
        <v>1600</v>
      </c>
      <c r="E1522" s="134">
        <v>1</v>
      </c>
      <c r="F1522" s="135" t="s">
        <v>1449</v>
      </c>
      <c r="G1522" s="185" t="s">
        <v>15</v>
      </c>
      <c r="H1522" s="185" t="s">
        <v>15</v>
      </c>
      <c r="I1522" s="185" t="s">
        <v>15</v>
      </c>
      <c r="J1522" s="135" t="s">
        <v>1450</v>
      </c>
      <c r="K1522" s="186">
        <v>1596</v>
      </c>
      <c r="L1522" s="187" t="s">
        <v>173</v>
      </c>
      <c r="M1522" s="187" t="s">
        <v>175</v>
      </c>
    </row>
    <row r="1523" spans="1:13" s="188" customFormat="1">
      <c r="A1523" s="185" t="s">
        <v>1447</v>
      </c>
      <c r="B1523" s="133" t="s">
        <v>4706</v>
      </c>
      <c r="C1523" s="185" t="s">
        <v>3023</v>
      </c>
      <c r="D1523" s="133" t="s">
        <v>1601</v>
      </c>
      <c r="E1523" s="134">
        <v>1</v>
      </c>
      <c r="F1523" s="135" t="s">
        <v>1449</v>
      </c>
      <c r="G1523" s="185" t="s">
        <v>15</v>
      </c>
      <c r="H1523" s="185" t="s">
        <v>15</v>
      </c>
      <c r="I1523" s="185" t="s">
        <v>15</v>
      </c>
      <c r="J1523" s="135" t="s">
        <v>1450</v>
      </c>
      <c r="K1523" s="186">
        <v>39156</v>
      </c>
      <c r="L1523" s="187" t="s">
        <v>173</v>
      </c>
      <c r="M1523" s="187" t="s">
        <v>175</v>
      </c>
    </row>
    <row r="1524" spans="1:13" s="188" customFormat="1">
      <c r="A1524" s="185" t="s">
        <v>1447</v>
      </c>
      <c r="B1524" s="133" t="s">
        <v>4707</v>
      </c>
      <c r="C1524" s="185" t="s">
        <v>3023</v>
      </c>
      <c r="D1524" s="133" t="s">
        <v>1601</v>
      </c>
      <c r="E1524" s="134">
        <v>1</v>
      </c>
      <c r="F1524" s="135" t="s">
        <v>1449</v>
      </c>
      <c r="G1524" s="185" t="s">
        <v>15</v>
      </c>
      <c r="H1524" s="185" t="s">
        <v>15</v>
      </c>
      <c r="I1524" s="185" t="s">
        <v>15</v>
      </c>
      <c r="J1524" s="135" t="s">
        <v>1450</v>
      </c>
      <c r="K1524" s="186">
        <v>18852</v>
      </c>
      <c r="L1524" s="187" t="s">
        <v>173</v>
      </c>
      <c r="M1524" s="187" t="s">
        <v>175</v>
      </c>
    </row>
    <row r="1525" spans="1:13" s="188" customFormat="1">
      <c r="A1525" s="185" t="s">
        <v>1447</v>
      </c>
      <c r="B1525" s="133" t="s">
        <v>4708</v>
      </c>
      <c r="C1525" s="185" t="s">
        <v>3023</v>
      </c>
      <c r="D1525" s="133" t="s">
        <v>1601</v>
      </c>
      <c r="E1525" s="134">
        <v>1</v>
      </c>
      <c r="F1525" s="135" t="s">
        <v>1449</v>
      </c>
      <c r="G1525" s="185" t="s">
        <v>15</v>
      </c>
      <c r="H1525" s="185" t="s">
        <v>15</v>
      </c>
      <c r="I1525" s="185" t="s">
        <v>15</v>
      </c>
      <c r="J1525" s="135" t="s">
        <v>1450</v>
      </c>
      <c r="K1525" s="186">
        <v>9312</v>
      </c>
      <c r="L1525" s="187" t="s">
        <v>173</v>
      </c>
      <c r="M1525" s="187" t="s">
        <v>175</v>
      </c>
    </row>
    <row r="1526" spans="1:13" s="188" customFormat="1">
      <c r="A1526" s="185" t="s">
        <v>1447</v>
      </c>
      <c r="B1526" s="133" t="s">
        <v>4709</v>
      </c>
      <c r="C1526" s="185" t="s">
        <v>3023</v>
      </c>
      <c r="D1526" s="133" t="s">
        <v>1601</v>
      </c>
      <c r="E1526" s="134">
        <v>1</v>
      </c>
      <c r="F1526" s="135" t="s">
        <v>1449</v>
      </c>
      <c r="G1526" s="185" t="s">
        <v>15</v>
      </c>
      <c r="H1526" s="185" t="s">
        <v>15</v>
      </c>
      <c r="I1526" s="185" t="s">
        <v>15</v>
      </c>
      <c r="J1526" s="135" t="s">
        <v>1450</v>
      </c>
      <c r="K1526" s="186">
        <v>9168</v>
      </c>
      <c r="L1526" s="187" t="s">
        <v>173</v>
      </c>
      <c r="M1526" s="187" t="s">
        <v>175</v>
      </c>
    </row>
    <row r="1527" spans="1:13" s="188" customFormat="1">
      <c r="A1527" s="185" t="s">
        <v>1447</v>
      </c>
      <c r="B1527" s="133" t="s">
        <v>4710</v>
      </c>
      <c r="C1527" s="185" t="s">
        <v>3023</v>
      </c>
      <c r="D1527" s="133" t="s">
        <v>1601</v>
      </c>
      <c r="E1527" s="134">
        <v>1</v>
      </c>
      <c r="F1527" s="135" t="s">
        <v>1449</v>
      </c>
      <c r="G1527" s="185" t="s">
        <v>15</v>
      </c>
      <c r="H1527" s="185" t="s">
        <v>15</v>
      </c>
      <c r="I1527" s="185" t="s">
        <v>15</v>
      </c>
      <c r="J1527" s="135" t="s">
        <v>1450</v>
      </c>
      <c r="K1527" s="186">
        <v>7980</v>
      </c>
      <c r="L1527" s="187" t="s">
        <v>173</v>
      </c>
      <c r="M1527" s="187" t="s">
        <v>175</v>
      </c>
    </row>
    <row r="1528" spans="1:13" s="188" customFormat="1">
      <c r="A1528" s="185" t="s">
        <v>1447</v>
      </c>
      <c r="B1528" s="133" t="s">
        <v>4711</v>
      </c>
      <c r="C1528" s="185" t="s">
        <v>3023</v>
      </c>
      <c r="D1528" s="133" t="s">
        <v>4712</v>
      </c>
      <c r="E1528" s="134">
        <v>1</v>
      </c>
      <c r="F1528" s="135" t="s">
        <v>1449</v>
      </c>
      <c r="G1528" s="185" t="s">
        <v>15</v>
      </c>
      <c r="H1528" s="185" t="s">
        <v>15</v>
      </c>
      <c r="I1528" s="185" t="s">
        <v>15</v>
      </c>
      <c r="J1528" s="135" t="s">
        <v>1450</v>
      </c>
      <c r="K1528" s="186">
        <v>1068</v>
      </c>
      <c r="L1528" s="187" t="s">
        <v>173</v>
      </c>
      <c r="M1528" s="187" t="s">
        <v>175</v>
      </c>
    </row>
    <row r="1529" spans="1:13" s="188" customFormat="1">
      <c r="A1529" s="185" t="s">
        <v>1447</v>
      </c>
      <c r="B1529" s="133" t="s">
        <v>4713</v>
      </c>
      <c r="C1529" s="185" t="s">
        <v>3023</v>
      </c>
      <c r="D1529" s="133" t="s">
        <v>4712</v>
      </c>
      <c r="E1529" s="134">
        <v>1</v>
      </c>
      <c r="F1529" s="135" t="s">
        <v>1449</v>
      </c>
      <c r="G1529" s="185" t="s">
        <v>15</v>
      </c>
      <c r="H1529" s="185" t="s">
        <v>15</v>
      </c>
      <c r="I1529" s="185" t="s">
        <v>15</v>
      </c>
      <c r="J1529" s="135" t="s">
        <v>1450</v>
      </c>
      <c r="K1529" s="186">
        <v>1032</v>
      </c>
      <c r="L1529" s="187" t="s">
        <v>173</v>
      </c>
      <c r="M1529" s="187" t="s">
        <v>175</v>
      </c>
    </row>
    <row r="1530" spans="1:13" s="188" customFormat="1">
      <c r="A1530" s="185" t="s">
        <v>1447</v>
      </c>
      <c r="B1530" s="133" t="s">
        <v>4714</v>
      </c>
      <c r="C1530" s="185" t="s">
        <v>3023</v>
      </c>
      <c r="D1530" s="133" t="s">
        <v>4712</v>
      </c>
      <c r="E1530" s="134">
        <v>1</v>
      </c>
      <c r="F1530" s="135" t="s">
        <v>1449</v>
      </c>
      <c r="G1530" s="185" t="s">
        <v>15</v>
      </c>
      <c r="H1530" s="185" t="s">
        <v>15</v>
      </c>
      <c r="I1530" s="185" t="s">
        <v>15</v>
      </c>
      <c r="J1530" s="135" t="s">
        <v>1450</v>
      </c>
      <c r="K1530" s="186">
        <v>996</v>
      </c>
      <c r="L1530" s="187" t="s">
        <v>173</v>
      </c>
      <c r="M1530" s="187" t="s">
        <v>175</v>
      </c>
    </row>
    <row r="1531" spans="1:13" s="188" customFormat="1">
      <c r="A1531" s="185" t="s">
        <v>1447</v>
      </c>
      <c r="B1531" s="133" t="s">
        <v>4715</v>
      </c>
      <c r="C1531" s="185" t="s">
        <v>3023</v>
      </c>
      <c r="D1531" s="133" t="s">
        <v>4712</v>
      </c>
      <c r="E1531" s="134">
        <v>1</v>
      </c>
      <c r="F1531" s="135" t="s">
        <v>1449</v>
      </c>
      <c r="G1531" s="185" t="s">
        <v>15</v>
      </c>
      <c r="H1531" s="185" t="s">
        <v>15</v>
      </c>
      <c r="I1531" s="185" t="s">
        <v>15</v>
      </c>
      <c r="J1531" s="135" t="s">
        <v>1450</v>
      </c>
      <c r="K1531" s="186">
        <v>828</v>
      </c>
      <c r="L1531" s="187" t="s">
        <v>173</v>
      </c>
      <c r="M1531" s="187" t="s">
        <v>175</v>
      </c>
    </row>
    <row r="1532" spans="1:13" s="188" customFormat="1">
      <c r="A1532" s="185" t="s">
        <v>1447</v>
      </c>
      <c r="B1532" s="133" t="s">
        <v>4716</v>
      </c>
      <c r="C1532" s="185" t="s">
        <v>3023</v>
      </c>
      <c r="D1532" s="133" t="s">
        <v>4712</v>
      </c>
      <c r="E1532" s="134">
        <v>1</v>
      </c>
      <c r="F1532" s="135" t="s">
        <v>1449</v>
      </c>
      <c r="G1532" s="185" t="s">
        <v>15</v>
      </c>
      <c r="H1532" s="185" t="s">
        <v>15</v>
      </c>
      <c r="I1532" s="185" t="s">
        <v>15</v>
      </c>
      <c r="J1532" s="135" t="s">
        <v>1450</v>
      </c>
      <c r="K1532" s="186">
        <v>348</v>
      </c>
      <c r="L1532" s="187" t="s">
        <v>173</v>
      </c>
      <c r="M1532" s="187" t="s">
        <v>175</v>
      </c>
    </row>
    <row r="1533" spans="1:13" s="188" customFormat="1">
      <c r="A1533" s="185" t="s">
        <v>1447</v>
      </c>
      <c r="B1533" s="133" t="s">
        <v>4717</v>
      </c>
      <c r="C1533" s="185" t="s">
        <v>3023</v>
      </c>
      <c r="D1533" s="133" t="s">
        <v>4718</v>
      </c>
      <c r="E1533" s="134">
        <v>1</v>
      </c>
      <c r="F1533" s="135" t="s">
        <v>1449</v>
      </c>
      <c r="G1533" s="185" t="s">
        <v>15</v>
      </c>
      <c r="H1533" s="185" t="s">
        <v>15</v>
      </c>
      <c r="I1533" s="185" t="s">
        <v>15</v>
      </c>
      <c r="J1533" s="135" t="s">
        <v>1450</v>
      </c>
      <c r="K1533" s="186">
        <v>12456</v>
      </c>
      <c r="L1533" s="187" t="s">
        <v>173</v>
      </c>
      <c r="M1533" s="187" t="s">
        <v>175</v>
      </c>
    </row>
    <row r="1534" spans="1:13" s="188" customFormat="1">
      <c r="A1534" s="185" t="s">
        <v>1447</v>
      </c>
      <c r="B1534" s="133" t="s">
        <v>4719</v>
      </c>
      <c r="C1534" s="185" t="s">
        <v>3023</v>
      </c>
      <c r="D1534" s="133" t="s">
        <v>1605</v>
      </c>
      <c r="E1534" s="134">
        <v>1</v>
      </c>
      <c r="F1534" s="135" t="s">
        <v>1449</v>
      </c>
      <c r="G1534" s="185" t="s">
        <v>15</v>
      </c>
      <c r="H1534" s="185" t="s">
        <v>15</v>
      </c>
      <c r="I1534" s="185" t="s">
        <v>15</v>
      </c>
      <c r="J1534" s="135" t="s">
        <v>1450</v>
      </c>
      <c r="K1534" s="186">
        <v>46692</v>
      </c>
      <c r="L1534" s="187" t="s">
        <v>173</v>
      </c>
      <c r="M1534" s="187" t="s">
        <v>175</v>
      </c>
    </row>
    <row r="1535" spans="1:13" s="188" customFormat="1">
      <c r="A1535" s="185" t="s">
        <v>1447</v>
      </c>
      <c r="B1535" s="133" t="s">
        <v>4720</v>
      </c>
      <c r="C1535" s="185" t="s">
        <v>3023</v>
      </c>
      <c r="D1535" s="133" t="s">
        <v>1606</v>
      </c>
      <c r="E1535" s="134">
        <v>1</v>
      </c>
      <c r="F1535" s="135" t="s">
        <v>1449</v>
      </c>
      <c r="G1535" s="185" t="s">
        <v>15</v>
      </c>
      <c r="H1535" s="185" t="s">
        <v>15</v>
      </c>
      <c r="I1535" s="185" t="s">
        <v>15</v>
      </c>
      <c r="J1535" s="135" t="s">
        <v>1450</v>
      </c>
      <c r="K1535" s="186">
        <v>14004</v>
      </c>
      <c r="L1535" s="187" t="s">
        <v>173</v>
      </c>
      <c r="M1535" s="187" t="s">
        <v>175</v>
      </c>
    </row>
    <row r="1536" spans="1:13" s="188" customFormat="1">
      <c r="A1536" s="185" t="s">
        <v>1447</v>
      </c>
      <c r="B1536" s="133" t="s">
        <v>4721</v>
      </c>
      <c r="C1536" s="185" t="s">
        <v>3023</v>
      </c>
      <c r="D1536" s="133" t="s">
        <v>4722</v>
      </c>
      <c r="E1536" s="134">
        <v>1</v>
      </c>
      <c r="F1536" s="135" t="s">
        <v>1449</v>
      </c>
      <c r="G1536" s="185" t="s">
        <v>15</v>
      </c>
      <c r="H1536" s="185" t="s">
        <v>15</v>
      </c>
      <c r="I1536" s="185" t="s">
        <v>15</v>
      </c>
      <c r="J1536" s="135" t="s">
        <v>1450</v>
      </c>
      <c r="K1536" s="186">
        <v>2676</v>
      </c>
      <c r="L1536" s="187" t="s">
        <v>173</v>
      </c>
      <c r="M1536" s="187" t="s">
        <v>175</v>
      </c>
    </row>
    <row r="1537" spans="1:13" s="188" customFormat="1">
      <c r="A1537" s="185" t="s">
        <v>1447</v>
      </c>
      <c r="B1537" s="133" t="s">
        <v>4723</v>
      </c>
      <c r="C1537" s="185" t="s">
        <v>3023</v>
      </c>
      <c r="D1537" s="133" t="s">
        <v>4722</v>
      </c>
      <c r="E1537" s="134">
        <v>1</v>
      </c>
      <c r="F1537" s="135" t="s">
        <v>1449</v>
      </c>
      <c r="G1537" s="185" t="s">
        <v>15</v>
      </c>
      <c r="H1537" s="185" t="s">
        <v>15</v>
      </c>
      <c r="I1537" s="185" t="s">
        <v>15</v>
      </c>
      <c r="J1537" s="135" t="s">
        <v>1450</v>
      </c>
      <c r="K1537" s="186">
        <v>2184</v>
      </c>
      <c r="L1537" s="187" t="s">
        <v>173</v>
      </c>
      <c r="M1537" s="187" t="s">
        <v>175</v>
      </c>
    </row>
    <row r="1538" spans="1:13" s="188" customFormat="1">
      <c r="A1538" s="185" t="s">
        <v>1447</v>
      </c>
      <c r="B1538" s="133" t="s">
        <v>4724</v>
      </c>
      <c r="C1538" s="185" t="s">
        <v>3023</v>
      </c>
      <c r="D1538" s="133" t="s">
        <v>4722</v>
      </c>
      <c r="E1538" s="134">
        <v>1</v>
      </c>
      <c r="F1538" s="135" t="s">
        <v>1449</v>
      </c>
      <c r="G1538" s="185" t="s">
        <v>15</v>
      </c>
      <c r="H1538" s="185" t="s">
        <v>15</v>
      </c>
      <c r="I1538" s="185" t="s">
        <v>15</v>
      </c>
      <c r="J1538" s="135" t="s">
        <v>1450</v>
      </c>
      <c r="K1538" s="186">
        <v>1800</v>
      </c>
      <c r="L1538" s="187" t="s">
        <v>173</v>
      </c>
      <c r="M1538" s="187" t="s">
        <v>175</v>
      </c>
    </row>
    <row r="1539" spans="1:13" s="188" customFormat="1">
      <c r="A1539" s="185" t="s">
        <v>1447</v>
      </c>
      <c r="B1539" s="133" t="s">
        <v>4725</v>
      </c>
      <c r="C1539" s="185" t="s">
        <v>3023</v>
      </c>
      <c r="D1539" s="133" t="s">
        <v>4722</v>
      </c>
      <c r="E1539" s="134">
        <v>1</v>
      </c>
      <c r="F1539" s="135" t="s">
        <v>1449</v>
      </c>
      <c r="G1539" s="185" t="s">
        <v>15</v>
      </c>
      <c r="H1539" s="185" t="s">
        <v>15</v>
      </c>
      <c r="I1539" s="185" t="s">
        <v>15</v>
      </c>
      <c r="J1539" s="135" t="s">
        <v>1450</v>
      </c>
      <c r="K1539" s="186">
        <v>1560</v>
      </c>
      <c r="L1539" s="187" t="s">
        <v>173</v>
      </c>
      <c r="M1539" s="187" t="s">
        <v>175</v>
      </c>
    </row>
    <row r="1540" spans="1:13" s="188" customFormat="1">
      <c r="A1540" s="185" t="s">
        <v>1447</v>
      </c>
      <c r="B1540" s="133" t="s">
        <v>4726</v>
      </c>
      <c r="C1540" s="185" t="s">
        <v>3023</v>
      </c>
      <c r="D1540" s="133" t="s">
        <v>4722</v>
      </c>
      <c r="E1540" s="134">
        <v>1</v>
      </c>
      <c r="F1540" s="135" t="s">
        <v>1449</v>
      </c>
      <c r="G1540" s="185" t="s">
        <v>15</v>
      </c>
      <c r="H1540" s="185" t="s">
        <v>15</v>
      </c>
      <c r="I1540" s="185" t="s">
        <v>15</v>
      </c>
      <c r="J1540" s="135" t="s">
        <v>1450</v>
      </c>
      <c r="K1540" s="186">
        <v>1368</v>
      </c>
      <c r="L1540" s="187" t="s">
        <v>173</v>
      </c>
      <c r="M1540" s="187" t="s">
        <v>175</v>
      </c>
    </row>
    <row r="1541" spans="1:13" s="188" customFormat="1">
      <c r="A1541" s="185" t="s">
        <v>1447</v>
      </c>
      <c r="B1541" s="133" t="s">
        <v>4727</v>
      </c>
      <c r="C1541" s="185" t="s">
        <v>3023</v>
      </c>
      <c r="D1541" s="133" t="s">
        <v>1607</v>
      </c>
      <c r="E1541" s="134">
        <v>1</v>
      </c>
      <c r="F1541" s="135" t="s">
        <v>1449</v>
      </c>
      <c r="G1541" s="185" t="s">
        <v>15</v>
      </c>
      <c r="H1541" s="185" t="s">
        <v>15</v>
      </c>
      <c r="I1541" s="185" t="s">
        <v>15</v>
      </c>
      <c r="J1541" s="135" t="s">
        <v>1450</v>
      </c>
      <c r="K1541" s="186">
        <v>768</v>
      </c>
      <c r="L1541" s="187" t="s">
        <v>173</v>
      </c>
      <c r="M1541" s="187" t="s">
        <v>175</v>
      </c>
    </row>
    <row r="1542" spans="1:13" s="188" customFormat="1">
      <c r="A1542" s="185" t="s">
        <v>1447</v>
      </c>
      <c r="B1542" s="133" t="s">
        <v>4728</v>
      </c>
      <c r="C1542" s="185" t="s">
        <v>3023</v>
      </c>
      <c r="D1542" s="133" t="s">
        <v>1607</v>
      </c>
      <c r="E1542" s="134">
        <v>1</v>
      </c>
      <c r="F1542" s="135" t="s">
        <v>1449</v>
      </c>
      <c r="G1542" s="185" t="s">
        <v>15</v>
      </c>
      <c r="H1542" s="185" t="s">
        <v>15</v>
      </c>
      <c r="I1542" s="185" t="s">
        <v>15</v>
      </c>
      <c r="J1542" s="135" t="s">
        <v>1450</v>
      </c>
      <c r="K1542" s="186">
        <v>300</v>
      </c>
      <c r="L1542" s="187" t="s">
        <v>173</v>
      </c>
      <c r="M1542" s="187" t="s">
        <v>175</v>
      </c>
    </row>
    <row r="1543" spans="1:13" s="188" customFormat="1">
      <c r="A1543" s="185" t="s">
        <v>1447</v>
      </c>
      <c r="B1543" s="133" t="s">
        <v>4729</v>
      </c>
      <c r="C1543" s="185" t="s">
        <v>3023</v>
      </c>
      <c r="D1543" s="133" t="s">
        <v>1607</v>
      </c>
      <c r="E1543" s="134">
        <v>1</v>
      </c>
      <c r="F1543" s="135" t="s">
        <v>1449</v>
      </c>
      <c r="G1543" s="185" t="s">
        <v>15</v>
      </c>
      <c r="H1543" s="185" t="s">
        <v>15</v>
      </c>
      <c r="I1543" s="185" t="s">
        <v>15</v>
      </c>
      <c r="J1543" s="135" t="s">
        <v>1450</v>
      </c>
      <c r="K1543" s="186">
        <v>132</v>
      </c>
      <c r="L1543" s="187" t="s">
        <v>173</v>
      </c>
      <c r="M1543" s="187" t="s">
        <v>175</v>
      </c>
    </row>
    <row r="1544" spans="1:13" s="188" customFormat="1">
      <c r="A1544" s="185" t="s">
        <v>1447</v>
      </c>
      <c r="B1544" s="133" t="s">
        <v>4730</v>
      </c>
      <c r="C1544" s="185" t="s">
        <v>3023</v>
      </c>
      <c r="D1544" s="133" t="s">
        <v>1607</v>
      </c>
      <c r="E1544" s="134">
        <v>1</v>
      </c>
      <c r="F1544" s="135" t="s">
        <v>1449</v>
      </c>
      <c r="G1544" s="185" t="s">
        <v>15</v>
      </c>
      <c r="H1544" s="185" t="s">
        <v>15</v>
      </c>
      <c r="I1544" s="185" t="s">
        <v>15</v>
      </c>
      <c r="J1544" s="135" t="s">
        <v>1450</v>
      </c>
      <c r="K1544" s="186">
        <v>87.12</v>
      </c>
      <c r="L1544" s="187" t="s">
        <v>173</v>
      </c>
      <c r="M1544" s="187" t="s">
        <v>175</v>
      </c>
    </row>
    <row r="1545" spans="1:13" s="188" customFormat="1">
      <c r="A1545" s="185" t="s">
        <v>1447</v>
      </c>
      <c r="B1545" s="133" t="s">
        <v>4731</v>
      </c>
      <c r="C1545" s="185" t="s">
        <v>3023</v>
      </c>
      <c r="D1545" s="133" t="s">
        <v>1607</v>
      </c>
      <c r="E1545" s="134">
        <v>1</v>
      </c>
      <c r="F1545" s="135" t="s">
        <v>1449</v>
      </c>
      <c r="G1545" s="185" t="s">
        <v>15</v>
      </c>
      <c r="H1545" s="185" t="s">
        <v>15</v>
      </c>
      <c r="I1545" s="185" t="s">
        <v>15</v>
      </c>
      <c r="J1545" s="135" t="s">
        <v>1450</v>
      </c>
      <c r="K1545" s="186">
        <v>74.760000000000005</v>
      </c>
      <c r="L1545" s="187" t="s">
        <v>173</v>
      </c>
      <c r="M1545" s="187" t="s">
        <v>175</v>
      </c>
    </row>
    <row r="1546" spans="1:13" s="188" customFormat="1">
      <c r="A1546" s="185" t="s">
        <v>1447</v>
      </c>
      <c r="B1546" s="133" t="s">
        <v>4732</v>
      </c>
      <c r="C1546" s="185" t="s">
        <v>3023</v>
      </c>
      <c r="D1546" s="133" t="s">
        <v>1608</v>
      </c>
      <c r="E1546" s="134">
        <v>1</v>
      </c>
      <c r="F1546" s="135" t="s">
        <v>1449</v>
      </c>
      <c r="G1546" s="185" t="s">
        <v>15</v>
      </c>
      <c r="H1546" s="185" t="s">
        <v>15</v>
      </c>
      <c r="I1546" s="185" t="s">
        <v>15</v>
      </c>
      <c r="J1546" s="135" t="s">
        <v>1450</v>
      </c>
      <c r="K1546" s="186">
        <v>2124</v>
      </c>
      <c r="L1546" s="187" t="s">
        <v>173</v>
      </c>
      <c r="M1546" s="187" t="s">
        <v>175</v>
      </c>
    </row>
    <row r="1547" spans="1:13" s="188" customFormat="1">
      <c r="A1547" s="185" t="s">
        <v>1447</v>
      </c>
      <c r="B1547" s="133" t="s">
        <v>4733</v>
      </c>
      <c r="C1547" s="185" t="s">
        <v>3023</v>
      </c>
      <c r="D1547" s="133" t="s">
        <v>1608</v>
      </c>
      <c r="E1547" s="134">
        <v>1</v>
      </c>
      <c r="F1547" s="135" t="s">
        <v>1449</v>
      </c>
      <c r="G1547" s="185" t="s">
        <v>15</v>
      </c>
      <c r="H1547" s="185" t="s">
        <v>15</v>
      </c>
      <c r="I1547" s="185" t="s">
        <v>15</v>
      </c>
      <c r="J1547" s="135" t="s">
        <v>1450</v>
      </c>
      <c r="K1547" s="186">
        <v>1248</v>
      </c>
      <c r="L1547" s="187" t="s">
        <v>173</v>
      </c>
      <c r="M1547" s="187" t="s">
        <v>175</v>
      </c>
    </row>
    <row r="1548" spans="1:13" s="188" customFormat="1">
      <c r="A1548" s="185" t="s">
        <v>1447</v>
      </c>
      <c r="B1548" s="133" t="s">
        <v>4734</v>
      </c>
      <c r="C1548" s="185" t="s">
        <v>3023</v>
      </c>
      <c r="D1548" s="133" t="s">
        <v>1608</v>
      </c>
      <c r="E1548" s="134">
        <v>1</v>
      </c>
      <c r="F1548" s="135" t="s">
        <v>1449</v>
      </c>
      <c r="G1548" s="185" t="s">
        <v>15</v>
      </c>
      <c r="H1548" s="185" t="s">
        <v>15</v>
      </c>
      <c r="I1548" s="185" t="s">
        <v>15</v>
      </c>
      <c r="J1548" s="135" t="s">
        <v>1450</v>
      </c>
      <c r="K1548" s="186">
        <v>840</v>
      </c>
      <c r="L1548" s="187" t="s">
        <v>173</v>
      </c>
      <c r="M1548" s="187" t="s">
        <v>175</v>
      </c>
    </row>
    <row r="1549" spans="1:13" s="188" customFormat="1">
      <c r="A1549" s="185" t="s">
        <v>1447</v>
      </c>
      <c r="B1549" s="133" t="s">
        <v>4735</v>
      </c>
      <c r="C1549" s="185" t="s">
        <v>3023</v>
      </c>
      <c r="D1549" s="133" t="s">
        <v>1610</v>
      </c>
      <c r="E1549" s="134">
        <v>1</v>
      </c>
      <c r="F1549" s="135" t="s">
        <v>1449</v>
      </c>
      <c r="G1549" s="185" t="s">
        <v>15</v>
      </c>
      <c r="H1549" s="185" t="s">
        <v>15</v>
      </c>
      <c r="I1549" s="185" t="s">
        <v>15</v>
      </c>
      <c r="J1549" s="135" t="s">
        <v>1450</v>
      </c>
      <c r="K1549" s="186">
        <v>74712</v>
      </c>
      <c r="L1549" s="187" t="s">
        <v>173</v>
      </c>
      <c r="M1549" s="187" t="s">
        <v>175</v>
      </c>
    </row>
    <row r="1550" spans="1:13" s="188" customFormat="1">
      <c r="A1550" s="185" t="s">
        <v>1447</v>
      </c>
      <c r="B1550" s="133" t="s">
        <v>4736</v>
      </c>
      <c r="C1550" s="185" t="s">
        <v>3023</v>
      </c>
      <c r="D1550" s="133" t="s">
        <v>1611</v>
      </c>
      <c r="E1550" s="134">
        <v>1</v>
      </c>
      <c r="F1550" s="135" t="s">
        <v>1449</v>
      </c>
      <c r="G1550" s="185" t="s">
        <v>15</v>
      </c>
      <c r="H1550" s="185" t="s">
        <v>15</v>
      </c>
      <c r="I1550" s="185" t="s">
        <v>15</v>
      </c>
      <c r="J1550" s="135" t="s">
        <v>1450</v>
      </c>
      <c r="K1550" s="186">
        <v>24900</v>
      </c>
      <c r="L1550" s="187" t="s">
        <v>173</v>
      </c>
      <c r="M1550" s="187" t="s">
        <v>175</v>
      </c>
    </row>
    <row r="1551" spans="1:13" s="188" customFormat="1">
      <c r="A1551" s="185" t="s">
        <v>1447</v>
      </c>
      <c r="B1551" s="133" t="s">
        <v>4737</v>
      </c>
      <c r="C1551" s="185" t="s">
        <v>3023</v>
      </c>
      <c r="D1551" s="133" t="s">
        <v>1613</v>
      </c>
      <c r="E1551" s="134">
        <v>1</v>
      </c>
      <c r="F1551" s="135" t="s">
        <v>1449</v>
      </c>
      <c r="G1551" s="185" t="s">
        <v>15</v>
      </c>
      <c r="H1551" s="185" t="s">
        <v>15</v>
      </c>
      <c r="I1551" s="185" t="s">
        <v>15</v>
      </c>
      <c r="J1551" s="135" t="s">
        <v>1450</v>
      </c>
      <c r="K1551" s="186">
        <v>588</v>
      </c>
      <c r="L1551" s="187" t="s">
        <v>173</v>
      </c>
      <c r="M1551" s="187" t="s">
        <v>175</v>
      </c>
    </row>
    <row r="1552" spans="1:13" s="188" customFormat="1">
      <c r="A1552" s="185" t="s">
        <v>1447</v>
      </c>
      <c r="B1552" s="133" t="s">
        <v>4738</v>
      </c>
      <c r="C1552" s="185" t="s">
        <v>3023</v>
      </c>
      <c r="D1552" s="133" t="s">
        <v>1613</v>
      </c>
      <c r="E1552" s="134">
        <v>1</v>
      </c>
      <c r="F1552" s="135" t="s">
        <v>1449</v>
      </c>
      <c r="G1552" s="185" t="s">
        <v>15</v>
      </c>
      <c r="H1552" s="185" t="s">
        <v>15</v>
      </c>
      <c r="I1552" s="185" t="s">
        <v>15</v>
      </c>
      <c r="J1552" s="135" t="s">
        <v>1450</v>
      </c>
      <c r="K1552" s="186">
        <v>408</v>
      </c>
      <c r="L1552" s="187" t="s">
        <v>173</v>
      </c>
      <c r="M1552" s="187" t="s">
        <v>175</v>
      </c>
    </row>
    <row r="1553" spans="1:13" s="188" customFormat="1">
      <c r="A1553" s="185" t="s">
        <v>1447</v>
      </c>
      <c r="B1553" s="133" t="s">
        <v>4739</v>
      </c>
      <c r="C1553" s="185" t="s">
        <v>3023</v>
      </c>
      <c r="D1553" s="133" t="s">
        <v>1613</v>
      </c>
      <c r="E1553" s="134">
        <v>1</v>
      </c>
      <c r="F1553" s="135" t="s">
        <v>1449</v>
      </c>
      <c r="G1553" s="185" t="s">
        <v>15</v>
      </c>
      <c r="H1553" s="185" t="s">
        <v>15</v>
      </c>
      <c r="I1553" s="185" t="s">
        <v>15</v>
      </c>
      <c r="J1553" s="135" t="s">
        <v>1450</v>
      </c>
      <c r="K1553" s="186">
        <v>288</v>
      </c>
      <c r="L1553" s="187" t="s">
        <v>173</v>
      </c>
      <c r="M1553" s="187" t="s">
        <v>175</v>
      </c>
    </row>
    <row r="1554" spans="1:13" s="188" customFormat="1">
      <c r="A1554" s="185" t="s">
        <v>1447</v>
      </c>
      <c r="B1554" s="133" t="s">
        <v>4740</v>
      </c>
      <c r="C1554" s="185" t="s">
        <v>3023</v>
      </c>
      <c r="D1554" s="133" t="s">
        <v>1613</v>
      </c>
      <c r="E1554" s="134">
        <v>1</v>
      </c>
      <c r="F1554" s="135" t="s">
        <v>1449</v>
      </c>
      <c r="G1554" s="185" t="s">
        <v>15</v>
      </c>
      <c r="H1554" s="185" t="s">
        <v>15</v>
      </c>
      <c r="I1554" s="185" t="s">
        <v>15</v>
      </c>
      <c r="J1554" s="135" t="s">
        <v>1450</v>
      </c>
      <c r="K1554" s="186">
        <v>216</v>
      </c>
      <c r="L1554" s="187" t="s">
        <v>173</v>
      </c>
      <c r="M1554" s="187" t="s">
        <v>175</v>
      </c>
    </row>
    <row r="1555" spans="1:13" s="188" customFormat="1">
      <c r="A1555" s="185" t="s">
        <v>1447</v>
      </c>
      <c r="B1555" s="133" t="s">
        <v>4741</v>
      </c>
      <c r="C1555" s="185" t="s">
        <v>3023</v>
      </c>
      <c r="D1555" s="133" t="s">
        <v>1613</v>
      </c>
      <c r="E1555" s="134">
        <v>1</v>
      </c>
      <c r="F1555" s="135" t="s">
        <v>1449</v>
      </c>
      <c r="G1555" s="185" t="s">
        <v>15</v>
      </c>
      <c r="H1555" s="185" t="s">
        <v>15</v>
      </c>
      <c r="I1555" s="185" t="s">
        <v>15</v>
      </c>
      <c r="J1555" s="135" t="s">
        <v>1450</v>
      </c>
      <c r="K1555" s="186">
        <v>156</v>
      </c>
      <c r="L1555" s="187" t="s">
        <v>173</v>
      </c>
      <c r="M1555" s="187" t="s">
        <v>175</v>
      </c>
    </row>
    <row r="1556" spans="1:13" s="188" customFormat="1">
      <c r="A1556" s="185" t="s">
        <v>1447</v>
      </c>
      <c r="B1556" s="133" t="s">
        <v>4742</v>
      </c>
      <c r="C1556" s="185" t="s">
        <v>3023</v>
      </c>
      <c r="D1556" s="133" t="s">
        <v>1613</v>
      </c>
      <c r="E1556" s="134">
        <v>1</v>
      </c>
      <c r="F1556" s="135" t="s">
        <v>1449</v>
      </c>
      <c r="G1556" s="185" t="s">
        <v>15</v>
      </c>
      <c r="H1556" s="185" t="s">
        <v>15</v>
      </c>
      <c r="I1556" s="185" t="s">
        <v>15</v>
      </c>
      <c r="J1556" s="135" t="s">
        <v>1450</v>
      </c>
      <c r="K1556" s="186">
        <v>120</v>
      </c>
      <c r="L1556" s="187" t="s">
        <v>173</v>
      </c>
      <c r="M1556" s="187" t="s">
        <v>175</v>
      </c>
    </row>
    <row r="1557" spans="1:13" s="188" customFormat="1">
      <c r="A1557" s="185" t="s">
        <v>1447</v>
      </c>
      <c r="B1557" s="133" t="s">
        <v>4743</v>
      </c>
      <c r="C1557" s="185" t="s">
        <v>3023</v>
      </c>
      <c r="D1557" s="133" t="s">
        <v>1614</v>
      </c>
      <c r="E1557" s="134">
        <v>1</v>
      </c>
      <c r="F1557" s="135" t="s">
        <v>1449</v>
      </c>
      <c r="G1557" s="185" t="s">
        <v>15</v>
      </c>
      <c r="H1557" s="185" t="s">
        <v>15</v>
      </c>
      <c r="I1557" s="185" t="s">
        <v>15</v>
      </c>
      <c r="J1557" s="135" t="s">
        <v>1450</v>
      </c>
      <c r="K1557" s="186">
        <v>1680</v>
      </c>
      <c r="L1557" s="187" t="s">
        <v>173</v>
      </c>
      <c r="M1557" s="187" t="s">
        <v>175</v>
      </c>
    </row>
    <row r="1558" spans="1:13" s="188" customFormat="1">
      <c r="A1558" s="185" t="s">
        <v>1447</v>
      </c>
      <c r="B1558" s="133" t="s">
        <v>4744</v>
      </c>
      <c r="C1558" s="185" t="s">
        <v>3023</v>
      </c>
      <c r="D1558" s="133" t="s">
        <v>1614</v>
      </c>
      <c r="E1558" s="134">
        <v>1</v>
      </c>
      <c r="F1558" s="135" t="s">
        <v>1449</v>
      </c>
      <c r="G1558" s="185" t="s">
        <v>15</v>
      </c>
      <c r="H1558" s="185" t="s">
        <v>15</v>
      </c>
      <c r="I1558" s="185" t="s">
        <v>15</v>
      </c>
      <c r="J1558" s="135" t="s">
        <v>1450</v>
      </c>
      <c r="K1558" s="186">
        <v>1344</v>
      </c>
      <c r="L1558" s="187" t="s">
        <v>173</v>
      </c>
      <c r="M1558" s="187" t="s">
        <v>175</v>
      </c>
    </row>
    <row r="1559" spans="1:13" s="188" customFormat="1">
      <c r="A1559" s="185" t="s">
        <v>1447</v>
      </c>
      <c r="B1559" s="133" t="s">
        <v>4745</v>
      </c>
      <c r="C1559" s="185" t="s">
        <v>3023</v>
      </c>
      <c r="D1559" s="133" t="s">
        <v>1614</v>
      </c>
      <c r="E1559" s="134">
        <v>1</v>
      </c>
      <c r="F1559" s="135" t="s">
        <v>1449</v>
      </c>
      <c r="G1559" s="185" t="s">
        <v>15</v>
      </c>
      <c r="H1559" s="185" t="s">
        <v>15</v>
      </c>
      <c r="I1559" s="185" t="s">
        <v>15</v>
      </c>
      <c r="J1559" s="135" t="s">
        <v>1450</v>
      </c>
      <c r="K1559" s="186">
        <v>1140</v>
      </c>
      <c r="L1559" s="187" t="s">
        <v>173</v>
      </c>
      <c r="M1559" s="187" t="s">
        <v>175</v>
      </c>
    </row>
    <row r="1560" spans="1:13" s="188" customFormat="1">
      <c r="A1560" s="185" t="s">
        <v>1447</v>
      </c>
      <c r="B1560" s="133" t="s">
        <v>4746</v>
      </c>
      <c r="C1560" s="185" t="s">
        <v>3023</v>
      </c>
      <c r="D1560" s="133" t="s">
        <v>1614</v>
      </c>
      <c r="E1560" s="134">
        <v>1</v>
      </c>
      <c r="F1560" s="135" t="s">
        <v>1449</v>
      </c>
      <c r="G1560" s="185" t="s">
        <v>15</v>
      </c>
      <c r="H1560" s="185" t="s">
        <v>15</v>
      </c>
      <c r="I1560" s="185" t="s">
        <v>15</v>
      </c>
      <c r="J1560" s="135" t="s">
        <v>1450</v>
      </c>
      <c r="K1560" s="186">
        <v>936</v>
      </c>
      <c r="L1560" s="187" t="s">
        <v>173</v>
      </c>
      <c r="M1560" s="187" t="s">
        <v>175</v>
      </c>
    </row>
    <row r="1561" spans="1:13" s="188" customFormat="1">
      <c r="A1561" s="185" t="s">
        <v>1447</v>
      </c>
      <c r="B1561" s="133" t="s">
        <v>4747</v>
      </c>
      <c r="C1561" s="185" t="s">
        <v>3023</v>
      </c>
      <c r="D1561" s="133" t="s">
        <v>1614</v>
      </c>
      <c r="E1561" s="134">
        <v>1</v>
      </c>
      <c r="F1561" s="135" t="s">
        <v>1449</v>
      </c>
      <c r="G1561" s="185" t="s">
        <v>15</v>
      </c>
      <c r="H1561" s="185" t="s">
        <v>15</v>
      </c>
      <c r="I1561" s="185" t="s">
        <v>15</v>
      </c>
      <c r="J1561" s="135" t="s">
        <v>1450</v>
      </c>
      <c r="K1561" s="186">
        <v>720</v>
      </c>
      <c r="L1561" s="187" t="s">
        <v>173</v>
      </c>
      <c r="M1561" s="187" t="s">
        <v>175</v>
      </c>
    </row>
    <row r="1562" spans="1:13" s="188" customFormat="1">
      <c r="A1562" s="185" t="s">
        <v>1447</v>
      </c>
      <c r="B1562" s="133" t="s">
        <v>4748</v>
      </c>
      <c r="C1562" s="185" t="s">
        <v>3023</v>
      </c>
      <c r="D1562" s="133" t="s">
        <v>1614</v>
      </c>
      <c r="E1562" s="134">
        <v>1</v>
      </c>
      <c r="F1562" s="135" t="s">
        <v>1449</v>
      </c>
      <c r="G1562" s="185" t="s">
        <v>15</v>
      </c>
      <c r="H1562" s="185" t="s">
        <v>15</v>
      </c>
      <c r="I1562" s="185" t="s">
        <v>15</v>
      </c>
      <c r="J1562" s="135" t="s">
        <v>1450</v>
      </c>
      <c r="K1562" s="186">
        <v>540</v>
      </c>
      <c r="L1562" s="187" t="s">
        <v>173</v>
      </c>
      <c r="M1562" s="187" t="s">
        <v>175</v>
      </c>
    </row>
    <row r="1563" spans="1:13" s="188" customFormat="1">
      <c r="A1563" s="185" t="s">
        <v>1447</v>
      </c>
      <c r="B1563" s="133" t="s">
        <v>4749</v>
      </c>
      <c r="C1563" s="185" t="s">
        <v>3023</v>
      </c>
      <c r="D1563" s="133" t="s">
        <v>1615</v>
      </c>
      <c r="E1563" s="134">
        <v>1</v>
      </c>
      <c r="F1563" s="135" t="s">
        <v>1449</v>
      </c>
      <c r="G1563" s="185" t="s">
        <v>15</v>
      </c>
      <c r="H1563" s="185" t="s">
        <v>15</v>
      </c>
      <c r="I1563" s="185" t="s">
        <v>15</v>
      </c>
      <c r="J1563" s="135" t="s">
        <v>1450</v>
      </c>
      <c r="K1563" s="186">
        <v>360</v>
      </c>
      <c r="L1563" s="187" t="s">
        <v>173</v>
      </c>
      <c r="M1563" s="187" t="s">
        <v>175</v>
      </c>
    </row>
    <row r="1564" spans="1:13" s="188" customFormat="1">
      <c r="A1564" s="185" t="s">
        <v>1447</v>
      </c>
      <c r="B1564" s="133" t="s">
        <v>4750</v>
      </c>
      <c r="C1564" s="185" t="s">
        <v>3023</v>
      </c>
      <c r="D1564" s="133" t="s">
        <v>1615</v>
      </c>
      <c r="E1564" s="134">
        <v>1</v>
      </c>
      <c r="F1564" s="135" t="s">
        <v>1449</v>
      </c>
      <c r="G1564" s="185" t="s">
        <v>15</v>
      </c>
      <c r="H1564" s="185" t="s">
        <v>15</v>
      </c>
      <c r="I1564" s="185" t="s">
        <v>15</v>
      </c>
      <c r="J1564" s="135" t="s">
        <v>1450</v>
      </c>
      <c r="K1564" s="186">
        <v>240</v>
      </c>
      <c r="L1564" s="187" t="s">
        <v>173</v>
      </c>
      <c r="M1564" s="187" t="s">
        <v>175</v>
      </c>
    </row>
    <row r="1565" spans="1:13" s="188" customFormat="1">
      <c r="A1565" s="185" t="s">
        <v>1447</v>
      </c>
      <c r="B1565" s="133" t="s">
        <v>4751</v>
      </c>
      <c r="C1565" s="185" t="s">
        <v>3023</v>
      </c>
      <c r="D1565" s="133" t="s">
        <v>1615</v>
      </c>
      <c r="E1565" s="134">
        <v>1</v>
      </c>
      <c r="F1565" s="135" t="s">
        <v>1449</v>
      </c>
      <c r="G1565" s="185" t="s">
        <v>15</v>
      </c>
      <c r="H1565" s="185" t="s">
        <v>15</v>
      </c>
      <c r="I1565" s="185" t="s">
        <v>15</v>
      </c>
      <c r="J1565" s="135" t="s">
        <v>1450</v>
      </c>
      <c r="K1565" s="186">
        <v>192</v>
      </c>
      <c r="L1565" s="187" t="s">
        <v>173</v>
      </c>
      <c r="M1565" s="187" t="s">
        <v>175</v>
      </c>
    </row>
    <row r="1566" spans="1:13" s="188" customFormat="1">
      <c r="A1566" s="185" t="s">
        <v>1447</v>
      </c>
      <c r="B1566" s="133" t="s">
        <v>4752</v>
      </c>
      <c r="C1566" s="185" t="s">
        <v>3023</v>
      </c>
      <c r="D1566" s="133" t="s">
        <v>1615</v>
      </c>
      <c r="E1566" s="134">
        <v>1</v>
      </c>
      <c r="F1566" s="135" t="s">
        <v>1449</v>
      </c>
      <c r="G1566" s="185" t="s">
        <v>15</v>
      </c>
      <c r="H1566" s="185" t="s">
        <v>15</v>
      </c>
      <c r="I1566" s="185" t="s">
        <v>15</v>
      </c>
      <c r="J1566" s="135" t="s">
        <v>1450</v>
      </c>
      <c r="K1566" s="186">
        <v>112.08</v>
      </c>
      <c r="L1566" s="187" t="s">
        <v>173</v>
      </c>
      <c r="M1566" s="187" t="s">
        <v>175</v>
      </c>
    </row>
    <row r="1567" spans="1:13" s="188" customFormat="1">
      <c r="A1567" s="185" t="s">
        <v>1447</v>
      </c>
      <c r="B1567" s="133" t="s">
        <v>4753</v>
      </c>
      <c r="C1567" s="185" t="s">
        <v>3023</v>
      </c>
      <c r="D1567" s="133" t="s">
        <v>1615</v>
      </c>
      <c r="E1567" s="134">
        <v>1</v>
      </c>
      <c r="F1567" s="135" t="s">
        <v>1449</v>
      </c>
      <c r="G1567" s="185" t="s">
        <v>15</v>
      </c>
      <c r="H1567" s="185" t="s">
        <v>15</v>
      </c>
      <c r="I1567" s="185" t="s">
        <v>15</v>
      </c>
      <c r="J1567" s="135" t="s">
        <v>1450</v>
      </c>
      <c r="K1567" s="186">
        <v>62.28</v>
      </c>
      <c r="L1567" s="187" t="s">
        <v>173</v>
      </c>
      <c r="M1567" s="187" t="s">
        <v>175</v>
      </c>
    </row>
    <row r="1568" spans="1:13" s="188" customFormat="1">
      <c r="A1568" s="185" t="s">
        <v>1447</v>
      </c>
      <c r="B1568" s="133" t="s">
        <v>4754</v>
      </c>
      <c r="C1568" s="185" t="s">
        <v>3023</v>
      </c>
      <c r="D1568" s="133" t="s">
        <v>1616</v>
      </c>
      <c r="E1568" s="134">
        <v>1</v>
      </c>
      <c r="F1568" s="135" t="s">
        <v>1449</v>
      </c>
      <c r="G1568" s="185" t="s">
        <v>15</v>
      </c>
      <c r="H1568" s="185" t="s">
        <v>15</v>
      </c>
      <c r="I1568" s="185" t="s">
        <v>15</v>
      </c>
      <c r="J1568" s="135" t="s">
        <v>1450</v>
      </c>
      <c r="K1568" s="186">
        <v>2736</v>
      </c>
      <c r="L1568" s="187" t="s">
        <v>173</v>
      </c>
      <c r="M1568" s="187" t="s">
        <v>175</v>
      </c>
    </row>
    <row r="1569" spans="1:13" s="188" customFormat="1">
      <c r="A1569" s="185" t="s">
        <v>1447</v>
      </c>
      <c r="B1569" s="133" t="s">
        <v>4755</v>
      </c>
      <c r="C1569" s="185" t="s">
        <v>3023</v>
      </c>
      <c r="D1569" s="133" t="s">
        <v>1616</v>
      </c>
      <c r="E1569" s="134">
        <v>1</v>
      </c>
      <c r="F1569" s="135" t="s">
        <v>1449</v>
      </c>
      <c r="G1569" s="185" t="s">
        <v>15</v>
      </c>
      <c r="H1569" s="185" t="s">
        <v>15</v>
      </c>
      <c r="I1569" s="185" t="s">
        <v>15</v>
      </c>
      <c r="J1569" s="135" t="s">
        <v>1450</v>
      </c>
      <c r="K1569" s="186">
        <v>2424</v>
      </c>
      <c r="L1569" s="187" t="s">
        <v>173</v>
      </c>
      <c r="M1569" s="187" t="s">
        <v>175</v>
      </c>
    </row>
    <row r="1570" spans="1:13" s="188" customFormat="1">
      <c r="A1570" s="185" t="s">
        <v>1447</v>
      </c>
      <c r="B1570" s="133" t="s">
        <v>4756</v>
      </c>
      <c r="C1570" s="185" t="s">
        <v>3023</v>
      </c>
      <c r="D1570" s="133" t="s">
        <v>1616</v>
      </c>
      <c r="E1570" s="134">
        <v>1</v>
      </c>
      <c r="F1570" s="135" t="s">
        <v>1449</v>
      </c>
      <c r="G1570" s="185" t="s">
        <v>15</v>
      </c>
      <c r="H1570" s="185" t="s">
        <v>15</v>
      </c>
      <c r="I1570" s="185" t="s">
        <v>15</v>
      </c>
      <c r="J1570" s="135" t="s">
        <v>1450</v>
      </c>
      <c r="K1570" s="186">
        <v>1800</v>
      </c>
      <c r="L1570" s="187" t="s">
        <v>173</v>
      </c>
      <c r="M1570" s="187" t="s">
        <v>175</v>
      </c>
    </row>
    <row r="1571" spans="1:13" s="188" customFormat="1">
      <c r="A1571" s="185" t="s">
        <v>1447</v>
      </c>
      <c r="B1571" s="133" t="s">
        <v>4757</v>
      </c>
      <c r="C1571" s="185" t="s">
        <v>3023</v>
      </c>
      <c r="D1571" s="133" t="s">
        <v>1616</v>
      </c>
      <c r="E1571" s="134">
        <v>1</v>
      </c>
      <c r="F1571" s="135" t="s">
        <v>1449</v>
      </c>
      <c r="G1571" s="185" t="s">
        <v>15</v>
      </c>
      <c r="H1571" s="185" t="s">
        <v>15</v>
      </c>
      <c r="I1571" s="185" t="s">
        <v>15</v>
      </c>
      <c r="J1571" s="135" t="s">
        <v>1450</v>
      </c>
      <c r="K1571" s="186">
        <v>1368</v>
      </c>
      <c r="L1571" s="187" t="s">
        <v>173</v>
      </c>
      <c r="M1571" s="187" t="s">
        <v>175</v>
      </c>
    </row>
    <row r="1572" spans="1:13" s="188" customFormat="1">
      <c r="A1572" s="185" t="s">
        <v>1447</v>
      </c>
      <c r="B1572" s="133" t="s">
        <v>4758</v>
      </c>
      <c r="C1572" s="185" t="s">
        <v>3023</v>
      </c>
      <c r="D1572" s="133" t="s">
        <v>1616</v>
      </c>
      <c r="E1572" s="134">
        <v>1</v>
      </c>
      <c r="F1572" s="135" t="s">
        <v>1449</v>
      </c>
      <c r="G1572" s="185" t="s">
        <v>15</v>
      </c>
      <c r="H1572" s="185" t="s">
        <v>15</v>
      </c>
      <c r="I1572" s="185" t="s">
        <v>15</v>
      </c>
      <c r="J1572" s="135" t="s">
        <v>1450</v>
      </c>
      <c r="K1572" s="186">
        <v>1188</v>
      </c>
      <c r="L1572" s="187" t="s">
        <v>173</v>
      </c>
      <c r="M1572" s="187" t="s">
        <v>175</v>
      </c>
    </row>
    <row r="1573" spans="1:13" s="188" customFormat="1">
      <c r="A1573" s="185" t="s">
        <v>1447</v>
      </c>
      <c r="B1573" s="133" t="s">
        <v>4759</v>
      </c>
      <c r="C1573" s="185" t="s">
        <v>3023</v>
      </c>
      <c r="D1573" s="133" t="s">
        <v>1617</v>
      </c>
      <c r="E1573" s="134">
        <v>1</v>
      </c>
      <c r="F1573" s="135" t="s">
        <v>1449</v>
      </c>
      <c r="G1573" s="185" t="s">
        <v>15</v>
      </c>
      <c r="H1573" s="185" t="s">
        <v>15</v>
      </c>
      <c r="I1573" s="185" t="s">
        <v>15</v>
      </c>
      <c r="J1573" s="135" t="s">
        <v>1450</v>
      </c>
      <c r="K1573" s="186">
        <v>7224</v>
      </c>
      <c r="L1573" s="187" t="s">
        <v>173</v>
      </c>
      <c r="M1573" s="187" t="s">
        <v>175</v>
      </c>
    </row>
    <row r="1574" spans="1:13" s="188" customFormat="1">
      <c r="A1574" s="185" t="s">
        <v>1447</v>
      </c>
      <c r="B1574" s="133" t="s">
        <v>4760</v>
      </c>
      <c r="C1574" s="185" t="s">
        <v>3023</v>
      </c>
      <c r="D1574" s="133" t="s">
        <v>4761</v>
      </c>
      <c r="E1574" s="134">
        <v>1</v>
      </c>
      <c r="F1574" s="135" t="s">
        <v>1449</v>
      </c>
      <c r="G1574" s="185" t="s">
        <v>15</v>
      </c>
      <c r="H1574" s="185" t="s">
        <v>15</v>
      </c>
      <c r="I1574" s="185" t="s">
        <v>15</v>
      </c>
      <c r="J1574" s="135" t="s">
        <v>1450</v>
      </c>
      <c r="K1574" s="186">
        <v>4980</v>
      </c>
      <c r="L1574" s="187" t="s">
        <v>173</v>
      </c>
      <c r="M1574" s="187" t="s">
        <v>175</v>
      </c>
    </row>
    <row r="1575" spans="1:13" s="188" customFormat="1">
      <c r="A1575" s="185" t="s">
        <v>1447</v>
      </c>
      <c r="B1575" s="133" t="s">
        <v>4762</v>
      </c>
      <c r="C1575" s="185" t="s">
        <v>3023</v>
      </c>
      <c r="D1575" s="133" t="s">
        <v>4761</v>
      </c>
      <c r="E1575" s="134">
        <v>1</v>
      </c>
      <c r="F1575" s="135" t="s">
        <v>1449</v>
      </c>
      <c r="G1575" s="185" t="s">
        <v>15</v>
      </c>
      <c r="H1575" s="185" t="s">
        <v>15</v>
      </c>
      <c r="I1575" s="185" t="s">
        <v>15</v>
      </c>
      <c r="J1575" s="135" t="s">
        <v>1450</v>
      </c>
      <c r="K1575" s="186">
        <v>3108</v>
      </c>
      <c r="L1575" s="187" t="s">
        <v>173</v>
      </c>
      <c r="M1575" s="187" t="s">
        <v>175</v>
      </c>
    </row>
    <row r="1576" spans="1:13" s="188" customFormat="1">
      <c r="A1576" s="185" t="s">
        <v>1447</v>
      </c>
      <c r="B1576" s="133" t="s">
        <v>4763</v>
      </c>
      <c r="C1576" s="185" t="s">
        <v>3023</v>
      </c>
      <c r="D1576" s="133" t="s">
        <v>4761</v>
      </c>
      <c r="E1576" s="134">
        <v>1</v>
      </c>
      <c r="F1576" s="135" t="s">
        <v>1449</v>
      </c>
      <c r="G1576" s="185" t="s">
        <v>15</v>
      </c>
      <c r="H1576" s="185" t="s">
        <v>15</v>
      </c>
      <c r="I1576" s="185" t="s">
        <v>15</v>
      </c>
      <c r="J1576" s="135" t="s">
        <v>1450</v>
      </c>
      <c r="K1576" s="186">
        <v>1872</v>
      </c>
      <c r="L1576" s="187" t="s">
        <v>173</v>
      </c>
      <c r="M1576" s="187" t="s">
        <v>175</v>
      </c>
    </row>
    <row r="1577" spans="1:13" s="188" customFormat="1">
      <c r="A1577" s="185" t="s">
        <v>1447</v>
      </c>
      <c r="B1577" s="133" t="s">
        <v>4764</v>
      </c>
      <c r="C1577" s="185" t="s">
        <v>3023</v>
      </c>
      <c r="D1577" s="133" t="s">
        <v>4761</v>
      </c>
      <c r="E1577" s="134">
        <v>1</v>
      </c>
      <c r="F1577" s="135" t="s">
        <v>1449</v>
      </c>
      <c r="G1577" s="185" t="s">
        <v>15</v>
      </c>
      <c r="H1577" s="185" t="s">
        <v>15</v>
      </c>
      <c r="I1577" s="185" t="s">
        <v>15</v>
      </c>
      <c r="J1577" s="135" t="s">
        <v>1450</v>
      </c>
      <c r="K1577" s="186">
        <v>1344</v>
      </c>
      <c r="L1577" s="187" t="s">
        <v>173</v>
      </c>
      <c r="M1577" s="187" t="s">
        <v>175</v>
      </c>
    </row>
    <row r="1578" spans="1:13" s="188" customFormat="1">
      <c r="A1578" s="185" t="s">
        <v>1447</v>
      </c>
      <c r="B1578" s="133" t="s">
        <v>4765</v>
      </c>
      <c r="C1578" s="185" t="s">
        <v>3023</v>
      </c>
      <c r="D1578" s="133" t="s">
        <v>4761</v>
      </c>
      <c r="E1578" s="134">
        <v>1</v>
      </c>
      <c r="F1578" s="135" t="s">
        <v>1449</v>
      </c>
      <c r="G1578" s="185" t="s">
        <v>15</v>
      </c>
      <c r="H1578" s="185" t="s">
        <v>15</v>
      </c>
      <c r="I1578" s="185" t="s">
        <v>15</v>
      </c>
      <c r="J1578" s="135" t="s">
        <v>1450</v>
      </c>
      <c r="K1578" s="186">
        <v>1020</v>
      </c>
      <c r="L1578" s="187" t="s">
        <v>173</v>
      </c>
      <c r="M1578" s="187" t="s">
        <v>175</v>
      </c>
    </row>
    <row r="1579" spans="1:13" s="188" customFormat="1">
      <c r="A1579" s="185" t="s">
        <v>1447</v>
      </c>
      <c r="B1579" s="133" t="s">
        <v>4766</v>
      </c>
      <c r="C1579" s="185" t="s">
        <v>3023</v>
      </c>
      <c r="D1579" s="133" t="s">
        <v>1618</v>
      </c>
      <c r="E1579" s="134">
        <v>1</v>
      </c>
      <c r="F1579" s="135" t="s">
        <v>1449</v>
      </c>
      <c r="G1579" s="185" t="s">
        <v>15</v>
      </c>
      <c r="H1579" s="185" t="s">
        <v>15</v>
      </c>
      <c r="I1579" s="185" t="s">
        <v>15</v>
      </c>
      <c r="J1579" s="135" t="s">
        <v>1450</v>
      </c>
      <c r="K1579" s="186">
        <v>622560</v>
      </c>
      <c r="L1579" s="187" t="s">
        <v>173</v>
      </c>
      <c r="M1579" s="187" t="s">
        <v>175</v>
      </c>
    </row>
    <row r="1580" spans="1:13" s="188" customFormat="1">
      <c r="A1580" s="185" t="s">
        <v>1447</v>
      </c>
      <c r="B1580" s="133" t="s">
        <v>4767</v>
      </c>
      <c r="C1580" s="185" t="s">
        <v>3023</v>
      </c>
      <c r="D1580" s="133" t="s">
        <v>1619</v>
      </c>
      <c r="E1580" s="134">
        <v>1</v>
      </c>
      <c r="F1580" s="135" t="s">
        <v>1449</v>
      </c>
      <c r="G1580" s="185" t="s">
        <v>15</v>
      </c>
      <c r="H1580" s="185" t="s">
        <v>15</v>
      </c>
      <c r="I1580" s="185" t="s">
        <v>15</v>
      </c>
      <c r="J1580" s="135" t="s">
        <v>1450</v>
      </c>
      <c r="K1580" s="186">
        <v>1740</v>
      </c>
      <c r="L1580" s="187" t="s">
        <v>173</v>
      </c>
      <c r="M1580" s="187" t="s">
        <v>175</v>
      </c>
    </row>
    <row r="1581" spans="1:13" s="188" customFormat="1">
      <c r="A1581" s="185" t="s">
        <v>1447</v>
      </c>
      <c r="B1581" s="133" t="s">
        <v>4768</v>
      </c>
      <c r="C1581" s="185" t="s">
        <v>3023</v>
      </c>
      <c r="D1581" s="133" t="s">
        <v>1619</v>
      </c>
      <c r="E1581" s="134">
        <v>1</v>
      </c>
      <c r="F1581" s="135" t="s">
        <v>1449</v>
      </c>
      <c r="G1581" s="185" t="s">
        <v>15</v>
      </c>
      <c r="H1581" s="185" t="s">
        <v>15</v>
      </c>
      <c r="I1581" s="185" t="s">
        <v>15</v>
      </c>
      <c r="J1581" s="135" t="s">
        <v>1450</v>
      </c>
      <c r="K1581" s="186">
        <v>1668</v>
      </c>
      <c r="L1581" s="187" t="s">
        <v>173</v>
      </c>
      <c r="M1581" s="187" t="s">
        <v>175</v>
      </c>
    </row>
    <row r="1582" spans="1:13" s="188" customFormat="1">
      <c r="A1582" s="185" t="s">
        <v>1447</v>
      </c>
      <c r="B1582" s="133" t="s">
        <v>4769</v>
      </c>
      <c r="C1582" s="185" t="s">
        <v>3023</v>
      </c>
      <c r="D1582" s="133" t="s">
        <v>1619</v>
      </c>
      <c r="E1582" s="134">
        <v>1</v>
      </c>
      <c r="F1582" s="135" t="s">
        <v>1449</v>
      </c>
      <c r="G1582" s="185" t="s">
        <v>15</v>
      </c>
      <c r="H1582" s="185" t="s">
        <v>15</v>
      </c>
      <c r="I1582" s="185" t="s">
        <v>15</v>
      </c>
      <c r="J1582" s="135" t="s">
        <v>1450</v>
      </c>
      <c r="K1582" s="186">
        <v>1572</v>
      </c>
      <c r="L1582" s="187" t="s">
        <v>173</v>
      </c>
      <c r="M1582" s="187" t="s">
        <v>175</v>
      </c>
    </row>
    <row r="1583" spans="1:13" s="188" customFormat="1">
      <c r="A1583" s="185" t="s">
        <v>1447</v>
      </c>
      <c r="B1583" s="133" t="s">
        <v>4770</v>
      </c>
      <c r="C1583" s="185" t="s">
        <v>3023</v>
      </c>
      <c r="D1583" s="133" t="s">
        <v>1619</v>
      </c>
      <c r="E1583" s="134">
        <v>1</v>
      </c>
      <c r="F1583" s="135" t="s">
        <v>1449</v>
      </c>
      <c r="G1583" s="185" t="s">
        <v>15</v>
      </c>
      <c r="H1583" s="185" t="s">
        <v>15</v>
      </c>
      <c r="I1583" s="185" t="s">
        <v>15</v>
      </c>
      <c r="J1583" s="135" t="s">
        <v>1450</v>
      </c>
      <c r="K1583" s="186">
        <v>1524</v>
      </c>
      <c r="L1583" s="187" t="s">
        <v>173</v>
      </c>
      <c r="M1583" s="187" t="s">
        <v>175</v>
      </c>
    </row>
    <row r="1584" spans="1:13" s="188" customFormat="1">
      <c r="A1584" s="185" t="s">
        <v>1447</v>
      </c>
      <c r="B1584" s="133" t="s">
        <v>4771</v>
      </c>
      <c r="C1584" s="185" t="s">
        <v>3023</v>
      </c>
      <c r="D1584" s="133" t="s">
        <v>1619</v>
      </c>
      <c r="E1584" s="134">
        <v>1</v>
      </c>
      <c r="F1584" s="135" t="s">
        <v>1449</v>
      </c>
      <c r="G1584" s="185" t="s">
        <v>15</v>
      </c>
      <c r="H1584" s="185" t="s">
        <v>15</v>
      </c>
      <c r="I1584" s="185" t="s">
        <v>15</v>
      </c>
      <c r="J1584" s="135" t="s">
        <v>1450</v>
      </c>
      <c r="K1584" s="186">
        <v>1392</v>
      </c>
      <c r="L1584" s="187" t="s">
        <v>173</v>
      </c>
      <c r="M1584" s="187" t="s">
        <v>175</v>
      </c>
    </row>
    <row r="1585" spans="1:13" s="188" customFormat="1">
      <c r="A1585" s="185" t="s">
        <v>1447</v>
      </c>
      <c r="B1585" s="133" t="s">
        <v>4772</v>
      </c>
      <c r="C1585" s="185" t="s">
        <v>3023</v>
      </c>
      <c r="D1585" s="133" t="s">
        <v>1619</v>
      </c>
      <c r="E1585" s="134">
        <v>1</v>
      </c>
      <c r="F1585" s="135" t="s">
        <v>1449</v>
      </c>
      <c r="G1585" s="185" t="s">
        <v>15</v>
      </c>
      <c r="H1585" s="185" t="s">
        <v>15</v>
      </c>
      <c r="I1585" s="185" t="s">
        <v>15</v>
      </c>
      <c r="J1585" s="135" t="s">
        <v>1450</v>
      </c>
      <c r="K1585" s="186">
        <v>1116</v>
      </c>
      <c r="L1585" s="187" t="s">
        <v>173</v>
      </c>
      <c r="M1585" s="187" t="s">
        <v>175</v>
      </c>
    </row>
    <row r="1586" spans="1:13" s="188" customFormat="1">
      <c r="A1586" s="185" t="s">
        <v>1447</v>
      </c>
      <c r="B1586" s="133" t="s">
        <v>4773</v>
      </c>
      <c r="C1586" s="185" t="s">
        <v>3023</v>
      </c>
      <c r="D1586" s="133" t="s">
        <v>1619</v>
      </c>
      <c r="E1586" s="134">
        <v>1</v>
      </c>
      <c r="F1586" s="135" t="s">
        <v>1449</v>
      </c>
      <c r="G1586" s="185" t="s">
        <v>15</v>
      </c>
      <c r="H1586" s="185" t="s">
        <v>15</v>
      </c>
      <c r="I1586" s="185" t="s">
        <v>15</v>
      </c>
      <c r="J1586" s="135" t="s">
        <v>1450</v>
      </c>
      <c r="K1586" s="186">
        <v>840</v>
      </c>
      <c r="L1586" s="187" t="s">
        <v>173</v>
      </c>
      <c r="M1586" s="187" t="s">
        <v>175</v>
      </c>
    </row>
    <row r="1587" spans="1:13" s="188" customFormat="1">
      <c r="A1587" s="185" t="s">
        <v>1447</v>
      </c>
      <c r="B1587" s="133" t="s">
        <v>4774</v>
      </c>
      <c r="C1587" s="185" t="s">
        <v>3023</v>
      </c>
      <c r="D1587" s="133" t="s">
        <v>1620</v>
      </c>
      <c r="E1587" s="134">
        <v>1</v>
      </c>
      <c r="F1587" s="135" t="s">
        <v>1449</v>
      </c>
      <c r="G1587" s="185" t="s">
        <v>15</v>
      </c>
      <c r="H1587" s="185" t="s">
        <v>15</v>
      </c>
      <c r="I1587" s="185" t="s">
        <v>15</v>
      </c>
      <c r="J1587" s="135" t="s">
        <v>1450</v>
      </c>
      <c r="K1587" s="186">
        <v>25944</v>
      </c>
      <c r="L1587" s="187" t="s">
        <v>173</v>
      </c>
      <c r="M1587" s="187" t="s">
        <v>175</v>
      </c>
    </row>
    <row r="1588" spans="1:13" s="188" customFormat="1">
      <c r="A1588" s="185" t="s">
        <v>1447</v>
      </c>
      <c r="B1588" s="133" t="s">
        <v>4775</v>
      </c>
      <c r="C1588" s="185" t="s">
        <v>3023</v>
      </c>
      <c r="D1588" s="133" t="s">
        <v>4776</v>
      </c>
      <c r="E1588" s="134">
        <v>1</v>
      </c>
      <c r="F1588" s="135" t="s">
        <v>1449</v>
      </c>
      <c r="G1588" s="185" t="s">
        <v>15</v>
      </c>
      <c r="H1588" s="185" t="s">
        <v>15</v>
      </c>
      <c r="I1588" s="185" t="s">
        <v>15</v>
      </c>
      <c r="J1588" s="135" t="s">
        <v>1450</v>
      </c>
      <c r="K1588" s="186">
        <v>1201428</v>
      </c>
      <c r="L1588" s="187" t="s">
        <v>173</v>
      </c>
      <c r="M1588" s="187" t="s">
        <v>175</v>
      </c>
    </row>
    <row r="1589" spans="1:13" s="188" customFormat="1">
      <c r="A1589" s="185" t="s">
        <v>1447</v>
      </c>
      <c r="B1589" s="133" t="s">
        <v>4777</v>
      </c>
      <c r="C1589" s="185" t="s">
        <v>3023</v>
      </c>
      <c r="D1589" s="133" t="s">
        <v>4778</v>
      </c>
      <c r="E1589" s="134">
        <v>1</v>
      </c>
      <c r="F1589" s="135" t="s">
        <v>1449</v>
      </c>
      <c r="G1589" s="185" t="s">
        <v>15</v>
      </c>
      <c r="H1589" s="185" t="s">
        <v>15</v>
      </c>
      <c r="I1589" s="185" t="s">
        <v>15</v>
      </c>
      <c r="J1589" s="135" t="s">
        <v>1450</v>
      </c>
      <c r="K1589" s="186">
        <v>1404</v>
      </c>
      <c r="L1589" s="187" t="s">
        <v>173</v>
      </c>
      <c r="M1589" s="187" t="s">
        <v>175</v>
      </c>
    </row>
    <row r="1590" spans="1:13" s="188" customFormat="1">
      <c r="A1590" s="185" t="s">
        <v>1447</v>
      </c>
      <c r="B1590" s="133" t="s">
        <v>4779</v>
      </c>
      <c r="C1590" s="185" t="s">
        <v>3023</v>
      </c>
      <c r="D1590" s="133" t="s">
        <v>4780</v>
      </c>
      <c r="E1590" s="134">
        <v>1</v>
      </c>
      <c r="F1590" s="135" t="s">
        <v>1449</v>
      </c>
      <c r="G1590" s="185" t="s">
        <v>15</v>
      </c>
      <c r="H1590" s="185" t="s">
        <v>15</v>
      </c>
      <c r="I1590" s="185" t="s">
        <v>15</v>
      </c>
      <c r="J1590" s="135" t="s">
        <v>1450</v>
      </c>
      <c r="K1590" s="186">
        <v>901068</v>
      </c>
      <c r="L1590" s="187" t="s">
        <v>173</v>
      </c>
      <c r="M1590" s="187" t="s">
        <v>175</v>
      </c>
    </row>
    <row r="1591" spans="1:13" s="188" customFormat="1">
      <c r="A1591" s="185" t="s">
        <v>1447</v>
      </c>
      <c r="B1591" s="133" t="s">
        <v>4781</v>
      </c>
      <c r="C1591" s="185" t="s">
        <v>3023</v>
      </c>
      <c r="D1591" s="133" t="s">
        <v>4782</v>
      </c>
      <c r="E1591" s="134">
        <v>1</v>
      </c>
      <c r="F1591" s="135" t="s">
        <v>1449</v>
      </c>
      <c r="G1591" s="185" t="s">
        <v>15</v>
      </c>
      <c r="H1591" s="185" t="s">
        <v>15</v>
      </c>
      <c r="I1591" s="185" t="s">
        <v>15</v>
      </c>
      <c r="J1591" s="135" t="s">
        <v>1450</v>
      </c>
      <c r="K1591" s="186">
        <v>2293632</v>
      </c>
      <c r="L1591" s="187" t="s">
        <v>173</v>
      </c>
      <c r="M1591" s="187" t="s">
        <v>175</v>
      </c>
    </row>
    <row r="1592" spans="1:13" s="188" customFormat="1">
      <c r="A1592" s="185" t="s">
        <v>1447</v>
      </c>
      <c r="B1592" s="133" t="s">
        <v>4783</v>
      </c>
      <c r="C1592" s="185" t="s">
        <v>3023</v>
      </c>
      <c r="D1592" s="133" t="s">
        <v>4784</v>
      </c>
      <c r="E1592" s="134">
        <v>1</v>
      </c>
      <c r="F1592" s="135" t="s">
        <v>1449</v>
      </c>
      <c r="G1592" s="185" t="s">
        <v>15</v>
      </c>
      <c r="H1592" s="185" t="s">
        <v>15</v>
      </c>
      <c r="I1592" s="185" t="s">
        <v>15</v>
      </c>
      <c r="J1592" s="135" t="s">
        <v>1450</v>
      </c>
      <c r="K1592" s="186">
        <v>4980</v>
      </c>
      <c r="L1592" s="187" t="s">
        <v>173</v>
      </c>
      <c r="M1592" s="187" t="s">
        <v>175</v>
      </c>
    </row>
    <row r="1593" spans="1:13" s="188" customFormat="1">
      <c r="A1593" s="185" t="s">
        <v>1447</v>
      </c>
      <c r="B1593" s="133" t="s">
        <v>4785</v>
      </c>
      <c r="C1593" s="185" t="s">
        <v>3023</v>
      </c>
      <c r="D1593" s="133" t="s">
        <v>4786</v>
      </c>
      <c r="E1593" s="134">
        <v>1</v>
      </c>
      <c r="F1593" s="135" t="s">
        <v>1449</v>
      </c>
      <c r="G1593" s="185" t="s">
        <v>15</v>
      </c>
      <c r="H1593" s="185" t="s">
        <v>15</v>
      </c>
      <c r="I1593" s="185" t="s">
        <v>15</v>
      </c>
      <c r="J1593" s="135" t="s">
        <v>1450</v>
      </c>
      <c r="K1593" s="186">
        <v>792</v>
      </c>
      <c r="L1593" s="187" t="s">
        <v>173</v>
      </c>
      <c r="M1593" s="187" t="s">
        <v>175</v>
      </c>
    </row>
    <row r="1594" spans="1:13" s="188" customFormat="1">
      <c r="A1594" s="185" t="s">
        <v>1447</v>
      </c>
      <c r="B1594" s="133" t="s">
        <v>4787</v>
      </c>
      <c r="C1594" s="185" t="s">
        <v>3023</v>
      </c>
      <c r="D1594" s="133" t="s">
        <v>4788</v>
      </c>
      <c r="E1594" s="134">
        <v>1</v>
      </c>
      <c r="F1594" s="135" t="s">
        <v>1449</v>
      </c>
      <c r="G1594" s="185" t="s">
        <v>15</v>
      </c>
      <c r="H1594" s="185" t="s">
        <v>15</v>
      </c>
      <c r="I1594" s="185" t="s">
        <v>15</v>
      </c>
      <c r="J1594" s="135" t="s">
        <v>1450</v>
      </c>
      <c r="K1594" s="186">
        <v>924</v>
      </c>
      <c r="L1594" s="187" t="s">
        <v>173</v>
      </c>
      <c r="M1594" s="187" t="s">
        <v>175</v>
      </c>
    </row>
    <row r="1595" spans="1:13" s="188" customFormat="1">
      <c r="A1595" s="185" t="s">
        <v>1447</v>
      </c>
      <c r="B1595" s="133" t="s">
        <v>4789</v>
      </c>
      <c r="C1595" s="185" t="s">
        <v>3023</v>
      </c>
      <c r="D1595" s="133" t="s">
        <v>4790</v>
      </c>
      <c r="E1595" s="134">
        <v>1</v>
      </c>
      <c r="F1595" s="135" t="s">
        <v>1449</v>
      </c>
      <c r="G1595" s="185" t="s">
        <v>15</v>
      </c>
      <c r="H1595" s="185" t="s">
        <v>15</v>
      </c>
      <c r="I1595" s="185" t="s">
        <v>15</v>
      </c>
      <c r="J1595" s="135" t="s">
        <v>1450</v>
      </c>
      <c r="K1595" s="186">
        <v>1344</v>
      </c>
      <c r="L1595" s="187" t="s">
        <v>173</v>
      </c>
      <c r="M1595" s="187" t="s">
        <v>175</v>
      </c>
    </row>
    <row r="1596" spans="1:13" s="188" customFormat="1">
      <c r="A1596" s="185" t="s">
        <v>1447</v>
      </c>
      <c r="B1596" s="133" t="s">
        <v>4791</v>
      </c>
      <c r="C1596" s="185" t="s">
        <v>3023</v>
      </c>
      <c r="D1596" s="133" t="s">
        <v>4792</v>
      </c>
      <c r="E1596" s="134">
        <v>1</v>
      </c>
      <c r="F1596" s="135" t="s">
        <v>1449</v>
      </c>
      <c r="G1596" s="185" t="s">
        <v>15</v>
      </c>
      <c r="H1596" s="185" t="s">
        <v>15</v>
      </c>
      <c r="I1596" s="185" t="s">
        <v>15</v>
      </c>
      <c r="J1596" s="135" t="s">
        <v>1450</v>
      </c>
      <c r="K1596" s="186">
        <v>4032</v>
      </c>
      <c r="L1596" s="187" t="s">
        <v>173</v>
      </c>
      <c r="M1596" s="187" t="s">
        <v>175</v>
      </c>
    </row>
    <row r="1597" spans="1:13" s="188" customFormat="1">
      <c r="A1597" s="185" t="s">
        <v>1447</v>
      </c>
      <c r="B1597" s="133" t="s">
        <v>4793</v>
      </c>
      <c r="C1597" s="185" t="s">
        <v>3023</v>
      </c>
      <c r="D1597" s="133" t="s">
        <v>4794</v>
      </c>
      <c r="E1597" s="134">
        <v>1</v>
      </c>
      <c r="F1597" s="135" t="s">
        <v>1449</v>
      </c>
      <c r="G1597" s="185" t="s">
        <v>15</v>
      </c>
      <c r="H1597" s="185" t="s">
        <v>15</v>
      </c>
      <c r="I1597" s="185" t="s">
        <v>15</v>
      </c>
      <c r="J1597" s="135" t="s">
        <v>1450</v>
      </c>
      <c r="K1597" s="186">
        <v>1368</v>
      </c>
      <c r="L1597" s="187" t="s">
        <v>173</v>
      </c>
      <c r="M1597" s="187" t="s">
        <v>175</v>
      </c>
    </row>
    <row r="1598" spans="1:13" s="188" customFormat="1">
      <c r="A1598" s="185" t="s">
        <v>1447</v>
      </c>
      <c r="B1598" s="133" t="s">
        <v>4795</v>
      </c>
      <c r="C1598" s="185" t="s">
        <v>3023</v>
      </c>
      <c r="D1598" s="133" t="s">
        <v>4796</v>
      </c>
      <c r="E1598" s="134">
        <v>1</v>
      </c>
      <c r="F1598" s="135" t="s">
        <v>1449</v>
      </c>
      <c r="G1598" s="185" t="s">
        <v>15</v>
      </c>
      <c r="H1598" s="185" t="s">
        <v>15</v>
      </c>
      <c r="I1598" s="185" t="s">
        <v>15</v>
      </c>
      <c r="J1598" s="135" t="s">
        <v>1450</v>
      </c>
      <c r="K1598" s="186">
        <v>660</v>
      </c>
      <c r="L1598" s="187" t="s">
        <v>173</v>
      </c>
      <c r="M1598" s="187" t="s">
        <v>175</v>
      </c>
    </row>
    <row r="1599" spans="1:13" s="188" customFormat="1">
      <c r="A1599" s="185" t="s">
        <v>1447</v>
      </c>
      <c r="B1599" s="133" t="s">
        <v>4797</v>
      </c>
      <c r="C1599" s="185" t="s">
        <v>3023</v>
      </c>
      <c r="D1599" s="133" t="s">
        <v>4798</v>
      </c>
      <c r="E1599" s="134">
        <v>1</v>
      </c>
      <c r="F1599" s="135" t="s">
        <v>1449</v>
      </c>
      <c r="G1599" s="185" t="s">
        <v>15</v>
      </c>
      <c r="H1599" s="185" t="s">
        <v>15</v>
      </c>
      <c r="I1599" s="185" t="s">
        <v>15</v>
      </c>
      <c r="J1599" s="135" t="s">
        <v>1450</v>
      </c>
      <c r="K1599" s="186">
        <v>3372</v>
      </c>
      <c r="L1599" s="187" t="s">
        <v>173</v>
      </c>
      <c r="M1599" s="187" t="s">
        <v>175</v>
      </c>
    </row>
    <row r="1600" spans="1:13" s="188" customFormat="1">
      <c r="A1600" s="185" t="s">
        <v>1447</v>
      </c>
      <c r="B1600" s="133" t="s">
        <v>4799</v>
      </c>
      <c r="C1600" s="185" t="s">
        <v>3023</v>
      </c>
      <c r="D1600" s="133" t="s">
        <v>4800</v>
      </c>
      <c r="E1600" s="134">
        <v>1</v>
      </c>
      <c r="F1600" s="135" t="s">
        <v>1449</v>
      </c>
      <c r="G1600" s="185" t="s">
        <v>15</v>
      </c>
      <c r="H1600" s="185" t="s">
        <v>15</v>
      </c>
      <c r="I1600" s="185" t="s">
        <v>15</v>
      </c>
      <c r="J1600" s="135" t="s">
        <v>1450</v>
      </c>
      <c r="K1600" s="186">
        <v>1032</v>
      </c>
      <c r="L1600" s="187" t="s">
        <v>173</v>
      </c>
      <c r="M1600" s="187" t="s">
        <v>175</v>
      </c>
    </row>
    <row r="1601" spans="1:13" s="188" customFormat="1">
      <c r="A1601" s="185" t="s">
        <v>1447</v>
      </c>
      <c r="B1601" s="133" t="s">
        <v>4801</v>
      </c>
      <c r="C1601" s="185" t="s">
        <v>3023</v>
      </c>
      <c r="D1601" s="133" t="s">
        <v>4802</v>
      </c>
      <c r="E1601" s="134">
        <v>1</v>
      </c>
      <c r="F1601" s="135" t="s">
        <v>1449</v>
      </c>
      <c r="G1601" s="185" t="s">
        <v>15</v>
      </c>
      <c r="H1601" s="185" t="s">
        <v>15</v>
      </c>
      <c r="I1601" s="185" t="s">
        <v>15</v>
      </c>
      <c r="J1601" s="135" t="s">
        <v>1450</v>
      </c>
      <c r="K1601" s="186">
        <v>1416</v>
      </c>
      <c r="L1601" s="187" t="s">
        <v>173</v>
      </c>
      <c r="M1601" s="187" t="s">
        <v>175</v>
      </c>
    </row>
    <row r="1602" spans="1:13" s="188" customFormat="1">
      <c r="A1602" s="185" t="s">
        <v>1447</v>
      </c>
      <c r="B1602" s="133" t="s">
        <v>4803</v>
      </c>
      <c r="C1602" s="185" t="s">
        <v>3023</v>
      </c>
      <c r="D1602" s="133" t="s">
        <v>4804</v>
      </c>
      <c r="E1602" s="134">
        <v>1</v>
      </c>
      <c r="F1602" s="135" t="s">
        <v>1449</v>
      </c>
      <c r="G1602" s="185" t="s">
        <v>15</v>
      </c>
      <c r="H1602" s="185" t="s">
        <v>15</v>
      </c>
      <c r="I1602" s="185" t="s">
        <v>15</v>
      </c>
      <c r="J1602" s="135" t="s">
        <v>1450</v>
      </c>
      <c r="K1602" s="186">
        <v>1080</v>
      </c>
      <c r="L1602" s="187" t="s">
        <v>173</v>
      </c>
      <c r="M1602" s="187" t="s">
        <v>175</v>
      </c>
    </row>
    <row r="1603" spans="1:13" s="188" customFormat="1">
      <c r="A1603" s="185" t="s">
        <v>1447</v>
      </c>
      <c r="B1603" s="133" t="s">
        <v>4805</v>
      </c>
      <c r="C1603" s="185" t="s">
        <v>3023</v>
      </c>
      <c r="D1603" s="133" t="s">
        <v>4806</v>
      </c>
      <c r="E1603" s="134">
        <v>1</v>
      </c>
      <c r="F1603" s="135" t="s">
        <v>1449</v>
      </c>
      <c r="G1603" s="185" t="s">
        <v>15</v>
      </c>
      <c r="H1603" s="185" t="s">
        <v>15</v>
      </c>
      <c r="I1603" s="185" t="s">
        <v>15</v>
      </c>
      <c r="J1603" s="135" t="s">
        <v>1450</v>
      </c>
      <c r="K1603" s="186">
        <v>2976</v>
      </c>
      <c r="L1603" s="187" t="s">
        <v>173</v>
      </c>
      <c r="M1603" s="187" t="s">
        <v>175</v>
      </c>
    </row>
    <row r="1604" spans="1:13" s="188" customFormat="1">
      <c r="A1604" s="185" t="s">
        <v>1447</v>
      </c>
      <c r="B1604" s="133" t="s">
        <v>4807</v>
      </c>
      <c r="C1604" s="185" t="s">
        <v>3023</v>
      </c>
      <c r="D1604" s="133" t="s">
        <v>4808</v>
      </c>
      <c r="E1604" s="134">
        <v>1</v>
      </c>
      <c r="F1604" s="135" t="s">
        <v>1449</v>
      </c>
      <c r="G1604" s="185" t="s">
        <v>15</v>
      </c>
      <c r="H1604" s="185" t="s">
        <v>15</v>
      </c>
      <c r="I1604" s="185" t="s">
        <v>15</v>
      </c>
      <c r="J1604" s="135" t="s">
        <v>1450</v>
      </c>
      <c r="K1604" s="186">
        <v>888</v>
      </c>
      <c r="L1604" s="187" t="s">
        <v>173</v>
      </c>
      <c r="M1604" s="187" t="s">
        <v>175</v>
      </c>
    </row>
    <row r="1605" spans="1:13" s="188" customFormat="1">
      <c r="A1605" s="185" t="s">
        <v>1447</v>
      </c>
      <c r="B1605" s="133" t="s">
        <v>4809</v>
      </c>
      <c r="C1605" s="185" t="s">
        <v>3023</v>
      </c>
      <c r="D1605" s="133" t="s">
        <v>4810</v>
      </c>
      <c r="E1605" s="134">
        <v>1</v>
      </c>
      <c r="F1605" s="135" t="s">
        <v>1449</v>
      </c>
      <c r="G1605" s="185" t="s">
        <v>15</v>
      </c>
      <c r="H1605" s="185" t="s">
        <v>15</v>
      </c>
      <c r="I1605" s="185" t="s">
        <v>15</v>
      </c>
      <c r="J1605" s="135" t="s">
        <v>1450</v>
      </c>
      <c r="K1605" s="186">
        <v>528</v>
      </c>
      <c r="L1605" s="187" t="s">
        <v>173</v>
      </c>
      <c r="M1605" s="187" t="s">
        <v>175</v>
      </c>
    </row>
    <row r="1606" spans="1:13" s="188" customFormat="1">
      <c r="A1606" s="185" t="s">
        <v>1447</v>
      </c>
      <c r="B1606" s="133" t="s">
        <v>4811</v>
      </c>
      <c r="C1606" s="185" t="s">
        <v>3023</v>
      </c>
      <c r="D1606" s="133" t="s">
        <v>4812</v>
      </c>
      <c r="E1606" s="134">
        <v>1</v>
      </c>
      <c r="F1606" s="135" t="s">
        <v>1449</v>
      </c>
      <c r="G1606" s="185" t="s">
        <v>15</v>
      </c>
      <c r="H1606" s="185" t="s">
        <v>15</v>
      </c>
      <c r="I1606" s="185" t="s">
        <v>15</v>
      </c>
      <c r="J1606" s="135" t="s">
        <v>1450</v>
      </c>
      <c r="K1606" s="186">
        <v>4392</v>
      </c>
      <c r="L1606" s="187" t="s">
        <v>173</v>
      </c>
      <c r="M1606" s="187" t="s">
        <v>175</v>
      </c>
    </row>
    <row r="1607" spans="1:13" s="188" customFormat="1">
      <c r="A1607" s="185" t="s">
        <v>1447</v>
      </c>
      <c r="B1607" s="133" t="s">
        <v>4813</v>
      </c>
      <c r="C1607" s="185" t="s">
        <v>3023</v>
      </c>
      <c r="D1607" s="133" t="s">
        <v>4814</v>
      </c>
      <c r="E1607" s="134">
        <v>1</v>
      </c>
      <c r="F1607" s="135" t="s">
        <v>1449</v>
      </c>
      <c r="G1607" s="185" t="s">
        <v>15</v>
      </c>
      <c r="H1607" s="185" t="s">
        <v>15</v>
      </c>
      <c r="I1607" s="185" t="s">
        <v>15</v>
      </c>
      <c r="J1607" s="135" t="s">
        <v>1450</v>
      </c>
      <c r="K1607" s="186">
        <v>576</v>
      </c>
      <c r="L1607" s="187" t="s">
        <v>173</v>
      </c>
      <c r="M1607" s="187" t="s">
        <v>175</v>
      </c>
    </row>
    <row r="1608" spans="1:13" s="188" customFormat="1">
      <c r="A1608" s="185" t="s">
        <v>1447</v>
      </c>
      <c r="B1608" s="133" t="s">
        <v>4815</v>
      </c>
      <c r="C1608" s="185" t="s">
        <v>3023</v>
      </c>
      <c r="D1608" s="133" t="s">
        <v>4816</v>
      </c>
      <c r="E1608" s="134">
        <v>1</v>
      </c>
      <c r="F1608" s="135" t="s">
        <v>1449</v>
      </c>
      <c r="G1608" s="185" t="s">
        <v>15</v>
      </c>
      <c r="H1608" s="185" t="s">
        <v>15</v>
      </c>
      <c r="I1608" s="185" t="s">
        <v>15</v>
      </c>
      <c r="J1608" s="135" t="s">
        <v>1450</v>
      </c>
      <c r="K1608" s="186">
        <v>852</v>
      </c>
      <c r="L1608" s="187" t="s">
        <v>173</v>
      </c>
      <c r="M1608" s="187" t="s">
        <v>175</v>
      </c>
    </row>
    <row r="1609" spans="1:13" s="188" customFormat="1">
      <c r="A1609" s="185" t="s">
        <v>1447</v>
      </c>
      <c r="B1609" s="133" t="s">
        <v>4817</v>
      </c>
      <c r="C1609" s="185" t="s">
        <v>3023</v>
      </c>
      <c r="D1609" s="133" t="s">
        <v>4818</v>
      </c>
      <c r="E1609" s="134">
        <v>1</v>
      </c>
      <c r="F1609" s="135" t="s">
        <v>1449</v>
      </c>
      <c r="G1609" s="185" t="s">
        <v>15</v>
      </c>
      <c r="H1609" s="185" t="s">
        <v>15</v>
      </c>
      <c r="I1609" s="185" t="s">
        <v>15</v>
      </c>
      <c r="J1609" s="135" t="s">
        <v>1450</v>
      </c>
      <c r="K1609" s="186">
        <v>2304</v>
      </c>
      <c r="L1609" s="187" t="s">
        <v>173</v>
      </c>
      <c r="M1609" s="187" t="s">
        <v>175</v>
      </c>
    </row>
    <row r="1610" spans="1:13" s="188" customFormat="1">
      <c r="A1610" s="185" t="s">
        <v>1447</v>
      </c>
      <c r="B1610" s="133" t="s">
        <v>4819</v>
      </c>
      <c r="C1610" s="185" t="s">
        <v>3023</v>
      </c>
      <c r="D1610" s="133" t="s">
        <v>4820</v>
      </c>
      <c r="E1610" s="134">
        <v>1</v>
      </c>
      <c r="F1610" s="135" t="s">
        <v>1449</v>
      </c>
      <c r="G1610" s="185" t="s">
        <v>15</v>
      </c>
      <c r="H1610" s="185" t="s">
        <v>15</v>
      </c>
      <c r="I1610" s="185" t="s">
        <v>15</v>
      </c>
      <c r="J1610" s="135" t="s">
        <v>1450</v>
      </c>
      <c r="K1610" s="186">
        <v>1236</v>
      </c>
      <c r="L1610" s="187" t="s">
        <v>173</v>
      </c>
      <c r="M1610" s="187" t="s">
        <v>175</v>
      </c>
    </row>
    <row r="1611" spans="1:13" s="188" customFormat="1">
      <c r="A1611" s="185" t="s">
        <v>1447</v>
      </c>
      <c r="B1611" s="133" t="s">
        <v>4821</v>
      </c>
      <c r="C1611" s="185" t="s">
        <v>3023</v>
      </c>
      <c r="D1611" s="133" t="s">
        <v>4822</v>
      </c>
      <c r="E1611" s="134">
        <v>1</v>
      </c>
      <c r="F1611" s="135" t="s">
        <v>1449</v>
      </c>
      <c r="G1611" s="185" t="s">
        <v>15</v>
      </c>
      <c r="H1611" s="185" t="s">
        <v>15</v>
      </c>
      <c r="I1611" s="185" t="s">
        <v>15</v>
      </c>
      <c r="J1611" s="135" t="s">
        <v>1450</v>
      </c>
      <c r="K1611" s="186">
        <v>1320</v>
      </c>
      <c r="L1611" s="187" t="s">
        <v>173</v>
      </c>
      <c r="M1611" s="187" t="s">
        <v>175</v>
      </c>
    </row>
    <row r="1612" spans="1:13" s="188" customFormat="1">
      <c r="A1612" s="185" t="s">
        <v>1447</v>
      </c>
      <c r="B1612" s="133" t="s">
        <v>4823</v>
      </c>
      <c r="C1612" s="185" t="s">
        <v>3023</v>
      </c>
      <c r="D1612" s="133" t="s">
        <v>4824</v>
      </c>
      <c r="E1612" s="134">
        <v>1</v>
      </c>
      <c r="F1612" s="135" t="s">
        <v>1449</v>
      </c>
      <c r="G1612" s="185" t="s">
        <v>15</v>
      </c>
      <c r="H1612" s="185" t="s">
        <v>15</v>
      </c>
      <c r="I1612" s="185" t="s">
        <v>15</v>
      </c>
      <c r="J1612" s="135" t="s">
        <v>1450</v>
      </c>
      <c r="K1612" s="186">
        <v>1308</v>
      </c>
      <c r="L1612" s="187" t="s">
        <v>173</v>
      </c>
      <c r="M1612" s="187" t="s">
        <v>175</v>
      </c>
    </row>
    <row r="1613" spans="1:13" s="188" customFormat="1">
      <c r="A1613" s="185" t="s">
        <v>1447</v>
      </c>
      <c r="B1613" s="133" t="s">
        <v>4825</v>
      </c>
      <c r="C1613" s="185" t="s">
        <v>3023</v>
      </c>
      <c r="D1613" s="133" t="s">
        <v>4826</v>
      </c>
      <c r="E1613" s="134">
        <v>1</v>
      </c>
      <c r="F1613" s="135" t="s">
        <v>1449</v>
      </c>
      <c r="G1613" s="185" t="s">
        <v>15</v>
      </c>
      <c r="H1613" s="185" t="s">
        <v>15</v>
      </c>
      <c r="I1613" s="185" t="s">
        <v>15</v>
      </c>
      <c r="J1613" s="135" t="s">
        <v>1450</v>
      </c>
      <c r="K1613" s="186">
        <v>2220</v>
      </c>
      <c r="L1613" s="187" t="s">
        <v>173</v>
      </c>
      <c r="M1613" s="187" t="s">
        <v>175</v>
      </c>
    </row>
    <row r="1614" spans="1:13" s="188" customFormat="1">
      <c r="A1614" s="185" t="s">
        <v>1447</v>
      </c>
      <c r="B1614" s="133" t="s">
        <v>4827</v>
      </c>
      <c r="C1614" s="185" t="s">
        <v>3023</v>
      </c>
      <c r="D1614" s="133" t="s">
        <v>4828</v>
      </c>
      <c r="E1614" s="134">
        <v>1</v>
      </c>
      <c r="F1614" s="135" t="s">
        <v>1449</v>
      </c>
      <c r="G1614" s="185" t="s">
        <v>15</v>
      </c>
      <c r="H1614" s="185" t="s">
        <v>15</v>
      </c>
      <c r="I1614" s="185" t="s">
        <v>15</v>
      </c>
      <c r="J1614" s="135" t="s">
        <v>1450</v>
      </c>
      <c r="K1614" s="186">
        <v>1344</v>
      </c>
      <c r="L1614" s="187" t="s">
        <v>173</v>
      </c>
      <c r="M1614" s="187" t="s">
        <v>175</v>
      </c>
    </row>
    <row r="1615" spans="1:13" s="188" customFormat="1">
      <c r="A1615" s="185" t="s">
        <v>1447</v>
      </c>
      <c r="B1615" s="133" t="s">
        <v>4829</v>
      </c>
      <c r="C1615" s="185" t="s">
        <v>3023</v>
      </c>
      <c r="D1615" s="133" t="s">
        <v>4830</v>
      </c>
      <c r="E1615" s="134">
        <v>1</v>
      </c>
      <c r="F1615" s="135" t="s">
        <v>1449</v>
      </c>
      <c r="G1615" s="185" t="s">
        <v>15</v>
      </c>
      <c r="H1615" s="185" t="s">
        <v>15</v>
      </c>
      <c r="I1615" s="185" t="s">
        <v>15</v>
      </c>
      <c r="J1615" s="135" t="s">
        <v>1450</v>
      </c>
      <c r="K1615" s="186">
        <v>708</v>
      </c>
      <c r="L1615" s="187" t="s">
        <v>173</v>
      </c>
      <c r="M1615" s="187" t="s">
        <v>175</v>
      </c>
    </row>
    <row r="1616" spans="1:13" s="188" customFormat="1">
      <c r="A1616" s="185" t="s">
        <v>1447</v>
      </c>
      <c r="B1616" s="133" t="s">
        <v>4831</v>
      </c>
      <c r="C1616" s="185" t="s">
        <v>3023</v>
      </c>
      <c r="D1616" s="133" t="s">
        <v>4832</v>
      </c>
      <c r="E1616" s="134">
        <v>1</v>
      </c>
      <c r="F1616" s="135" t="s">
        <v>1449</v>
      </c>
      <c r="G1616" s="185" t="s">
        <v>15</v>
      </c>
      <c r="H1616" s="185" t="s">
        <v>15</v>
      </c>
      <c r="I1616" s="185" t="s">
        <v>15</v>
      </c>
      <c r="J1616" s="135" t="s">
        <v>1450</v>
      </c>
      <c r="K1616" s="186">
        <v>552</v>
      </c>
      <c r="L1616" s="187" t="s">
        <v>173</v>
      </c>
      <c r="M1616" s="187" t="s">
        <v>175</v>
      </c>
    </row>
    <row r="1617" spans="1:13" s="188" customFormat="1">
      <c r="A1617" s="185" t="s">
        <v>1447</v>
      </c>
      <c r="B1617" s="133" t="s">
        <v>4833</v>
      </c>
      <c r="C1617" s="185" t="s">
        <v>3023</v>
      </c>
      <c r="D1617" s="133" t="s">
        <v>4834</v>
      </c>
      <c r="E1617" s="134">
        <v>1</v>
      </c>
      <c r="F1617" s="135" t="s">
        <v>1449</v>
      </c>
      <c r="G1617" s="185" t="s">
        <v>15</v>
      </c>
      <c r="H1617" s="185" t="s">
        <v>15</v>
      </c>
      <c r="I1617" s="185" t="s">
        <v>15</v>
      </c>
      <c r="J1617" s="135" t="s">
        <v>1450</v>
      </c>
      <c r="K1617" s="186">
        <v>4032</v>
      </c>
      <c r="L1617" s="187" t="s">
        <v>173</v>
      </c>
      <c r="M1617" s="187" t="s">
        <v>175</v>
      </c>
    </row>
    <row r="1618" spans="1:13" s="188" customFormat="1">
      <c r="A1618" s="185" t="s">
        <v>1447</v>
      </c>
      <c r="B1618" s="133" t="s">
        <v>4835</v>
      </c>
      <c r="C1618" s="185" t="s">
        <v>3023</v>
      </c>
      <c r="D1618" s="133" t="s">
        <v>4836</v>
      </c>
      <c r="E1618" s="134">
        <v>1</v>
      </c>
      <c r="F1618" s="135" t="s">
        <v>1449</v>
      </c>
      <c r="G1618" s="185" t="s">
        <v>15</v>
      </c>
      <c r="H1618" s="185" t="s">
        <v>15</v>
      </c>
      <c r="I1618" s="185" t="s">
        <v>15</v>
      </c>
      <c r="J1618" s="135" t="s">
        <v>1450</v>
      </c>
      <c r="K1618" s="186">
        <v>3060</v>
      </c>
      <c r="L1618" s="187" t="s">
        <v>173</v>
      </c>
      <c r="M1618" s="187" t="s">
        <v>175</v>
      </c>
    </row>
    <row r="1619" spans="1:13" s="188" customFormat="1">
      <c r="A1619" s="185" t="s">
        <v>1447</v>
      </c>
      <c r="B1619" s="133" t="s">
        <v>4837</v>
      </c>
      <c r="C1619" s="185" t="s">
        <v>3023</v>
      </c>
      <c r="D1619" s="133" t="s">
        <v>4838</v>
      </c>
      <c r="E1619" s="134">
        <v>1</v>
      </c>
      <c r="F1619" s="135" t="s">
        <v>1449</v>
      </c>
      <c r="G1619" s="185" t="s">
        <v>15</v>
      </c>
      <c r="H1619" s="185" t="s">
        <v>15</v>
      </c>
      <c r="I1619" s="185" t="s">
        <v>15</v>
      </c>
      <c r="J1619" s="135" t="s">
        <v>1450</v>
      </c>
      <c r="K1619" s="186">
        <v>2844</v>
      </c>
      <c r="L1619" s="187" t="s">
        <v>173</v>
      </c>
      <c r="M1619" s="187" t="s">
        <v>175</v>
      </c>
    </row>
    <row r="1620" spans="1:13" s="188" customFormat="1">
      <c r="A1620" s="185" t="s">
        <v>1447</v>
      </c>
      <c r="B1620" s="133" t="s">
        <v>4839</v>
      </c>
      <c r="C1620" s="185" t="s">
        <v>3023</v>
      </c>
      <c r="D1620" s="133" t="s">
        <v>4840</v>
      </c>
      <c r="E1620" s="134">
        <v>1</v>
      </c>
      <c r="F1620" s="135" t="s">
        <v>1449</v>
      </c>
      <c r="G1620" s="185" t="s">
        <v>15</v>
      </c>
      <c r="H1620" s="185" t="s">
        <v>15</v>
      </c>
      <c r="I1620" s="185" t="s">
        <v>15</v>
      </c>
      <c r="J1620" s="135" t="s">
        <v>1450</v>
      </c>
      <c r="K1620" s="186">
        <v>396</v>
      </c>
      <c r="L1620" s="187" t="s">
        <v>173</v>
      </c>
      <c r="M1620" s="187" t="s">
        <v>175</v>
      </c>
    </row>
    <row r="1621" spans="1:13" s="188" customFormat="1">
      <c r="A1621" s="185" t="s">
        <v>1447</v>
      </c>
      <c r="B1621" s="133" t="s">
        <v>4841</v>
      </c>
      <c r="C1621" s="185" t="s">
        <v>3023</v>
      </c>
      <c r="D1621" s="133" t="s">
        <v>4842</v>
      </c>
      <c r="E1621" s="134">
        <v>1</v>
      </c>
      <c r="F1621" s="135" t="s">
        <v>1449</v>
      </c>
      <c r="G1621" s="185" t="s">
        <v>15</v>
      </c>
      <c r="H1621" s="185" t="s">
        <v>15</v>
      </c>
      <c r="I1621" s="185" t="s">
        <v>15</v>
      </c>
      <c r="J1621" s="135" t="s">
        <v>1450</v>
      </c>
      <c r="K1621" s="186">
        <v>3252</v>
      </c>
      <c r="L1621" s="187" t="s">
        <v>173</v>
      </c>
      <c r="M1621" s="187" t="s">
        <v>175</v>
      </c>
    </row>
    <row r="1622" spans="1:13" s="188" customFormat="1">
      <c r="A1622" s="185" t="s">
        <v>1447</v>
      </c>
      <c r="B1622" s="133" t="s">
        <v>4843</v>
      </c>
      <c r="C1622" s="185" t="s">
        <v>3023</v>
      </c>
      <c r="D1622" s="133" t="s">
        <v>4844</v>
      </c>
      <c r="E1622" s="134">
        <v>1</v>
      </c>
      <c r="F1622" s="135" t="s">
        <v>1449</v>
      </c>
      <c r="G1622" s="185" t="s">
        <v>15</v>
      </c>
      <c r="H1622" s="185" t="s">
        <v>15</v>
      </c>
      <c r="I1622" s="185" t="s">
        <v>15</v>
      </c>
      <c r="J1622" s="135" t="s">
        <v>1450</v>
      </c>
      <c r="K1622" s="186">
        <v>3048</v>
      </c>
      <c r="L1622" s="187" t="s">
        <v>173</v>
      </c>
      <c r="M1622" s="187" t="s">
        <v>175</v>
      </c>
    </row>
    <row r="1623" spans="1:13" s="188" customFormat="1">
      <c r="A1623" s="185" t="s">
        <v>1447</v>
      </c>
      <c r="B1623" s="133" t="s">
        <v>4845</v>
      </c>
      <c r="C1623" s="185" t="s">
        <v>3023</v>
      </c>
      <c r="D1623" s="133" t="s">
        <v>4846</v>
      </c>
      <c r="E1623" s="134">
        <v>1</v>
      </c>
      <c r="F1623" s="135" t="s">
        <v>1449</v>
      </c>
      <c r="G1623" s="185" t="s">
        <v>15</v>
      </c>
      <c r="H1623" s="185" t="s">
        <v>15</v>
      </c>
      <c r="I1623" s="185" t="s">
        <v>15</v>
      </c>
      <c r="J1623" s="135" t="s">
        <v>1450</v>
      </c>
      <c r="K1623" s="186">
        <v>348</v>
      </c>
      <c r="L1623" s="187" t="s">
        <v>173</v>
      </c>
      <c r="M1623" s="187" t="s">
        <v>175</v>
      </c>
    </row>
    <row r="1624" spans="1:13" s="188" customFormat="1">
      <c r="A1624" s="185" t="s">
        <v>1447</v>
      </c>
      <c r="B1624" s="133" t="s">
        <v>4847</v>
      </c>
      <c r="C1624" s="185" t="s">
        <v>3023</v>
      </c>
      <c r="D1624" s="133" t="s">
        <v>4848</v>
      </c>
      <c r="E1624" s="134">
        <v>1</v>
      </c>
      <c r="F1624" s="135" t="s">
        <v>1449</v>
      </c>
      <c r="G1624" s="185" t="s">
        <v>15</v>
      </c>
      <c r="H1624" s="185" t="s">
        <v>15</v>
      </c>
      <c r="I1624" s="185" t="s">
        <v>15</v>
      </c>
      <c r="J1624" s="135" t="s">
        <v>1450</v>
      </c>
      <c r="K1624" s="186">
        <v>18324</v>
      </c>
      <c r="L1624" s="187" t="s">
        <v>173</v>
      </c>
      <c r="M1624" s="187" t="s">
        <v>175</v>
      </c>
    </row>
    <row r="1625" spans="1:13" s="188" customFormat="1">
      <c r="A1625" s="185" t="s">
        <v>1447</v>
      </c>
      <c r="B1625" s="133" t="s">
        <v>4849</v>
      </c>
      <c r="C1625" s="185" t="s">
        <v>3023</v>
      </c>
      <c r="D1625" s="133" t="s">
        <v>4850</v>
      </c>
      <c r="E1625" s="134">
        <v>1</v>
      </c>
      <c r="F1625" s="135" t="s">
        <v>1449</v>
      </c>
      <c r="G1625" s="185" t="s">
        <v>15</v>
      </c>
      <c r="H1625" s="185" t="s">
        <v>15</v>
      </c>
      <c r="I1625" s="185" t="s">
        <v>15</v>
      </c>
      <c r="J1625" s="135" t="s">
        <v>1450</v>
      </c>
      <c r="K1625" s="186">
        <v>1896</v>
      </c>
      <c r="L1625" s="187" t="s">
        <v>173</v>
      </c>
      <c r="M1625" s="187" t="s">
        <v>175</v>
      </c>
    </row>
    <row r="1626" spans="1:13" s="188" customFormat="1">
      <c r="A1626" s="185" t="s">
        <v>1447</v>
      </c>
      <c r="B1626" s="133" t="s">
        <v>4851</v>
      </c>
      <c r="C1626" s="185" t="s">
        <v>3023</v>
      </c>
      <c r="D1626" s="133" t="s">
        <v>4852</v>
      </c>
      <c r="E1626" s="134">
        <v>1</v>
      </c>
      <c r="F1626" s="135" t="s">
        <v>1449</v>
      </c>
      <c r="G1626" s="185" t="s">
        <v>15</v>
      </c>
      <c r="H1626" s="185" t="s">
        <v>15</v>
      </c>
      <c r="I1626" s="185" t="s">
        <v>15</v>
      </c>
      <c r="J1626" s="135" t="s">
        <v>1450</v>
      </c>
      <c r="K1626" s="186">
        <v>456</v>
      </c>
      <c r="L1626" s="187" t="s">
        <v>173</v>
      </c>
      <c r="M1626" s="187" t="s">
        <v>175</v>
      </c>
    </row>
    <row r="1627" spans="1:13" s="188" customFormat="1">
      <c r="A1627" s="185" t="s">
        <v>1447</v>
      </c>
      <c r="B1627" s="133" t="s">
        <v>4853</v>
      </c>
      <c r="C1627" s="185" t="s">
        <v>3023</v>
      </c>
      <c r="D1627" s="133" t="s">
        <v>4854</v>
      </c>
      <c r="E1627" s="134">
        <v>1</v>
      </c>
      <c r="F1627" s="135" t="s">
        <v>1449</v>
      </c>
      <c r="G1627" s="185" t="s">
        <v>15</v>
      </c>
      <c r="H1627" s="185" t="s">
        <v>15</v>
      </c>
      <c r="I1627" s="185" t="s">
        <v>15</v>
      </c>
      <c r="J1627" s="135" t="s">
        <v>1450</v>
      </c>
      <c r="K1627" s="186">
        <v>1896</v>
      </c>
      <c r="L1627" s="187" t="s">
        <v>173</v>
      </c>
      <c r="M1627" s="187" t="s">
        <v>175</v>
      </c>
    </row>
    <row r="1628" spans="1:13" s="188" customFormat="1">
      <c r="A1628" s="185" t="s">
        <v>1447</v>
      </c>
      <c r="B1628" s="133" t="s">
        <v>4855</v>
      </c>
      <c r="C1628" s="185" t="s">
        <v>3023</v>
      </c>
      <c r="D1628" s="133" t="s">
        <v>4856</v>
      </c>
      <c r="E1628" s="134">
        <v>1</v>
      </c>
      <c r="F1628" s="135" t="s">
        <v>1449</v>
      </c>
      <c r="G1628" s="185" t="s">
        <v>15</v>
      </c>
      <c r="H1628" s="185" t="s">
        <v>15</v>
      </c>
      <c r="I1628" s="185" t="s">
        <v>15</v>
      </c>
      <c r="J1628" s="135" t="s">
        <v>1450</v>
      </c>
      <c r="K1628" s="186">
        <v>3108</v>
      </c>
      <c r="L1628" s="187" t="s">
        <v>173</v>
      </c>
      <c r="M1628" s="187" t="s">
        <v>175</v>
      </c>
    </row>
    <row r="1629" spans="1:13" s="188" customFormat="1">
      <c r="A1629" s="185" t="s">
        <v>1447</v>
      </c>
      <c r="B1629" s="133" t="s">
        <v>4857</v>
      </c>
      <c r="C1629" s="185" t="s">
        <v>3023</v>
      </c>
      <c r="D1629" s="133" t="s">
        <v>4858</v>
      </c>
      <c r="E1629" s="134">
        <v>1</v>
      </c>
      <c r="F1629" s="135" t="s">
        <v>1449</v>
      </c>
      <c r="G1629" s="185" t="s">
        <v>15</v>
      </c>
      <c r="H1629" s="185" t="s">
        <v>15</v>
      </c>
      <c r="I1629" s="185" t="s">
        <v>15</v>
      </c>
      <c r="J1629" s="135" t="s">
        <v>1450</v>
      </c>
      <c r="K1629" s="186">
        <v>708</v>
      </c>
      <c r="L1629" s="187" t="s">
        <v>173</v>
      </c>
      <c r="M1629" s="187" t="s">
        <v>175</v>
      </c>
    </row>
    <row r="1630" spans="1:13" s="188" customFormat="1">
      <c r="A1630" s="185" t="s">
        <v>1447</v>
      </c>
      <c r="B1630" s="133" t="s">
        <v>4859</v>
      </c>
      <c r="C1630" s="185" t="s">
        <v>3023</v>
      </c>
      <c r="D1630" s="133" t="s">
        <v>4860</v>
      </c>
      <c r="E1630" s="134">
        <v>1</v>
      </c>
      <c r="F1630" s="135" t="s">
        <v>1449</v>
      </c>
      <c r="G1630" s="185" t="s">
        <v>15</v>
      </c>
      <c r="H1630" s="185" t="s">
        <v>15</v>
      </c>
      <c r="I1630" s="185" t="s">
        <v>15</v>
      </c>
      <c r="J1630" s="135" t="s">
        <v>1450</v>
      </c>
      <c r="K1630" s="186">
        <v>1896</v>
      </c>
      <c r="L1630" s="187" t="s">
        <v>173</v>
      </c>
      <c r="M1630" s="187" t="s">
        <v>175</v>
      </c>
    </row>
    <row r="1631" spans="1:13" s="188" customFormat="1">
      <c r="A1631" s="185" t="s">
        <v>1447</v>
      </c>
      <c r="B1631" s="133" t="s">
        <v>4861</v>
      </c>
      <c r="C1631" s="185" t="s">
        <v>3023</v>
      </c>
      <c r="D1631" s="133" t="s">
        <v>4862</v>
      </c>
      <c r="E1631" s="134">
        <v>1</v>
      </c>
      <c r="F1631" s="135" t="s">
        <v>1449</v>
      </c>
      <c r="G1631" s="185" t="s">
        <v>15</v>
      </c>
      <c r="H1631" s="185" t="s">
        <v>15</v>
      </c>
      <c r="I1631" s="185" t="s">
        <v>15</v>
      </c>
      <c r="J1631" s="135" t="s">
        <v>1450</v>
      </c>
      <c r="K1631" s="186">
        <v>804</v>
      </c>
      <c r="L1631" s="187" t="s">
        <v>173</v>
      </c>
      <c r="M1631" s="187" t="s">
        <v>175</v>
      </c>
    </row>
    <row r="1632" spans="1:13" s="188" customFormat="1">
      <c r="A1632" s="185" t="s">
        <v>1447</v>
      </c>
      <c r="B1632" s="133" t="s">
        <v>4863</v>
      </c>
      <c r="C1632" s="185" t="s">
        <v>3023</v>
      </c>
      <c r="D1632" s="133" t="s">
        <v>4864</v>
      </c>
      <c r="E1632" s="134">
        <v>1</v>
      </c>
      <c r="F1632" s="135" t="s">
        <v>1449</v>
      </c>
      <c r="G1632" s="185" t="s">
        <v>15</v>
      </c>
      <c r="H1632" s="185" t="s">
        <v>15</v>
      </c>
      <c r="I1632" s="185" t="s">
        <v>15</v>
      </c>
      <c r="J1632" s="135" t="s">
        <v>1450</v>
      </c>
      <c r="K1632" s="186">
        <v>6600</v>
      </c>
      <c r="L1632" s="187" t="s">
        <v>173</v>
      </c>
      <c r="M1632" s="187" t="s">
        <v>175</v>
      </c>
    </row>
    <row r="1633" spans="1:13" s="188" customFormat="1">
      <c r="A1633" s="185" t="s">
        <v>1447</v>
      </c>
      <c r="B1633" s="133" t="s">
        <v>4865</v>
      </c>
      <c r="C1633" s="185" t="s">
        <v>3023</v>
      </c>
      <c r="D1633" s="133" t="s">
        <v>4864</v>
      </c>
      <c r="E1633" s="134">
        <v>1</v>
      </c>
      <c r="F1633" s="135" t="s">
        <v>1449</v>
      </c>
      <c r="G1633" s="185" t="s">
        <v>15</v>
      </c>
      <c r="H1633" s="185" t="s">
        <v>15</v>
      </c>
      <c r="I1633" s="185" t="s">
        <v>15</v>
      </c>
      <c r="J1633" s="135" t="s">
        <v>1450</v>
      </c>
      <c r="K1633" s="186">
        <v>4980</v>
      </c>
      <c r="L1633" s="187" t="s">
        <v>173</v>
      </c>
      <c r="M1633" s="187" t="s">
        <v>175</v>
      </c>
    </row>
    <row r="1634" spans="1:13" s="188" customFormat="1">
      <c r="A1634" s="185" t="s">
        <v>1447</v>
      </c>
      <c r="B1634" s="133" t="s">
        <v>4866</v>
      </c>
      <c r="C1634" s="185" t="s">
        <v>3023</v>
      </c>
      <c r="D1634" s="133" t="s">
        <v>4864</v>
      </c>
      <c r="E1634" s="134">
        <v>1</v>
      </c>
      <c r="F1634" s="135" t="s">
        <v>1449</v>
      </c>
      <c r="G1634" s="185" t="s">
        <v>15</v>
      </c>
      <c r="H1634" s="185" t="s">
        <v>15</v>
      </c>
      <c r="I1634" s="185" t="s">
        <v>15</v>
      </c>
      <c r="J1634" s="135" t="s">
        <v>1450</v>
      </c>
      <c r="K1634" s="186">
        <v>4728</v>
      </c>
      <c r="L1634" s="187" t="s">
        <v>173</v>
      </c>
      <c r="M1634" s="187" t="s">
        <v>175</v>
      </c>
    </row>
    <row r="1635" spans="1:13" s="188" customFormat="1">
      <c r="A1635" s="185" t="s">
        <v>1447</v>
      </c>
      <c r="B1635" s="133" t="s">
        <v>4867</v>
      </c>
      <c r="C1635" s="185" t="s">
        <v>3023</v>
      </c>
      <c r="D1635" s="133" t="s">
        <v>4864</v>
      </c>
      <c r="E1635" s="134">
        <v>1</v>
      </c>
      <c r="F1635" s="135" t="s">
        <v>1449</v>
      </c>
      <c r="G1635" s="185" t="s">
        <v>15</v>
      </c>
      <c r="H1635" s="185" t="s">
        <v>15</v>
      </c>
      <c r="I1635" s="185" t="s">
        <v>15</v>
      </c>
      <c r="J1635" s="135" t="s">
        <v>1450</v>
      </c>
      <c r="K1635" s="186">
        <v>4608</v>
      </c>
      <c r="L1635" s="187" t="s">
        <v>173</v>
      </c>
      <c r="M1635" s="187" t="s">
        <v>175</v>
      </c>
    </row>
    <row r="1636" spans="1:13" s="188" customFormat="1">
      <c r="A1636" s="185" t="s">
        <v>1447</v>
      </c>
      <c r="B1636" s="133" t="s">
        <v>4868</v>
      </c>
      <c r="C1636" s="185" t="s">
        <v>3023</v>
      </c>
      <c r="D1636" s="133" t="s">
        <v>4864</v>
      </c>
      <c r="E1636" s="134">
        <v>1</v>
      </c>
      <c r="F1636" s="135" t="s">
        <v>1449</v>
      </c>
      <c r="G1636" s="185" t="s">
        <v>15</v>
      </c>
      <c r="H1636" s="185" t="s">
        <v>15</v>
      </c>
      <c r="I1636" s="185" t="s">
        <v>15</v>
      </c>
      <c r="J1636" s="135" t="s">
        <v>1450</v>
      </c>
      <c r="K1636" s="186">
        <v>4488</v>
      </c>
      <c r="L1636" s="187" t="s">
        <v>173</v>
      </c>
      <c r="M1636" s="187" t="s">
        <v>175</v>
      </c>
    </row>
    <row r="1637" spans="1:13" s="188" customFormat="1">
      <c r="A1637" s="185" t="s">
        <v>1447</v>
      </c>
      <c r="B1637" s="133" t="s">
        <v>4869</v>
      </c>
      <c r="C1637" s="185" t="s">
        <v>3023</v>
      </c>
      <c r="D1637" s="133" t="s">
        <v>4870</v>
      </c>
      <c r="E1637" s="134">
        <v>1</v>
      </c>
      <c r="F1637" s="135" t="s">
        <v>1449</v>
      </c>
      <c r="G1637" s="185" t="s">
        <v>15</v>
      </c>
      <c r="H1637" s="185" t="s">
        <v>15</v>
      </c>
      <c r="I1637" s="185" t="s">
        <v>15</v>
      </c>
      <c r="J1637" s="135" t="s">
        <v>1450</v>
      </c>
      <c r="K1637" s="186">
        <v>6228</v>
      </c>
      <c r="L1637" s="187" t="s">
        <v>173</v>
      </c>
      <c r="M1637" s="187" t="s">
        <v>175</v>
      </c>
    </row>
    <row r="1638" spans="1:13" s="188" customFormat="1">
      <c r="A1638" s="185" t="s">
        <v>1447</v>
      </c>
      <c r="B1638" s="133" t="s">
        <v>4871</v>
      </c>
      <c r="C1638" s="185" t="s">
        <v>3023</v>
      </c>
      <c r="D1638" s="133" t="s">
        <v>4870</v>
      </c>
      <c r="E1638" s="134">
        <v>1</v>
      </c>
      <c r="F1638" s="135" t="s">
        <v>1449</v>
      </c>
      <c r="G1638" s="185" t="s">
        <v>15</v>
      </c>
      <c r="H1638" s="185" t="s">
        <v>15</v>
      </c>
      <c r="I1638" s="185" t="s">
        <v>15</v>
      </c>
      <c r="J1638" s="135" t="s">
        <v>1450</v>
      </c>
      <c r="K1638" s="186">
        <v>6096</v>
      </c>
      <c r="L1638" s="187" t="s">
        <v>173</v>
      </c>
      <c r="M1638" s="187" t="s">
        <v>175</v>
      </c>
    </row>
    <row r="1639" spans="1:13" s="188" customFormat="1">
      <c r="A1639" s="185" t="s">
        <v>1447</v>
      </c>
      <c r="B1639" s="133" t="s">
        <v>4872</v>
      </c>
      <c r="C1639" s="185" t="s">
        <v>3023</v>
      </c>
      <c r="D1639" s="133" t="s">
        <v>4870</v>
      </c>
      <c r="E1639" s="134">
        <v>1</v>
      </c>
      <c r="F1639" s="135" t="s">
        <v>1449</v>
      </c>
      <c r="G1639" s="185" t="s">
        <v>15</v>
      </c>
      <c r="H1639" s="185" t="s">
        <v>15</v>
      </c>
      <c r="I1639" s="185" t="s">
        <v>15</v>
      </c>
      <c r="J1639" s="135" t="s">
        <v>1450</v>
      </c>
      <c r="K1639" s="186">
        <v>5976</v>
      </c>
      <c r="L1639" s="187" t="s">
        <v>173</v>
      </c>
      <c r="M1639" s="187" t="s">
        <v>175</v>
      </c>
    </row>
    <row r="1640" spans="1:13" s="188" customFormat="1">
      <c r="A1640" s="185" t="s">
        <v>1447</v>
      </c>
      <c r="B1640" s="133" t="s">
        <v>4873</v>
      </c>
      <c r="C1640" s="185" t="s">
        <v>3023</v>
      </c>
      <c r="D1640" s="133" t="s">
        <v>4870</v>
      </c>
      <c r="E1640" s="134">
        <v>1</v>
      </c>
      <c r="F1640" s="135" t="s">
        <v>1449</v>
      </c>
      <c r="G1640" s="185" t="s">
        <v>15</v>
      </c>
      <c r="H1640" s="185" t="s">
        <v>15</v>
      </c>
      <c r="I1640" s="185" t="s">
        <v>15</v>
      </c>
      <c r="J1640" s="135" t="s">
        <v>1450</v>
      </c>
      <c r="K1640" s="186">
        <v>5484</v>
      </c>
      <c r="L1640" s="187" t="s">
        <v>173</v>
      </c>
      <c r="M1640" s="187" t="s">
        <v>175</v>
      </c>
    </row>
    <row r="1641" spans="1:13" s="188" customFormat="1">
      <c r="A1641" s="185" t="s">
        <v>1447</v>
      </c>
      <c r="B1641" s="133" t="s">
        <v>4874</v>
      </c>
      <c r="C1641" s="185" t="s">
        <v>3023</v>
      </c>
      <c r="D1641" s="133" t="s">
        <v>4870</v>
      </c>
      <c r="E1641" s="134">
        <v>1</v>
      </c>
      <c r="F1641" s="135" t="s">
        <v>1449</v>
      </c>
      <c r="G1641" s="185" t="s">
        <v>15</v>
      </c>
      <c r="H1641" s="185" t="s">
        <v>15</v>
      </c>
      <c r="I1641" s="185" t="s">
        <v>15</v>
      </c>
      <c r="J1641" s="135" t="s">
        <v>1450</v>
      </c>
      <c r="K1641" s="186">
        <v>4488</v>
      </c>
      <c r="L1641" s="187" t="s">
        <v>173</v>
      </c>
      <c r="M1641" s="187" t="s">
        <v>175</v>
      </c>
    </row>
    <row r="1642" spans="1:13" s="188" customFormat="1">
      <c r="A1642" s="185" t="s">
        <v>1447</v>
      </c>
      <c r="B1642" s="133" t="s">
        <v>4875</v>
      </c>
      <c r="C1642" s="185" t="s">
        <v>3023</v>
      </c>
      <c r="D1642" s="133" t="s">
        <v>4876</v>
      </c>
      <c r="E1642" s="134">
        <v>1</v>
      </c>
      <c r="F1642" s="135" t="s">
        <v>1449</v>
      </c>
      <c r="G1642" s="185" t="s">
        <v>15</v>
      </c>
      <c r="H1642" s="185" t="s">
        <v>15</v>
      </c>
      <c r="I1642" s="185" t="s">
        <v>15</v>
      </c>
      <c r="J1642" s="135" t="s">
        <v>1450</v>
      </c>
      <c r="K1642" s="186">
        <v>52296</v>
      </c>
      <c r="L1642" s="187" t="s">
        <v>173</v>
      </c>
      <c r="M1642" s="187" t="s">
        <v>175</v>
      </c>
    </row>
    <row r="1643" spans="1:13" s="188" customFormat="1">
      <c r="A1643" s="185" t="s">
        <v>1447</v>
      </c>
      <c r="B1643" s="133" t="s">
        <v>4877</v>
      </c>
      <c r="C1643" s="185" t="s">
        <v>3023</v>
      </c>
      <c r="D1643" s="133" t="s">
        <v>4876</v>
      </c>
      <c r="E1643" s="134">
        <v>1</v>
      </c>
      <c r="F1643" s="135" t="s">
        <v>1449</v>
      </c>
      <c r="G1643" s="185" t="s">
        <v>15</v>
      </c>
      <c r="H1643" s="185" t="s">
        <v>15</v>
      </c>
      <c r="I1643" s="185" t="s">
        <v>15</v>
      </c>
      <c r="J1643" s="135" t="s">
        <v>1450</v>
      </c>
      <c r="K1643" s="186">
        <v>48564</v>
      </c>
      <c r="L1643" s="187" t="s">
        <v>173</v>
      </c>
      <c r="M1643" s="187" t="s">
        <v>175</v>
      </c>
    </row>
    <row r="1644" spans="1:13" s="188" customFormat="1">
      <c r="A1644" s="185" t="s">
        <v>1447</v>
      </c>
      <c r="B1644" s="133" t="s">
        <v>4878</v>
      </c>
      <c r="C1644" s="185" t="s">
        <v>3023</v>
      </c>
      <c r="D1644" s="133" t="s">
        <v>4876</v>
      </c>
      <c r="E1644" s="134">
        <v>1</v>
      </c>
      <c r="F1644" s="135" t="s">
        <v>1449</v>
      </c>
      <c r="G1644" s="185" t="s">
        <v>15</v>
      </c>
      <c r="H1644" s="185" t="s">
        <v>15</v>
      </c>
      <c r="I1644" s="185" t="s">
        <v>15</v>
      </c>
      <c r="J1644" s="135" t="s">
        <v>1450</v>
      </c>
      <c r="K1644" s="186">
        <v>47316</v>
      </c>
      <c r="L1644" s="187" t="s">
        <v>173</v>
      </c>
      <c r="M1644" s="187" t="s">
        <v>175</v>
      </c>
    </row>
    <row r="1645" spans="1:13" s="188" customFormat="1">
      <c r="A1645" s="185" t="s">
        <v>1447</v>
      </c>
      <c r="B1645" s="133" t="s">
        <v>4879</v>
      </c>
      <c r="C1645" s="185" t="s">
        <v>3023</v>
      </c>
      <c r="D1645" s="133" t="s">
        <v>4876</v>
      </c>
      <c r="E1645" s="134">
        <v>1</v>
      </c>
      <c r="F1645" s="135" t="s">
        <v>1449</v>
      </c>
      <c r="G1645" s="185" t="s">
        <v>15</v>
      </c>
      <c r="H1645" s="185" t="s">
        <v>15</v>
      </c>
      <c r="I1645" s="185" t="s">
        <v>15</v>
      </c>
      <c r="J1645" s="135" t="s">
        <v>1450</v>
      </c>
      <c r="K1645" s="186">
        <v>46068</v>
      </c>
      <c r="L1645" s="187" t="s">
        <v>173</v>
      </c>
      <c r="M1645" s="187" t="s">
        <v>175</v>
      </c>
    </row>
    <row r="1646" spans="1:13" s="188" customFormat="1">
      <c r="A1646" s="185" t="s">
        <v>1447</v>
      </c>
      <c r="B1646" s="133" t="s">
        <v>4880</v>
      </c>
      <c r="C1646" s="185" t="s">
        <v>3023</v>
      </c>
      <c r="D1646" s="133" t="s">
        <v>4876</v>
      </c>
      <c r="E1646" s="134">
        <v>1</v>
      </c>
      <c r="F1646" s="135" t="s">
        <v>1449</v>
      </c>
      <c r="G1646" s="185" t="s">
        <v>15</v>
      </c>
      <c r="H1646" s="185" t="s">
        <v>15</v>
      </c>
      <c r="I1646" s="185" t="s">
        <v>15</v>
      </c>
      <c r="J1646" s="135" t="s">
        <v>1450</v>
      </c>
      <c r="K1646" s="186">
        <v>44820</v>
      </c>
      <c r="L1646" s="187" t="s">
        <v>173</v>
      </c>
      <c r="M1646" s="187" t="s">
        <v>175</v>
      </c>
    </row>
    <row r="1647" spans="1:13" s="188" customFormat="1">
      <c r="A1647" s="185" t="s">
        <v>1447</v>
      </c>
      <c r="B1647" s="133" t="s">
        <v>4881</v>
      </c>
      <c r="C1647" s="185" t="s">
        <v>3023</v>
      </c>
      <c r="D1647" s="133" t="s">
        <v>4882</v>
      </c>
      <c r="E1647" s="134">
        <v>1</v>
      </c>
      <c r="F1647" s="135" t="s">
        <v>1449</v>
      </c>
      <c r="G1647" s="185" t="s">
        <v>15</v>
      </c>
      <c r="H1647" s="185" t="s">
        <v>15</v>
      </c>
      <c r="I1647" s="185" t="s">
        <v>15</v>
      </c>
      <c r="J1647" s="135" t="s">
        <v>1450</v>
      </c>
      <c r="K1647" s="186">
        <v>10176</v>
      </c>
      <c r="L1647" s="187" t="s">
        <v>173</v>
      </c>
      <c r="M1647" s="187" t="s">
        <v>175</v>
      </c>
    </row>
    <row r="1648" spans="1:13" s="188" customFormat="1">
      <c r="A1648" s="185" t="s">
        <v>1447</v>
      </c>
      <c r="B1648" s="133" t="s">
        <v>4883</v>
      </c>
      <c r="C1648" s="185" t="s">
        <v>3023</v>
      </c>
      <c r="D1648" s="133" t="s">
        <v>1609</v>
      </c>
      <c r="E1648" s="134">
        <v>1</v>
      </c>
      <c r="F1648" s="135" t="s">
        <v>1449</v>
      </c>
      <c r="G1648" s="185" t="s">
        <v>15</v>
      </c>
      <c r="H1648" s="185" t="s">
        <v>15</v>
      </c>
      <c r="I1648" s="185" t="s">
        <v>15</v>
      </c>
      <c r="J1648" s="135" t="s">
        <v>1450</v>
      </c>
      <c r="K1648" s="186">
        <v>112.08</v>
      </c>
      <c r="L1648" s="187" t="s">
        <v>173</v>
      </c>
      <c r="M1648" s="187" t="s">
        <v>175</v>
      </c>
    </row>
    <row r="1649" spans="1:13" s="188" customFormat="1">
      <c r="A1649" s="185" t="s">
        <v>1447</v>
      </c>
      <c r="B1649" s="133" t="s">
        <v>4884</v>
      </c>
      <c r="C1649" s="185" t="s">
        <v>3023</v>
      </c>
      <c r="D1649" s="133" t="s">
        <v>1609</v>
      </c>
      <c r="E1649" s="134">
        <v>1</v>
      </c>
      <c r="F1649" s="135" t="s">
        <v>1449</v>
      </c>
      <c r="G1649" s="185" t="s">
        <v>15</v>
      </c>
      <c r="H1649" s="185" t="s">
        <v>15</v>
      </c>
      <c r="I1649" s="185" t="s">
        <v>15</v>
      </c>
      <c r="J1649" s="135" t="s">
        <v>1450</v>
      </c>
      <c r="K1649" s="186">
        <v>68.52</v>
      </c>
      <c r="L1649" s="187" t="s">
        <v>173</v>
      </c>
      <c r="M1649" s="187" t="s">
        <v>175</v>
      </c>
    </row>
    <row r="1650" spans="1:13" s="188" customFormat="1">
      <c r="A1650" s="185" t="s">
        <v>1447</v>
      </c>
      <c r="B1650" s="133" t="s">
        <v>4885</v>
      </c>
      <c r="C1650" s="185" t="s">
        <v>3023</v>
      </c>
      <c r="D1650" s="133" t="s">
        <v>1609</v>
      </c>
      <c r="E1650" s="134">
        <v>1</v>
      </c>
      <c r="F1650" s="135" t="s">
        <v>1449</v>
      </c>
      <c r="G1650" s="185" t="s">
        <v>15</v>
      </c>
      <c r="H1650" s="185" t="s">
        <v>15</v>
      </c>
      <c r="I1650" s="185" t="s">
        <v>15</v>
      </c>
      <c r="J1650" s="135" t="s">
        <v>1450</v>
      </c>
      <c r="K1650" s="186">
        <v>29.64</v>
      </c>
      <c r="L1650" s="187" t="s">
        <v>173</v>
      </c>
      <c r="M1650" s="187" t="s">
        <v>175</v>
      </c>
    </row>
    <row r="1651" spans="1:13" s="188" customFormat="1">
      <c r="A1651" s="185" t="s">
        <v>1447</v>
      </c>
      <c r="B1651" s="133" t="s">
        <v>4886</v>
      </c>
      <c r="C1651" s="185" t="s">
        <v>3023</v>
      </c>
      <c r="D1651" s="133" t="s">
        <v>1612</v>
      </c>
      <c r="E1651" s="134">
        <v>1</v>
      </c>
      <c r="F1651" s="135" t="s">
        <v>1449</v>
      </c>
      <c r="G1651" s="185" t="s">
        <v>15</v>
      </c>
      <c r="H1651" s="185" t="s">
        <v>15</v>
      </c>
      <c r="I1651" s="185" t="s">
        <v>15</v>
      </c>
      <c r="J1651" s="135" t="s">
        <v>1450</v>
      </c>
      <c r="K1651" s="186">
        <v>648</v>
      </c>
      <c r="L1651" s="187" t="s">
        <v>173</v>
      </c>
      <c r="M1651" s="187" t="s">
        <v>175</v>
      </c>
    </row>
    <row r="1652" spans="1:13" s="188" customFormat="1">
      <c r="A1652" s="185" t="s">
        <v>1447</v>
      </c>
      <c r="B1652" s="133" t="s">
        <v>4887</v>
      </c>
      <c r="C1652" s="185" t="s">
        <v>3023</v>
      </c>
      <c r="D1652" s="133" t="s">
        <v>1612</v>
      </c>
      <c r="E1652" s="134">
        <v>1</v>
      </c>
      <c r="F1652" s="135" t="s">
        <v>1449</v>
      </c>
      <c r="G1652" s="185" t="s">
        <v>15</v>
      </c>
      <c r="H1652" s="185" t="s">
        <v>15</v>
      </c>
      <c r="I1652" s="185" t="s">
        <v>15</v>
      </c>
      <c r="J1652" s="135" t="s">
        <v>1450</v>
      </c>
      <c r="K1652" s="186">
        <v>528</v>
      </c>
      <c r="L1652" s="187" t="s">
        <v>173</v>
      </c>
      <c r="M1652" s="187" t="s">
        <v>175</v>
      </c>
    </row>
    <row r="1653" spans="1:13" s="188" customFormat="1">
      <c r="A1653" s="185" t="s">
        <v>1447</v>
      </c>
      <c r="B1653" s="133" t="s">
        <v>4888</v>
      </c>
      <c r="C1653" s="185" t="s">
        <v>3023</v>
      </c>
      <c r="D1653" s="133" t="s">
        <v>1612</v>
      </c>
      <c r="E1653" s="134">
        <v>1</v>
      </c>
      <c r="F1653" s="135" t="s">
        <v>1449</v>
      </c>
      <c r="G1653" s="185" t="s">
        <v>15</v>
      </c>
      <c r="H1653" s="185" t="s">
        <v>15</v>
      </c>
      <c r="I1653" s="185" t="s">
        <v>15</v>
      </c>
      <c r="J1653" s="135" t="s">
        <v>1450</v>
      </c>
      <c r="K1653" s="186">
        <v>420</v>
      </c>
      <c r="L1653" s="187" t="s">
        <v>173</v>
      </c>
      <c r="M1653" s="187" t="s">
        <v>175</v>
      </c>
    </row>
    <row r="1654" spans="1:13" s="188" customFormat="1">
      <c r="A1654" s="185" t="s">
        <v>1447</v>
      </c>
      <c r="B1654" s="133" t="s">
        <v>4889</v>
      </c>
      <c r="C1654" s="185" t="s">
        <v>3023</v>
      </c>
      <c r="D1654" s="133" t="s">
        <v>1604</v>
      </c>
      <c r="E1654" s="134">
        <v>1</v>
      </c>
      <c r="F1654" s="135" t="s">
        <v>1449</v>
      </c>
      <c r="G1654" s="185" t="s">
        <v>15</v>
      </c>
      <c r="H1654" s="185" t="s">
        <v>15</v>
      </c>
      <c r="I1654" s="185" t="s">
        <v>15</v>
      </c>
      <c r="J1654" s="135" t="s">
        <v>1450</v>
      </c>
      <c r="K1654" s="186">
        <v>8712</v>
      </c>
      <c r="L1654" s="187" t="s">
        <v>173</v>
      </c>
      <c r="M1654" s="187" t="s">
        <v>175</v>
      </c>
    </row>
    <row r="1655" spans="1:13" s="188" customFormat="1">
      <c r="A1655" s="185" t="s">
        <v>1447</v>
      </c>
      <c r="B1655" s="133" t="s">
        <v>4890</v>
      </c>
      <c r="C1655" s="185" t="s">
        <v>3023</v>
      </c>
      <c r="D1655" s="133" t="s">
        <v>4891</v>
      </c>
      <c r="E1655" s="134">
        <v>1</v>
      </c>
      <c r="F1655" s="135" t="s">
        <v>1449</v>
      </c>
      <c r="G1655" s="185" t="s">
        <v>15</v>
      </c>
      <c r="H1655" s="185" t="s">
        <v>15</v>
      </c>
      <c r="I1655" s="185" t="s">
        <v>15</v>
      </c>
      <c r="J1655" s="135" t="s">
        <v>1450</v>
      </c>
      <c r="K1655" s="186">
        <v>3900</v>
      </c>
      <c r="L1655" s="187" t="s">
        <v>173</v>
      </c>
      <c r="M1655" s="187" t="s">
        <v>175</v>
      </c>
    </row>
    <row r="1656" spans="1:13" s="188" customFormat="1">
      <c r="A1656" s="185" t="s">
        <v>1447</v>
      </c>
      <c r="B1656" s="133" t="s">
        <v>4892</v>
      </c>
      <c r="C1656" s="185" t="s">
        <v>3023</v>
      </c>
      <c r="D1656" s="133" t="s">
        <v>4891</v>
      </c>
      <c r="E1656" s="134">
        <v>1</v>
      </c>
      <c r="F1656" s="135" t="s">
        <v>1449</v>
      </c>
      <c r="G1656" s="185" t="s">
        <v>15</v>
      </c>
      <c r="H1656" s="185" t="s">
        <v>15</v>
      </c>
      <c r="I1656" s="185" t="s">
        <v>15</v>
      </c>
      <c r="J1656" s="135" t="s">
        <v>1450</v>
      </c>
      <c r="K1656" s="186">
        <v>2652</v>
      </c>
      <c r="L1656" s="187" t="s">
        <v>173</v>
      </c>
      <c r="M1656" s="187" t="s">
        <v>175</v>
      </c>
    </row>
    <row r="1657" spans="1:13" s="188" customFormat="1">
      <c r="A1657" s="185" t="s">
        <v>1447</v>
      </c>
      <c r="B1657" s="133" t="s">
        <v>4893</v>
      </c>
      <c r="C1657" s="185" t="s">
        <v>3023</v>
      </c>
      <c r="D1657" s="133" t="s">
        <v>4891</v>
      </c>
      <c r="E1657" s="134">
        <v>1</v>
      </c>
      <c r="F1657" s="135" t="s">
        <v>1449</v>
      </c>
      <c r="G1657" s="185" t="s">
        <v>15</v>
      </c>
      <c r="H1657" s="185" t="s">
        <v>15</v>
      </c>
      <c r="I1657" s="185" t="s">
        <v>15</v>
      </c>
      <c r="J1657" s="135" t="s">
        <v>1450</v>
      </c>
      <c r="K1657" s="186">
        <v>2184</v>
      </c>
      <c r="L1657" s="187" t="s">
        <v>173</v>
      </c>
      <c r="M1657" s="187" t="s">
        <v>175</v>
      </c>
    </row>
    <row r="1658" spans="1:13" s="188" customFormat="1">
      <c r="A1658" s="185" t="s">
        <v>1447</v>
      </c>
      <c r="B1658" s="133" t="s">
        <v>4894</v>
      </c>
      <c r="C1658" s="185" t="s">
        <v>3023</v>
      </c>
      <c r="D1658" s="133" t="s">
        <v>4891</v>
      </c>
      <c r="E1658" s="134">
        <v>1</v>
      </c>
      <c r="F1658" s="135" t="s">
        <v>1449</v>
      </c>
      <c r="G1658" s="185" t="s">
        <v>15</v>
      </c>
      <c r="H1658" s="185" t="s">
        <v>15</v>
      </c>
      <c r="I1658" s="185" t="s">
        <v>15</v>
      </c>
      <c r="J1658" s="135" t="s">
        <v>1450</v>
      </c>
      <c r="K1658" s="186">
        <v>1716</v>
      </c>
      <c r="L1658" s="187" t="s">
        <v>173</v>
      </c>
      <c r="M1658" s="187" t="s">
        <v>175</v>
      </c>
    </row>
    <row r="1659" spans="1:13" s="188" customFormat="1">
      <c r="A1659" s="185" t="s">
        <v>1447</v>
      </c>
      <c r="B1659" s="133" t="s">
        <v>4895</v>
      </c>
      <c r="C1659" s="185" t="s">
        <v>3023</v>
      </c>
      <c r="D1659" s="133" t="s">
        <v>4896</v>
      </c>
      <c r="E1659" s="134">
        <v>1</v>
      </c>
      <c r="F1659" s="135" t="s">
        <v>1449</v>
      </c>
      <c r="G1659" s="185" t="s">
        <v>15</v>
      </c>
      <c r="H1659" s="185" t="s">
        <v>15</v>
      </c>
      <c r="I1659" s="185" t="s">
        <v>15</v>
      </c>
      <c r="J1659" s="135" t="s">
        <v>1450</v>
      </c>
      <c r="K1659" s="186">
        <v>3900</v>
      </c>
      <c r="L1659" s="187" t="s">
        <v>173</v>
      </c>
      <c r="M1659" s="187" t="s">
        <v>175</v>
      </c>
    </row>
    <row r="1660" spans="1:13" s="188" customFormat="1">
      <c r="A1660" s="185" t="s">
        <v>1447</v>
      </c>
      <c r="B1660" s="133" t="s">
        <v>4897</v>
      </c>
      <c r="C1660" s="185" t="s">
        <v>3023</v>
      </c>
      <c r="D1660" s="133" t="s">
        <v>4896</v>
      </c>
      <c r="E1660" s="134">
        <v>1</v>
      </c>
      <c r="F1660" s="135" t="s">
        <v>1449</v>
      </c>
      <c r="G1660" s="185" t="s">
        <v>15</v>
      </c>
      <c r="H1660" s="185" t="s">
        <v>15</v>
      </c>
      <c r="I1660" s="185" t="s">
        <v>15</v>
      </c>
      <c r="J1660" s="135" t="s">
        <v>1450</v>
      </c>
      <c r="K1660" s="186">
        <v>2652</v>
      </c>
      <c r="L1660" s="187" t="s">
        <v>173</v>
      </c>
      <c r="M1660" s="187" t="s">
        <v>175</v>
      </c>
    </row>
    <row r="1661" spans="1:13" s="188" customFormat="1">
      <c r="A1661" s="185" t="s">
        <v>1447</v>
      </c>
      <c r="B1661" s="133" t="s">
        <v>4898</v>
      </c>
      <c r="C1661" s="185" t="s">
        <v>3023</v>
      </c>
      <c r="D1661" s="133" t="s">
        <v>4896</v>
      </c>
      <c r="E1661" s="134">
        <v>1</v>
      </c>
      <c r="F1661" s="135" t="s">
        <v>1449</v>
      </c>
      <c r="G1661" s="185" t="s">
        <v>15</v>
      </c>
      <c r="H1661" s="185" t="s">
        <v>15</v>
      </c>
      <c r="I1661" s="185" t="s">
        <v>15</v>
      </c>
      <c r="J1661" s="135" t="s">
        <v>1450</v>
      </c>
      <c r="K1661" s="186">
        <v>2184</v>
      </c>
      <c r="L1661" s="187" t="s">
        <v>173</v>
      </c>
      <c r="M1661" s="187" t="s">
        <v>175</v>
      </c>
    </row>
    <row r="1662" spans="1:13" s="188" customFormat="1">
      <c r="A1662" s="185" t="s">
        <v>1447</v>
      </c>
      <c r="B1662" s="133" t="s">
        <v>4899</v>
      </c>
      <c r="C1662" s="185" t="s">
        <v>3023</v>
      </c>
      <c r="D1662" s="133" t="s">
        <v>4896</v>
      </c>
      <c r="E1662" s="134">
        <v>1</v>
      </c>
      <c r="F1662" s="135" t="s">
        <v>1449</v>
      </c>
      <c r="G1662" s="185" t="s">
        <v>15</v>
      </c>
      <c r="H1662" s="185" t="s">
        <v>15</v>
      </c>
      <c r="I1662" s="185" t="s">
        <v>15</v>
      </c>
      <c r="J1662" s="135" t="s">
        <v>1450</v>
      </c>
      <c r="K1662" s="186">
        <v>1716</v>
      </c>
      <c r="L1662" s="187" t="s">
        <v>173</v>
      </c>
      <c r="M1662" s="187" t="s">
        <v>175</v>
      </c>
    </row>
    <row r="1663" spans="1:13" s="188" customFormat="1">
      <c r="A1663" s="185" t="s">
        <v>1447</v>
      </c>
      <c r="B1663" s="133" t="s">
        <v>4900</v>
      </c>
      <c r="C1663" s="185" t="s">
        <v>3023</v>
      </c>
      <c r="D1663" s="133" t="s">
        <v>1602</v>
      </c>
      <c r="E1663" s="134">
        <v>1</v>
      </c>
      <c r="F1663" s="135" t="s">
        <v>1449</v>
      </c>
      <c r="G1663" s="185" t="s">
        <v>15</v>
      </c>
      <c r="H1663" s="185" t="s">
        <v>15</v>
      </c>
      <c r="I1663" s="185" t="s">
        <v>15</v>
      </c>
      <c r="J1663" s="135" t="s">
        <v>1450</v>
      </c>
      <c r="K1663" s="186">
        <v>4020</v>
      </c>
      <c r="L1663" s="187" t="s">
        <v>173</v>
      </c>
      <c r="M1663" s="187" t="s">
        <v>175</v>
      </c>
    </row>
    <row r="1664" spans="1:13" s="188" customFormat="1">
      <c r="A1664" s="185" t="s">
        <v>1447</v>
      </c>
      <c r="B1664" s="133" t="s">
        <v>4901</v>
      </c>
      <c r="C1664" s="185" t="s">
        <v>3023</v>
      </c>
      <c r="D1664" s="133" t="s">
        <v>1602</v>
      </c>
      <c r="E1664" s="134">
        <v>1</v>
      </c>
      <c r="F1664" s="135" t="s">
        <v>1449</v>
      </c>
      <c r="G1664" s="185" t="s">
        <v>15</v>
      </c>
      <c r="H1664" s="185" t="s">
        <v>15</v>
      </c>
      <c r="I1664" s="185" t="s">
        <v>15</v>
      </c>
      <c r="J1664" s="135" t="s">
        <v>1450</v>
      </c>
      <c r="K1664" s="186">
        <v>2724</v>
      </c>
      <c r="L1664" s="187" t="s">
        <v>173</v>
      </c>
      <c r="M1664" s="187" t="s">
        <v>175</v>
      </c>
    </row>
    <row r="1665" spans="1:13" s="188" customFormat="1">
      <c r="A1665" s="185" t="s">
        <v>1447</v>
      </c>
      <c r="B1665" s="133" t="s">
        <v>4902</v>
      </c>
      <c r="C1665" s="185" t="s">
        <v>3023</v>
      </c>
      <c r="D1665" s="133" t="s">
        <v>1602</v>
      </c>
      <c r="E1665" s="134">
        <v>1</v>
      </c>
      <c r="F1665" s="135" t="s">
        <v>1449</v>
      </c>
      <c r="G1665" s="185" t="s">
        <v>15</v>
      </c>
      <c r="H1665" s="185" t="s">
        <v>15</v>
      </c>
      <c r="I1665" s="185" t="s">
        <v>15</v>
      </c>
      <c r="J1665" s="135" t="s">
        <v>1450</v>
      </c>
      <c r="K1665" s="186">
        <v>1308</v>
      </c>
      <c r="L1665" s="187" t="s">
        <v>173</v>
      </c>
      <c r="M1665" s="187" t="s">
        <v>175</v>
      </c>
    </row>
    <row r="1666" spans="1:13" s="188" customFormat="1">
      <c r="A1666" s="185" t="s">
        <v>1447</v>
      </c>
      <c r="B1666" s="133" t="s">
        <v>4903</v>
      </c>
      <c r="C1666" s="185" t="s">
        <v>3023</v>
      </c>
      <c r="D1666" s="133" t="s">
        <v>1602</v>
      </c>
      <c r="E1666" s="134">
        <v>1</v>
      </c>
      <c r="F1666" s="135" t="s">
        <v>1449</v>
      </c>
      <c r="G1666" s="185" t="s">
        <v>15</v>
      </c>
      <c r="H1666" s="185" t="s">
        <v>15</v>
      </c>
      <c r="I1666" s="185" t="s">
        <v>15</v>
      </c>
      <c r="J1666" s="135" t="s">
        <v>1450</v>
      </c>
      <c r="K1666" s="186">
        <v>912</v>
      </c>
      <c r="L1666" s="187" t="s">
        <v>173</v>
      </c>
      <c r="M1666" s="187" t="s">
        <v>175</v>
      </c>
    </row>
    <row r="1667" spans="1:13" s="188" customFormat="1">
      <c r="A1667" s="185" t="s">
        <v>1447</v>
      </c>
      <c r="B1667" s="133" t="s">
        <v>4904</v>
      </c>
      <c r="C1667" s="185" t="s">
        <v>3023</v>
      </c>
      <c r="D1667" s="133" t="s">
        <v>1602</v>
      </c>
      <c r="E1667" s="134">
        <v>1</v>
      </c>
      <c r="F1667" s="135" t="s">
        <v>1449</v>
      </c>
      <c r="G1667" s="185" t="s">
        <v>15</v>
      </c>
      <c r="H1667" s="185" t="s">
        <v>15</v>
      </c>
      <c r="I1667" s="185" t="s">
        <v>15</v>
      </c>
      <c r="J1667" s="135" t="s">
        <v>1450</v>
      </c>
      <c r="K1667" s="186">
        <v>528</v>
      </c>
      <c r="L1667" s="187" t="s">
        <v>173</v>
      </c>
      <c r="M1667" s="187" t="s">
        <v>175</v>
      </c>
    </row>
    <row r="1668" spans="1:13" s="188" customFormat="1">
      <c r="A1668" s="185" t="s">
        <v>1447</v>
      </c>
      <c r="B1668" s="133" t="s">
        <v>4905</v>
      </c>
      <c r="C1668" s="185" t="s">
        <v>3023</v>
      </c>
      <c r="D1668" s="133" t="s">
        <v>4906</v>
      </c>
      <c r="E1668" s="134">
        <v>1</v>
      </c>
      <c r="F1668" s="135" t="s">
        <v>1449</v>
      </c>
      <c r="G1668" s="185" t="s">
        <v>15</v>
      </c>
      <c r="H1668" s="185" t="s">
        <v>15</v>
      </c>
      <c r="I1668" s="185" t="s">
        <v>15</v>
      </c>
      <c r="J1668" s="135" t="s">
        <v>1450</v>
      </c>
      <c r="K1668" s="186">
        <v>1344</v>
      </c>
      <c r="L1668" s="187" t="s">
        <v>173</v>
      </c>
      <c r="M1668" s="187" t="s">
        <v>175</v>
      </c>
    </row>
    <row r="1669" spans="1:13" s="188" customFormat="1">
      <c r="A1669" s="185" t="s">
        <v>1447</v>
      </c>
      <c r="B1669" s="133" t="s">
        <v>4907</v>
      </c>
      <c r="C1669" s="185" t="s">
        <v>3023</v>
      </c>
      <c r="D1669" s="133" t="s">
        <v>4906</v>
      </c>
      <c r="E1669" s="134">
        <v>1</v>
      </c>
      <c r="F1669" s="135" t="s">
        <v>1449</v>
      </c>
      <c r="G1669" s="185" t="s">
        <v>15</v>
      </c>
      <c r="H1669" s="185" t="s">
        <v>15</v>
      </c>
      <c r="I1669" s="185" t="s">
        <v>15</v>
      </c>
      <c r="J1669" s="135" t="s">
        <v>1450</v>
      </c>
      <c r="K1669" s="186">
        <v>936</v>
      </c>
      <c r="L1669" s="187" t="s">
        <v>173</v>
      </c>
      <c r="M1669" s="187" t="s">
        <v>175</v>
      </c>
    </row>
    <row r="1670" spans="1:13" s="188" customFormat="1">
      <c r="A1670" s="185" t="s">
        <v>1447</v>
      </c>
      <c r="B1670" s="133" t="s">
        <v>4908</v>
      </c>
      <c r="C1670" s="185" t="s">
        <v>3023</v>
      </c>
      <c r="D1670" s="133" t="s">
        <v>4906</v>
      </c>
      <c r="E1670" s="134">
        <v>1</v>
      </c>
      <c r="F1670" s="135" t="s">
        <v>1449</v>
      </c>
      <c r="G1670" s="185" t="s">
        <v>15</v>
      </c>
      <c r="H1670" s="185" t="s">
        <v>15</v>
      </c>
      <c r="I1670" s="185" t="s">
        <v>15</v>
      </c>
      <c r="J1670" s="135" t="s">
        <v>1450</v>
      </c>
      <c r="K1670" s="186">
        <v>564</v>
      </c>
      <c r="L1670" s="187" t="s">
        <v>173</v>
      </c>
      <c r="M1670" s="187" t="s">
        <v>175</v>
      </c>
    </row>
    <row r="1671" spans="1:13" s="188" customFormat="1">
      <c r="A1671" s="185" t="s">
        <v>1447</v>
      </c>
      <c r="B1671" s="133" t="s">
        <v>4909</v>
      </c>
      <c r="C1671" s="185" t="s">
        <v>3023</v>
      </c>
      <c r="D1671" s="133" t="s">
        <v>4906</v>
      </c>
      <c r="E1671" s="134">
        <v>1</v>
      </c>
      <c r="F1671" s="135" t="s">
        <v>1449</v>
      </c>
      <c r="G1671" s="185" t="s">
        <v>15</v>
      </c>
      <c r="H1671" s="185" t="s">
        <v>15</v>
      </c>
      <c r="I1671" s="185" t="s">
        <v>15</v>
      </c>
      <c r="J1671" s="135" t="s">
        <v>1450</v>
      </c>
      <c r="K1671" s="186">
        <v>432</v>
      </c>
      <c r="L1671" s="187" t="s">
        <v>173</v>
      </c>
      <c r="M1671" s="187" t="s">
        <v>175</v>
      </c>
    </row>
    <row r="1672" spans="1:13" s="188" customFormat="1">
      <c r="A1672" s="185" t="s">
        <v>1447</v>
      </c>
      <c r="B1672" s="133" t="s">
        <v>4910</v>
      </c>
      <c r="C1672" s="185" t="s">
        <v>3023</v>
      </c>
      <c r="D1672" s="133" t="s">
        <v>4906</v>
      </c>
      <c r="E1672" s="134">
        <v>1</v>
      </c>
      <c r="F1672" s="135" t="s">
        <v>1449</v>
      </c>
      <c r="G1672" s="185" t="s">
        <v>15</v>
      </c>
      <c r="H1672" s="185" t="s">
        <v>15</v>
      </c>
      <c r="I1672" s="185" t="s">
        <v>15</v>
      </c>
      <c r="J1672" s="135" t="s">
        <v>1450</v>
      </c>
      <c r="K1672" s="186">
        <v>408</v>
      </c>
      <c r="L1672" s="187" t="s">
        <v>173</v>
      </c>
      <c r="M1672" s="187" t="s">
        <v>175</v>
      </c>
    </row>
    <row r="1673" spans="1:13" s="188" customFormat="1">
      <c r="A1673" s="185" t="s">
        <v>1447</v>
      </c>
      <c r="B1673" s="133" t="s">
        <v>4911</v>
      </c>
      <c r="C1673" s="185" t="s">
        <v>3023</v>
      </c>
      <c r="D1673" s="133" t="s">
        <v>1603</v>
      </c>
      <c r="E1673" s="134">
        <v>1</v>
      </c>
      <c r="F1673" s="135" t="s">
        <v>1449</v>
      </c>
      <c r="G1673" s="185" t="s">
        <v>15</v>
      </c>
      <c r="H1673" s="185" t="s">
        <v>15</v>
      </c>
      <c r="I1673" s="185" t="s">
        <v>15</v>
      </c>
      <c r="J1673" s="135" t="s">
        <v>1450</v>
      </c>
      <c r="K1673" s="186">
        <v>24900</v>
      </c>
      <c r="L1673" s="187" t="s">
        <v>173</v>
      </c>
      <c r="M1673" s="187" t="s">
        <v>175</v>
      </c>
    </row>
    <row r="1674" spans="1:13" s="188" customFormat="1">
      <c r="A1674" s="185" t="s">
        <v>1447</v>
      </c>
      <c r="B1674" s="133" t="s">
        <v>4912</v>
      </c>
      <c r="C1674" s="185" t="s">
        <v>3023</v>
      </c>
      <c r="D1674" s="133" t="s">
        <v>1603</v>
      </c>
      <c r="E1674" s="134">
        <v>1</v>
      </c>
      <c r="F1674" s="135" t="s">
        <v>1449</v>
      </c>
      <c r="G1674" s="185" t="s">
        <v>15</v>
      </c>
      <c r="H1674" s="185" t="s">
        <v>15</v>
      </c>
      <c r="I1674" s="185" t="s">
        <v>15</v>
      </c>
      <c r="J1674" s="135" t="s">
        <v>1450</v>
      </c>
      <c r="K1674" s="186">
        <v>17232</v>
      </c>
      <c r="L1674" s="187" t="s">
        <v>173</v>
      </c>
      <c r="M1674" s="187" t="s">
        <v>175</v>
      </c>
    </row>
    <row r="1675" spans="1:13" s="188" customFormat="1">
      <c r="A1675" s="185" t="s">
        <v>1447</v>
      </c>
      <c r="B1675" s="133" t="s">
        <v>4913</v>
      </c>
      <c r="C1675" s="185" t="s">
        <v>3023</v>
      </c>
      <c r="D1675" s="133" t="s">
        <v>1603</v>
      </c>
      <c r="E1675" s="134">
        <v>1</v>
      </c>
      <c r="F1675" s="135" t="s">
        <v>1449</v>
      </c>
      <c r="G1675" s="185" t="s">
        <v>15</v>
      </c>
      <c r="H1675" s="185" t="s">
        <v>15</v>
      </c>
      <c r="I1675" s="185" t="s">
        <v>15</v>
      </c>
      <c r="J1675" s="135" t="s">
        <v>1450</v>
      </c>
      <c r="K1675" s="186">
        <v>10896</v>
      </c>
      <c r="L1675" s="187" t="s">
        <v>173</v>
      </c>
      <c r="M1675" s="187" t="s">
        <v>175</v>
      </c>
    </row>
    <row r="1676" spans="1:13" s="188" customFormat="1">
      <c r="A1676" s="185" t="s">
        <v>1447</v>
      </c>
      <c r="B1676" s="133" t="s">
        <v>4914</v>
      </c>
      <c r="C1676" s="185" t="s">
        <v>3023</v>
      </c>
      <c r="D1676" s="133" t="s">
        <v>1603</v>
      </c>
      <c r="E1676" s="134">
        <v>1</v>
      </c>
      <c r="F1676" s="135" t="s">
        <v>1449</v>
      </c>
      <c r="G1676" s="185" t="s">
        <v>15</v>
      </c>
      <c r="H1676" s="185" t="s">
        <v>15</v>
      </c>
      <c r="I1676" s="185" t="s">
        <v>15</v>
      </c>
      <c r="J1676" s="135" t="s">
        <v>1450</v>
      </c>
      <c r="K1676" s="186">
        <v>5508</v>
      </c>
      <c r="L1676" s="187" t="s">
        <v>173</v>
      </c>
      <c r="M1676" s="187" t="s">
        <v>175</v>
      </c>
    </row>
    <row r="1677" spans="1:13" s="188" customFormat="1">
      <c r="A1677" s="185" t="s">
        <v>1447</v>
      </c>
      <c r="B1677" s="133" t="s">
        <v>4915</v>
      </c>
      <c r="C1677" s="185" t="s">
        <v>3023</v>
      </c>
      <c r="D1677" s="133" t="s">
        <v>1603</v>
      </c>
      <c r="E1677" s="134">
        <v>1</v>
      </c>
      <c r="F1677" s="135" t="s">
        <v>1449</v>
      </c>
      <c r="G1677" s="185" t="s">
        <v>15</v>
      </c>
      <c r="H1677" s="185" t="s">
        <v>15</v>
      </c>
      <c r="I1677" s="185" t="s">
        <v>15</v>
      </c>
      <c r="J1677" s="135" t="s">
        <v>1450</v>
      </c>
      <c r="K1677" s="186">
        <v>2640</v>
      </c>
      <c r="L1677" s="187" t="s">
        <v>173</v>
      </c>
      <c r="M1677" s="187" t="s">
        <v>175</v>
      </c>
    </row>
    <row r="1678" spans="1:13" s="188" customFormat="1">
      <c r="A1678" s="185" t="s">
        <v>1447</v>
      </c>
      <c r="B1678" s="133" t="s">
        <v>4916</v>
      </c>
      <c r="C1678" s="185" t="s">
        <v>3023</v>
      </c>
      <c r="D1678" s="133" t="s">
        <v>1603</v>
      </c>
      <c r="E1678" s="134">
        <v>1</v>
      </c>
      <c r="F1678" s="135" t="s">
        <v>1449</v>
      </c>
      <c r="G1678" s="185" t="s">
        <v>15</v>
      </c>
      <c r="H1678" s="185" t="s">
        <v>15</v>
      </c>
      <c r="I1678" s="185" t="s">
        <v>15</v>
      </c>
      <c r="J1678" s="135" t="s">
        <v>1450</v>
      </c>
      <c r="K1678" s="186">
        <v>1392</v>
      </c>
      <c r="L1678" s="187" t="s">
        <v>173</v>
      </c>
      <c r="M1678" s="187" t="s">
        <v>175</v>
      </c>
    </row>
    <row r="1679" spans="1:13" s="188" customFormat="1">
      <c r="A1679" s="185" t="s">
        <v>1447</v>
      </c>
      <c r="B1679" s="133" t="s">
        <v>4917</v>
      </c>
      <c r="C1679" s="185" t="s">
        <v>3023</v>
      </c>
      <c r="D1679" s="133" t="s">
        <v>4918</v>
      </c>
      <c r="E1679" s="134">
        <v>1</v>
      </c>
      <c r="F1679" s="135" t="s">
        <v>1449</v>
      </c>
      <c r="G1679" s="185" t="s">
        <v>15</v>
      </c>
      <c r="H1679" s="185" t="s">
        <v>15</v>
      </c>
      <c r="I1679" s="185" t="s">
        <v>15</v>
      </c>
      <c r="J1679" s="135" t="s">
        <v>1450</v>
      </c>
      <c r="K1679" s="186">
        <v>924</v>
      </c>
      <c r="L1679" s="187" t="s">
        <v>173</v>
      </c>
      <c r="M1679" s="187" t="s">
        <v>175</v>
      </c>
    </row>
    <row r="1680" spans="1:13" s="188" customFormat="1">
      <c r="A1680" s="185" t="s">
        <v>1447</v>
      </c>
      <c r="B1680" s="133" t="s">
        <v>4919</v>
      </c>
      <c r="C1680" s="185" t="s">
        <v>3023</v>
      </c>
      <c r="D1680" s="133" t="s">
        <v>4920</v>
      </c>
      <c r="E1680" s="134">
        <v>1</v>
      </c>
      <c r="F1680" s="135" t="s">
        <v>1449</v>
      </c>
      <c r="G1680" s="185" t="s">
        <v>15</v>
      </c>
      <c r="H1680" s="185" t="s">
        <v>15</v>
      </c>
      <c r="I1680" s="185" t="s">
        <v>15</v>
      </c>
      <c r="J1680" s="135" t="s">
        <v>1450</v>
      </c>
      <c r="K1680" s="186">
        <v>588</v>
      </c>
      <c r="L1680" s="187" t="s">
        <v>173</v>
      </c>
      <c r="M1680" s="187" t="s">
        <v>175</v>
      </c>
    </row>
    <row r="1681" spans="1:13" s="188" customFormat="1">
      <c r="A1681" s="185" t="s">
        <v>1447</v>
      </c>
      <c r="B1681" s="133" t="s">
        <v>4921</v>
      </c>
      <c r="C1681" s="185" t="s">
        <v>3023</v>
      </c>
      <c r="D1681" s="133" t="s">
        <v>4922</v>
      </c>
      <c r="E1681" s="134">
        <v>1</v>
      </c>
      <c r="F1681" s="135" t="s">
        <v>1449</v>
      </c>
      <c r="G1681" s="185" t="s">
        <v>15</v>
      </c>
      <c r="H1681" s="185" t="s">
        <v>15</v>
      </c>
      <c r="I1681" s="185" t="s">
        <v>15</v>
      </c>
      <c r="J1681" s="135" t="s">
        <v>1450</v>
      </c>
      <c r="K1681" s="186">
        <v>1632</v>
      </c>
      <c r="L1681" s="187" t="s">
        <v>173</v>
      </c>
      <c r="M1681" s="187" t="s">
        <v>175</v>
      </c>
    </row>
    <row r="1682" spans="1:13" s="188" customFormat="1">
      <c r="A1682" s="185" t="s">
        <v>1447</v>
      </c>
      <c r="B1682" s="133" t="s">
        <v>4923</v>
      </c>
      <c r="C1682" s="185" t="s">
        <v>3023</v>
      </c>
      <c r="D1682" s="133" t="s">
        <v>4924</v>
      </c>
      <c r="E1682" s="134">
        <v>1</v>
      </c>
      <c r="F1682" s="135" t="s">
        <v>1449</v>
      </c>
      <c r="G1682" s="185" t="s">
        <v>15</v>
      </c>
      <c r="H1682" s="185" t="s">
        <v>15</v>
      </c>
      <c r="I1682" s="185" t="s">
        <v>15</v>
      </c>
      <c r="J1682" s="135" t="s">
        <v>1450</v>
      </c>
      <c r="K1682" s="186">
        <v>276</v>
      </c>
      <c r="L1682" s="187" t="s">
        <v>173</v>
      </c>
      <c r="M1682" s="187" t="s">
        <v>175</v>
      </c>
    </row>
    <row r="1683" spans="1:13" s="188" customFormat="1">
      <c r="A1683" s="185" t="s">
        <v>1447</v>
      </c>
      <c r="B1683" s="133" t="s">
        <v>4925</v>
      </c>
      <c r="C1683" s="185" t="s">
        <v>3023</v>
      </c>
      <c r="D1683" s="133" t="s">
        <v>4926</v>
      </c>
      <c r="E1683" s="134">
        <v>1</v>
      </c>
      <c r="F1683" s="135" t="s">
        <v>1449</v>
      </c>
      <c r="G1683" s="185" t="s">
        <v>15</v>
      </c>
      <c r="H1683" s="185" t="s">
        <v>15</v>
      </c>
      <c r="I1683" s="185" t="s">
        <v>15</v>
      </c>
      <c r="J1683" s="135" t="s">
        <v>1450</v>
      </c>
      <c r="K1683" s="186">
        <v>87.12</v>
      </c>
      <c r="L1683" s="187" t="s">
        <v>173</v>
      </c>
      <c r="M1683" s="187" t="s">
        <v>175</v>
      </c>
    </row>
    <row r="1684" spans="1:13" s="188" customFormat="1">
      <c r="A1684" s="185" t="s">
        <v>1447</v>
      </c>
      <c r="B1684" s="133" t="s">
        <v>4927</v>
      </c>
      <c r="C1684" s="185" t="s">
        <v>3023</v>
      </c>
      <c r="D1684" s="133" t="s">
        <v>4926</v>
      </c>
      <c r="E1684" s="134">
        <v>1</v>
      </c>
      <c r="F1684" s="135" t="s">
        <v>1449</v>
      </c>
      <c r="G1684" s="185" t="s">
        <v>15</v>
      </c>
      <c r="H1684" s="185" t="s">
        <v>15</v>
      </c>
      <c r="I1684" s="185" t="s">
        <v>15</v>
      </c>
      <c r="J1684" s="135" t="s">
        <v>1450</v>
      </c>
      <c r="K1684" s="186">
        <v>62.28</v>
      </c>
      <c r="L1684" s="187" t="s">
        <v>173</v>
      </c>
      <c r="M1684" s="187" t="s">
        <v>175</v>
      </c>
    </row>
    <row r="1685" spans="1:13" s="188" customFormat="1">
      <c r="A1685" s="185" t="s">
        <v>1447</v>
      </c>
      <c r="B1685" s="133" t="s">
        <v>4928</v>
      </c>
      <c r="C1685" s="185" t="s">
        <v>3023</v>
      </c>
      <c r="D1685" s="133" t="s">
        <v>4926</v>
      </c>
      <c r="E1685" s="134">
        <v>1</v>
      </c>
      <c r="F1685" s="135" t="s">
        <v>1449</v>
      </c>
      <c r="G1685" s="185" t="s">
        <v>15</v>
      </c>
      <c r="H1685" s="185" t="s">
        <v>15</v>
      </c>
      <c r="I1685" s="185" t="s">
        <v>15</v>
      </c>
      <c r="J1685" s="135" t="s">
        <v>1450</v>
      </c>
      <c r="K1685" s="186">
        <v>49.800000000000004</v>
      </c>
      <c r="L1685" s="187" t="s">
        <v>173</v>
      </c>
      <c r="M1685" s="187" t="s">
        <v>175</v>
      </c>
    </row>
    <row r="1686" spans="1:13" s="188" customFormat="1">
      <c r="A1686" s="185" t="s">
        <v>1447</v>
      </c>
      <c r="B1686" s="133" t="s">
        <v>4929</v>
      </c>
      <c r="C1686" s="185" t="s">
        <v>3023</v>
      </c>
      <c r="D1686" s="133" t="s">
        <v>4926</v>
      </c>
      <c r="E1686" s="134">
        <v>1</v>
      </c>
      <c r="F1686" s="135" t="s">
        <v>1449</v>
      </c>
      <c r="G1686" s="185" t="s">
        <v>15</v>
      </c>
      <c r="H1686" s="185" t="s">
        <v>15</v>
      </c>
      <c r="I1686" s="185" t="s">
        <v>15</v>
      </c>
      <c r="J1686" s="135" t="s">
        <v>1450</v>
      </c>
      <c r="K1686" s="186">
        <v>37.32</v>
      </c>
      <c r="L1686" s="187" t="s">
        <v>173</v>
      </c>
      <c r="M1686" s="187" t="s">
        <v>175</v>
      </c>
    </row>
    <row r="1687" spans="1:13" s="188" customFormat="1">
      <c r="A1687" s="185" t="s">
        <v>1447</v>
      </c>
      <c r="B1687" s="133" t="s">
        <v>4930</v>
      </c>
      <c r="C1687" s="185" t="s">
        <v>3023</v>
      </c>
      <c r="D1687" s="133" t="s">
        <v>4926</v>
      </c>
      <c r="E1687" s="134">
        <v>1</v>
      </c>
      <c r="F1687" s="135" t="s">
        <v>1449</v>
      </c>
      <c r="G1687" s="185" t="s">
        <v>15</v>
      </c>
      <c r="H1687" s="185" t="s">
        <v>15</v>
      </c>
      <c r="I1687" s="185" t="s">
        <v>15</v>
      </c>
      <c r="J1687" s="135" t="s">
        <v>1450</v>
      </c>
      <c r="K1687" s="186">
        <v>31.08</v>
      </c>
      <c r="L1687" s="187" t="s">
        <v>173</v>
      </c>
      <c r="M1687" s="187" t="s">
        <v>175</v>
      </c>
    </row>
    <row r="1688" spans="1:13" s="188" customFormat="1">
      <c r="A1688" s="185" t="s">
        <v>1447</v>
      </c>
      <c r="B1688" s="133" t="s">
        <v>4931</v>
      </c>
      <c r="C1688" s="185" t="s">
        <v>3023</v>
      </c>
      <c r="D1688" s="133" t="s">
        <v>4926</v>
      </c>
      <c r="E1688" s="134">
        <v>1</v>
      </c>
      <c r="F1688" s="135" t="s">
        <v>1449</v>
      </c>
      <c r="G1688" s="185" t="s">
        <v>15</v>
      </c>
      <c r="H1688" s="185" t="s">
        <v>15</v>
      </c>
      <c r="I1688" s="185" t="s">
        <v>15</v>
      </c>
      <c r="J1688" s="135" t="s">
        <v>1450</v>
      </c>
      <c r="K1688" s="186">
        <v>24.96</v>
      </c>
      <c r="L1688" s="187" t="s">
        <v>173</v>
      </c>
      <c r="M1688" s="187" t="s">
        <v>175</v>
      </c>
    </row>
    <row r="1689" spans="1:13" s="188" customFormat="1">
      <c r="A1689" s="185" t="s">
        <v>1447</v>
      </c>
      <c r="B1689" s="133" t="s">
        <v>4932</v>
      </c>
      <c r="C1689" s="185" t="s">
        <v>3023</v>
      </c>
      <c r="D1689" s="133" t="s">
        <v>4933</v>
      </c>
      <c r="E1689" s="134">
        <v>1</v>
      </c>
      <c r="F1689" s="135" t="s">
        <v>1449</v>
      </c>
      <c r="G1689" s="185" t="s">
        <v>15</v>
      </c>
      <c r="H1689" s="185" t="s">
        <v>15</v>
      </c>
      <c r="I1689" s="185" t="s">
        <v>15</v>
      </c>
      <c r="J1689" s="135" t="s">
        <v>1450</v>
      </c>
      <c r="K1689" s="186">
        <v>62256</v>
      </c>
      <c r="L1689" s="187" t="s">
        <v>173</v>
      </c>
      <c r="M1689" s="187" t="s">
        <v>175</v>
      </c>
    </row>
    <row r="1690" spans="1:13" s="188" customFormat="1">
      <c r="A1690" s="185" t="s">
        <v>1447</v>
      </c>
      <c r="B1690" s="133" t="s">
        <v>4934</v>
      </c>
      <c r="C1690" s="185" t="s">
        <v>3023</v>
      </c>
      <c r="D1690" s="133" t="s">
        <v>4935</v>
      </c>
      <c r="E1690" s="134">
        <v>1</v>
      </c>
      <c r="F1690" s="135" t="s">
        <v>1449</v>
      </c>
      <c r="G1690" s="185" t="s">
        <v>15</v>
      </c>
      <c r="H1690" s="185" t="s">
        <v>15</v>
      </c>
      <c r="I1690" s="185" t="s">
        <v>15</v>
      </c>
      <c r="J1690" s="135" t="s">
        <v>1450</v>
      </c>
      <c r="K1690" s="186">
        <v>83</v>
      </c>
      <c r="L1690" s="187" t="s">
        <v>173</v>
      </c>
      <c r="M1690" s="187" t="s">
        <v>175</v>
      </c>
    </row>
    <row r="1691" spans="1:13" s="188" customFormat="1">
      <c r="A1691" s="185" t="s">
        <v>1447</v>
      </c>
      <c r="B1691" s="133" t="s">
        <v>4936</v>
      </c>
      <c r="C1691" s="185" t="s">
        <v>3023</v>
      </c>
      <c r="D1691" s="133" t="s">
        <v>4935</v>
      </c>
      <c r="E1691" s="134">
        <v>1</v>
      </c>
      <c r="F1691" s="135" t="s">
        <v>1449</v>
      </c>
      <c r="G1691" s="185" t="s">
        <v>15</v>
      </c>
      <c r="H1691" s="185" t="s">
        <v>15</v>
      </c>
      <c r="I1691" s="185" t="s">
        <v>15</v>
      </c>
      <c r="J1691" s="135" t="s">
        <v>1450</v>
      </c>
      <c r="K1691" s="186">
        <v>63</v>
      </c>
      <c r="L1691" s="187" t="s">
        <v>173</v>
      </c>
      <c r="M1691" s="187" t="s">
        <v>175</v>
      </c>
    </row>
    <row r="1692" spans="1:13" s="188" customFormat="1">
      <c r="A1692" s="185" t="s">
        <v>1447</v>
      </c>
      <c r="B1692" s="133" t="s">
        <v>4937</v>
      </c>
      <c r="C1692" s="185" t="s">
        <v>3023</v>
      </c>
      <c r="D1692" s="133" t="s">
        <v>4935</v>
      </c>
      <c r="E1692" s="134">
        <v>1</v>
      </c>
      <c r="F1692" s="135" t="s">
        <v>1449</v>
      </c>
      <c r="G1692" s="185" t="s">
        <v>15</v>
      </c>
      <c r="H1692" s="185" t="s">
        <v>15</v>
      </c>
      <c r="I1692" s="185" t="s">
        <v>15</v>
      </c>
      <c r="J1692" s="135" t="s">
        <v>1450</v>
      </c>
      <c r="K1692" s="186">
        <v>51</v>
      </c>
      <c r="L1692" s="187" t="s">
        <v>173</v>
      </c>
      <c r="M1692" s="187" t="s">
        <v>175</v>
      </c>
    </row>
    <row r="1693" spans="1:13" s="188" customFormat="1">
      <c r="A1693" s="185" t="s">
        <v>1447</v>
      </c>
      <c r="B1693" s="133" t="s">
        <v>4938</v>
      </c>
      <c r="C1693" s="185" t="s">
        <v>3023</v>
      </c>
      <c r="D1693" s="133" t="s">
        <v>4935</v>
      </c>
      <c r="E1693" s="134">
        <v>1</v>
      </c>
      <c r="F1693" s="135" t="s">
        <v>1449</v>
      </c>
      <c r="G1693" s="185" t="s">
        <v>15</v>
      </c>
      <c r="H1693" s="185" t="s">
        <v>15</v>
      </c>
      <c r="I1693" s="185" t="s">
        <v>15</v>
      </c>
      <c r="J1693" s="135" t="s">
        <v>1450</v>
      </c>
      <c r="K1693" s="186">
        <v>47</v>
      </c>
      <c r="L1693" s="187" t="s">
        <v>173</v>
      </c>
      <c r="M1693" s="187" t="s">
        <v>175</v>
      </c>
    </row>
    <row r="1694" spans="1:13" s="188" customFormat="1">
      <c r="A1694" s="185" t="s">
        <v>1447</v>
      </c>
      <c r="B1694" s="133" t="s">
        <v>4939</v>
      </c>
      <c r="C1694" s="185" t="s">
        <v>3023</v>
      </c>
      <c r="D1694" s="133" t="s">
        <v>4935</v>
      </c>
      <c r="E1694" s="134">
        <v>1</v>
      </c>
      <c r="F1694" s="135" t="s">
        <v>1449</v>
      </c>
      <c r="G1694" s="185" t="s">
        <v>15</v>
      </c>
      <c r="H1694" s="185" t="s">
        <v>15</v>
      </c>
      <c r="I1694" s="185" t="s">
        <v>15</v>
      </c>
      <c r="J1694" s="135" t="s">
        <v>1450</v>
      </c>
      <c r="K1694" s="186">
        <v>44</v>
      </c>
      <c r="L1694" s="187" t="s">
        <v>173</v>
      </c>
      <c r="M1694" s="187" t="s">
        <v>175</v>
      </c>
    </row>
    <row r="1695" spans="1:13" s="188" customFormat="1">
      <c r="A1695" s="185" t="s">
        <v>1447</v>
      </c>
      <c r="B1695" s="133" t="s">
        <v>4940</v>
      </c>
      <c r="C1695" s="185" t="s">
        <v>3023</v>
      </c>
      <c r="D1695" s="133" t="s">
        <v>4935</v>
      </c>
      <c r="E1695" s="134">
        <v>1</v>
      </c>
      <c r="F1695" s="135" t="s">
        <v>1449</v>
      </c>
      <c r="G1695" s="185" t="s">
        <v>15</v>
      </c>
      <c r="H1695" s="185" t="s">
        <v>15</v>
      </c>
      <c r="I1695" s="185" t="s">
        <v>15</v>
      </c>
      <c r="J1695" s="135" t="s">
        <v>1450</v>
      </c>
      <c r="K1695" s="186">
        <v>29</v>
      </c>
      <c r="L1695" s="187" t="s">
        <v>173</v>
      </c>
      <c r="M1695" s="187" t="s">
        <v>175</v>
      </c>
    </row>
    <row r="1696" spans="1:13" s="188" customFormat="1">
      <c r="A1696" s="185" t="s">
        <v>1447</v>
      </c>
      <c r="B1696" s="133" t="s">
        <v>4941</v>
      </c>
      <c r="C1696" s="185" t="s">
        <v>3023</v>
      </c>
      <c r="D1696" s="133" t="s">
        <v>1621</v>
      </c>
      <c r="E1696" s="134">
        <v>1</v>
      </c>
      <c r="F1696" s="135" t="s">
        <v>1449</v>
      </c>
      <c r="G1696" s="185" t="s">
        <v>15</v>
      </c>
      <c r="H1696" s="185" t="s">
        <v>15</v>
      </c>
      <c r="I1696" s="185" t="s">
        <v>15</v>
      </c>
      <c r="J1696" s="135" t="s">
        <v>1450</v>
      </c>
      <c r="K1696" s="186">
        <v>27.839999999999996</v>
      </c>
      <c r="L1696" s="187" t="s">
        <v>173</v>
      </c>
      <c r="M1696" s="187" t="s">
        <v>175</v>
      </c>
    </row>
    <row r="1697" spans="1:13" s="188" customFormat="1">
      <c r="A1697" s="185" t="s">
        <v>1447</v>
      </c>
      <c r="B1697" s="133" t="s">
        <v>4942</v>
      </c>
      <c r="C1697" s="185" t="s">
        <v>3023</v>
      </c>
      <c r="D1697" s="133" t="s">
        <v>1621</v>
      </c>
      <c r="E1697" s="134">
        <v>1</v>
      </c>
      <c r="F1697" s="135" t="s">
        <v>1449</v>
      </c>
      <c r="G1697" s="185" t="s">
        <v>15</v>
      </c>
      <c r="H1697" s="185" t="s">
        <v>15</v>
      </c>
      <c r="I1697" s="185" t="s">
        <v>15</v>
      </c>
      <c r="J1697" s="135" t="s">
        <v>1450</v>
      </c>
      <c r="K1697" s="186">
        <v>15.96</v>
      </c>
      <c r="L1697" s="187" t="s">
        <v>173</v>
      </c>
      <c r="M1697" s="187" t="s">
        <v>175</v>
      </c>
    </row>
    <row r="1698" spans="1:13" s="188" customFormat="1">
      <c r="A1698" s="185" t="s">
        <v>1447</v>
      </c>
      <c r="B1698" s="133" t="s">
        <v>4943</v>
      </c>
      <c r="C1698" s="185" t="s">
        <v>3023</v>
      </c>
      <c r="D1698" s="133" t="s">
        <v>1621</v>
      </c>
      <c r="E1698" s="134">
        <v>1</v>
      </c>
      <c r="F1698" s="135" t="s">
        <v>1449</v>
      </c>
      <c r="G1698" s="185" t="s">
        <v>15</v>
      </c>
      <c r="H1698" s="185" t="s">
        <v>15</v>
      </c>
      <c r="I1698" s="185" t="s">
        <v>15</v>
      </c>
      <c r="J1698" s="135" t="s">
        <v>1450</v>
      </c>
      <c r="K1698" s="186">
        <v>13.919999999999998</v>
      </c>
      <c r="L1698" s="187" t="s">
        <v>173</v>
      </c>
      <c r="M1698" s="187" t="s">
        <v>175</v>
      </c>
    </row>
    <row r="1699" spans="1:13" s="188" customFormat="1">
      <c r="A1699" s="185" t="s">
        <v>1447</v>
      </c>
      <c r="B1699" s="133" t="s">
        <v>4944</v>
      </c>
      <c r="C1699" s="185" t="s">
        <v>3023</v>
      </c>
      <c r="D1699" s="133" t="s">
        <v>1621</v>
      </c>
      <c r="E1699" s="134">
        <v>1</v>
      </c>
      <c r="F1699" s="135" t="s">
        <v>1449</v>
      </c>
      <c r="G1699" s="185" t="s">
        <v>15</v>
      </c>
      <c r="H1699" s="185" t="s">
        <v>15</v>
      </c>
      <c r="I1699" s="185" t="s">
        <v>15</v>
      </c>
      <c r="J1699" s="135" t="s">
        <v>1450</v>
      </c>
      <c r="K1699" s="186">
        <v>13.919999999999998</v>
      </c>
      <c r="L1699" s="187" t="s">
        <v>173</v>
      </c>
      <c r="M1699" s="187" t="s">
        <v>175</v>
      </c>
    </row>
    <row r="1700" spans="1:13" s="188" customFormat="1">
      <c r="A1700" s="185" t="s">
        <v>1447</v>
      </c>
      <c r="B1700" s="133" t="s">
        <v>4945</v>
      </c>
      <c r="C1700" s="185" t="s">
        <v>3023</v>
      </c>
      <c r="D1700" s="133" t="s">
        <v>1621</v>
      </c>
      <c r="E1700" s="134">
        <v>1</v>
      </c>
      <c r="F1700" s="135" t="s">
        <v>1449</v>
      </c>
      <c r="G1700" s="185" t="s">
        <v>15</v>
      </c>
      <c r="H1700" s="185" t="s">
        <v>15</v>
      </c>
      <c r="I1700" s="185" t="s">
        <v>15</v>
      </c>
      <c r="J1700" s="135" t="s">
        <v>1450</v>
      </c>
      <c r="K1700" s="186">
        <v>13.080000000000002</v>
      </c>
      <c r="L1700" s="187" t="s">
        <v>173</v>
      </c>
      <c r="M1700" s="187" t="s">
        <v>175</v>
      </c>
    </row>
    <row r="1701" spans="1:13" s="188" customFormat="1">
      <c r="A1701" s="185" t="s">
        <v>1447</v>
      </c>
      <c r="B1701" s="133" t="s">
        <v>4946</v>
      </c>
      <c r="C1701" s="185" t="s">
        <v>3023</v>
      </c>
      <c r="D1701" s="133" t="s">
        <v>1621</v>
      </c>
      <c r="E1701" s="134">
        <v>1</v>
      </c>
      <c r="F1701" s="135" t="s">
        <v>1449</v>
      </c>
      <c r="G1701" s="185" t="s">
        <v>15</v>
      </c>
      <c r="H1701" s="185" t="s">
        <v>15</v>
      </c>
      <c r="I1701" s="185" t="s">
        <v>15</v>
      </c>
      <c r="J1701" s="135" t="s">
        <v>1450</v>
      </c>
      <c r="K1701" s="186">
        <v>12.120000000000001</v>
      </c>
      <c r="L1701" s="187" t="s">
        <v>173</v>
      </c>
      <c r="M1701" s="187" t="s">
        <v>175</v>
      </c>
    </row>
    <row r="1702" spans="1:13" s="188" customFormat="1">
      <c r="A1702" s="185" t="s">
        <v>1447</v>
      </c>
      <c r="B1702" s="133" t="s">
        <v>4947</v>
      </c>
      <c r="C1702" s="185" t="s">
        <v>3023</v>
      </c>
      <c r="D1702" s="133" t="s">
        <v>1621</v>
      </c>
      <c r="E1702" s="134">
        <v>1</v>
      </c>
      <c r="F1702" s="135" t="s">
        <v>1449</v>
      </c>
      <c r="G1702" s="185" t="s">
        <v>15</v>
      </c>
      <c r="H1702" s="185" t="s">
        <v>15</v>
      </c>
      <c r="I1702" s="185" t="s">
        <v>15</v>
      </c>
      <c r="J1702" s="135" t="s">
        <v>1450</v>
      </c>
      <c r="K1702" s="186">
        <v>12.120000000000001</v>
      </c>
      <c r="L1702" s="187" t="s">
        <v>173</v>
      </c>
      <c r="M1702" s="187" t="s">
        <v>175</v>
      </c>
    </row>
    <row r="1703" spans="1:13" s="188" customFormat="1">
      <c r="A1703" s="185" t="s">
        <v>1447</v>
      </c>
      <c r="B1703" s="133" t="s">
        <v>4948</v>
      </c>
      <c r="C1703" s="185" t="s">
        <v>3023</v>
      </c>
      <c r="D1703" s="133" t="s">
        <v>1621</v>
      </c>
      <c r="E1703" s="134">
        <v>1</v>
      </c>
      <c r="F1703" s="135" t="s">
        <v>1449</v>
      </c>
      <c r="G1703" s="185" t="s">
        <v>15</v>
      </c>
      <c r="H1703" s="185" t="s">
        <v>15</v>
      </c>
      <c r="I1703" s="185" t="s">
        <v>15</v>
      </c>
      <c r="J1703" s="135" t="s">
        <v>1450</v>
      </c>
      <c r="K1703" s="186">
        <v>11.16</v>
      </c>
      <c r="L1703" s="187" t="s">
        <v>173</v>
      </c>
      <c r="M1703" s="187" t="s">
        <v>175</v>
      </c>
    </row>
    <row r="1704" spans="1:13" s="188" customFormat="1">
      <c r="A1704" s="185" t="s">
        <v>1447</v>
      </c>
      <c r="B1704" s="133" t="s">
        <v>4949</v>
      </c>
      <c r="C1704" s="185" t="s">
        <v>3023</v>
      </c>
      <c r="D1704" s="133" t="s">
        <v>1621</v>
      </c>
      <c r="E1704" s="134">
        <v>1</v>
      </c>
      <c r="F1704" s="135" t="s">
        <v>1449</v>
      </c>
      <c r="G1704" s="185" t="s">
        <v>15</v>
      </c>
      <c r="H1704" s="185" t="s">
        <v>15</v>
      </c>
      <c r="I1704" s="185" t="s">
        <v>15</v>
      </c>
      <c r="J1704" s="135" t="s">
        <v>1450</v>
      </c>
      <c r="K1704" s="186">
        <v>11.16</v>
      </c>
      <c r="L1704" s="187" t="s">
        <v>173</v>
      </c>
      <c r="M1704" s="187" t="s">
        <v>175</v>
      </c>
    </row>
    <row r="1705" spans="1:13" s="188" customFormat="1">
      <c r="A1705" s="185" t="s">
        <v>1447</v>
      </c>
      <c r="B1705" s="133" t="s">
        <v>4950</v>
      </c>
      <c r="C1705" s="185" t="s">
        <v>3023</v>
      </c>
      <c r="D1705" s="133" t="s">
        <v>1622</v>
      </c>
      <c r="E1705" s="134">
        <v>1</v>
      </c>
      <c r="F1705" s="135" t="s">
        <v>1449</v>
      </c>
      <c r="G1705" s="185" t="s">
        <v>15</v>
      </c>
      <c r="H1705" s="185" t="s">
        <v>15</v>
      </c>
      <c r="I1705" s="185" t="s">
        <v>15</v>
      </c>
      <c r="J1705" s="135" t="s">
        <v>1450</v>
      </c>
      <c r="K1705" s="186">
        <v>9996</v>
      </c>
      <c r="L1705" s="187" t="s">
        <v>173</v>
      </c>
      <c r="M1705" s="187" t="s">
        <v>175</v>
      </c>
    </row>
    <row r="1706" spans="1:13" s="188" customFormat="1">
      <c r="A1706" s="185" t="s">
        <v>1447</v>
      </c>
      <c r="B1706" s="133" t="s">
        <v>4951</v>
      </c>
      <c r="C1706" s="185" t="s">
        <v>3023</v>
      </c>
      <c r="D1706" s="133" t="s">
        <v>1623</v>
      </c>
      <c r="E1706" s="134">
        <v>1</v>
      </c>
      <c r="F1706" s="135" t="s">
        <v>1449</v>
      </c>
      <c r="G1706" s="185" t="s">
        <v>15</v>
      </c>
      <c r="H1706" s="185" t="s">
        <v>15</v>
      </c>
      <c r="I1706" s="185" t="s">
        <v>15</v>
      </c>
      <c r="J1706" s="135" t="s">
        <v>1450</v>
      </c>
      <c r="K1706" s="186">
        <v>9996</v>
      </c>
      <c r="L1706" s="187" t="s">
        <v>173</v>
      </c>
      <c r="M1706" s="187" t="s">
        <v>175</v>
      </c>
    </row>
    <row r="1707" spans="1:13" s="188" customFormat="1">
      <c r="A1707" s="185" t="s">
        <v>1447</v>
      </c>
      <c r="B1707" s="133" t="s">
        <v>4952</v>
      </c>
      <c r="C1707" s="185" t="s">
        <v>3023</v>
      </c>
      <c r="D1707" s="133" t="s">
        <v>1624</v>
      </c>
      <c r="E1707" s="134">
        <v>1</v>
      </c>
      <c r="F1707" s="135" t="s">
        <v>1449</v>
      </c>
      <c r="G1707" s="185" t="s">
        <v>15</v>
      </c>
      <c r="H1707" s="185" t="s">
        <v>15</v>
      </c>
      <c r="I1707" s="185" t="s">
        <v>15</v>
      </c>
      <c r="J1707" s="135" t="s">
        <v>1450</v>
      </c>
      <c r="K1707" s="186">
        <v>324</v>
      </c>
      <c r="L1707" s="187" t="s">
        <v>173</v>
      </c>
      <c r="M1707" s="187" t="s">
        <v>175</v>
      </c>
    </row>
    <row r="1708" spans="1:13" s="188" customFormat="1">
      <c r="A1708" s="185" t="s">
        <v>1447</v>
      </c>
      <c r="B1708" s="133" t="s">
        <v>4953</v>
      </c>
      <c r="C1708" s="185" t="s">
        <v>3023</v>
      </c>
      <c r="D1708" s="133" t="s">
        <v>1625</v>
      </c>
      <c r="E1708" s="134">
        <v>1</v>
      </c>
      <c r="F1708" s="135" t="s">
        <v>1449</v>
      </c>
      <c r="G1708" s="185" t="s">
        <v>15</v>
      </c>
      <c r="H1708" s="185" t="s">
        <v>15</v>
      </c>
      <c r="I1708" s="185" t="s">
        <v>15</v>
      </c>
      <c r="J1708" s="135" t="s">
        <v>1450</v>
      </c>
      <c r="K1708" s="186">
        <v>13.68</v>
      </c>
      <c r="L1708" s="187" t="s">
        <v>173</v>
      </c>
      <c r="M1708" s="187" t="s">
        <v>175</v>
      </c>
    </row>
    <row r="1709" spans="1:13" s="188" customFormat="1">
      <c r="A1709" s="185" t="s">
        <v>1447</v>
      </c>
      <c r="B1709" s="133" t="s">
        <v>4954</v>
      </c>
      <c r="C1709" s="185" t="s">
        <v>3023</v>
      </c>
      <c r="D1709" s="133" t="s">
        <v>4955</v>
      </c>
      <c r="E1709" s="134">
        <v>1</v>
      </c>
      <c r="F1709" s="135" t="s">
        <v>1449</v>
      </c>
      <c r="G1709" s="185" t="s">
        <v>15</v>
      </c>
      <c r="H1709" s="185" t="s">
        <v>15</v>
      </c>
      <c r="I1709" s="185" t="s">
        <v>15</v>
      </c>
      <c r="J1709" s="135" t="s">
        <v>1450</v>
      </c>
      <c r="K1709" s="186">
        <v>72</v>
      </c>
      <c r="L1709" s="187" t="s">
        <v>173</v>
      </c>
      <c r="M1709" s="187" t="s">
        <v>175</v>
      </c>
    </row>
    <row r="1710" spans="1:13" s="188" customFormat="1">
      <c r="A1710" s="185" t="s">
        <v>1447</v>
      </c>
      <c r="B1710" s="133" t="s">
        <v>4956</v>
      </c>
      <c r="C1710" s="185" t="s">
        <v>3023</v>
      </c>
      <c r="D1710" s="133" t="s">
        <v>4955</v>
      </c>
      <c r="E1710" s="134">
        <v>1</v>
      </c>
      <c r="F1710" s="135" t="s">
        <v>1449</v>
      </c>
      <c r="G1710" s="185" t="s">
        <v>15</v>
      </c>
      <c r="H1710" s="185" t="s">
        <v>15</v>
      </c>
      <c r="I1710" s="185" t="s">
        <v>15</v>
      </c>
      <c r="J1710" s="135" t="s">
        <v>1450</v>
      </c>
      <c r="K1710" s="186">
        <v>45.599999999999994</v>
      </c>
      <c r="L1710" s="187" t="s">
        <v>173</v>
      </c>
      <c r="M1710" s="187" t="s">
        <v>175</v>
      </c>
    </row>
    <row r="1711" spans="1:13" s="188" customFormat="1">
      <c r="A1711" s="185" t="s">
        <v>1447</v>
      </c>
      <c r="B1711" s="133" t="s">
        <v>4957</v>
      </c>
      <c r="C1711" s="185" t="s">
        <v>3023</v>
      </c>
      <c r="D1711" s="133" t="s">
        <v>4955</v>
      </c>
      <c r="E1711" s="134">
        <v>1</v>
      </c>
      <c r="F1711" s="135" t="s">
        <v>1449</v>
      </c>
      <c r="G1711" s="185" t="s">
        <v>15</v>
      </c>
      <c r="H1711" s="185" t="s">
        <v>15</v>
      </c>
      <c r="I1711" s="185" t="s">
        <v>15</v>
      </c>
      <c r="J1711" s="135" t="s">
        <v>1450</v>
      </c>
      <c r="K1711" s="186">
        <v>28.32</v>
      </c>
      <c r="L1711" s="187" t="s">
        <v>173</v>
      </c>
      <c r="M1711" s="187" t="s">
        <v>175</v>
      </c>
    </row>
    <row r="1712" spans="1:13" s="188" customFormat="1">
      <c r="A1712" s="185" t="s">
        <v>1447</v>
      </c>
      <c r="B1712" s="133" t="s">
        <v>4958</v>
      </c>
      <c r="C1712" s="185" t="s">
        <v>3023</v>
      </c>
      <c r="D1712" s="133" t="s">
        <v>4955</v>
      </c>
      <c r="E1712" s="134">
        <v>1</v>
      </c>
      <c r="F1712" s="135" t="s">
        <v>1449</v>
      </c>
      <c r="G1712" s="185" t="s">
        <v>15</v>
      </c>
      <c r="H1712" s="185" t="s">
        <v>15</v>
      </c>
      <c r="I1712" s="185" t="s">
        <v>15</v>
      </c>
      <c r="J1712" s="135" t="s">
        <v>1450</v>
      </c>
      <c r="K1712" s="186">
        <v>20.04</v>
      </c>
      <c r="L1712" s="187" t="s">
        <v>173</v>
      </c>
      <c r="M1712" s="187" t="s">
        <v>175</v>
      </c>
    </row>
    <row r="1713" spans="1:13" s="188" customFormat="1">
      <c r="A1713" s="185" t="s">
        <v>1447</v>
      </c>
      <c r="B1713" s="133" t="s">
        <v>4959</v>
      </c>
      <c r="C1713" s="185" t="s">
        <v>3023</v>
      </c>
      <c r="D1713" s="133" t="s">
        <v>4955</v>
      </c>
      <c r="E1713" s="134">
        <v>1</v>
      </c>
      <c r="F1713" s="135" t="s">
        <v>1449</v>
      </c>
      <c r="G1713" s="185" t="s">
        <v>15</v>
      </c>
      <c r="H1713" s="185" t="s">
        <v>15</v>
      </c>
      <c r="I1713" s="185" t="s">
        <v>15</v>
      </c>
      <c r="J1713" s="135" t="s">
        <v>1450</v>
      </c>
      <c r="K1713" s="186">
        <v>15.120000000000001</v>
      </c>
      <c r="L1713" s="187" t="s">
        <v>173</v>
      </c>
      <c r="M1713" s="187" t="s">
        <v>175</v>
      </c>
    </row>
    <row r="1714" spans="1:13" s="188" customFormat="1">
      <c r="A1714" s="185" t="s">
        <v>1447</v>
      </c>
      <c r="B1714" s="133" t="s">
        <v>4960</v>
      </c>
      <c r="C1714" s="185" t="s">
        <v>3023</v>
      </c>
      <c r="D1714" s="133" t="s">
        <v>4955</v>
      </c>
      <c r="E1714" s="134">
        <v>1</v>
      </c>
      <c r="F1714" s="135" t="s">
        <v>1449</v>
      </c>
      <c r="G1714" s="185" t="s">
        <v>15</v>
      </c>
      <c r="H1714" s="185" t="s">
        <v>15</v>
      </c>
      <c r="I1714" s="185" t="s">
        <v>15</v>
      </c>
      <c r="J1714" s="135" t="s">
        <v>1450</v>
      </c>
      <c r="K1714" s="186">
        <v>11.28</v>
      </c>
      <c r="L1714" s="187" t="s">
        <v>173</v>
      </c>
      <c r="M1714" s="187" t="s">
        <v>175</v>
      </c>
    </row>
    <row r="1715" spans="1:13" s="188" customFormat="1">
      <c r="A1715" s="185" t="s">
        <v>1447</v>
      </c>
      <c r="B1715" s="133" t="s">
        <v>4961</v>
      </c>
      <c r="C1715" s="185" t="s">
        <v>3023</v>
      </c>
      <c r="D1715" s="133" t="s">
        <v>4955</v>
      </c>
      <c r="E1715" s="134">
        <v>1</v>
      </c>
      <c r="F1715" s="135" t="s">
        <v>1449</v>
      </c>
      <c r="G1715" s="185" t="s">
        <v>15</v>
      </c>
      <c r="H1715" s="185" t="s">
        <v>15</v>
      </c>
      <c r="I1715" s="185" t="s">
        <v>15</v>
      </c>
      <c r="J1715" s="135" t="s">
        <v>1450</v>
      </c>
      <c r="K1715" s="186">
        <v>8.64</v>
      </c>
      <c r="L1715" s="187" t="s">
        <v>173</v>
      </c>
      <c r="M1715" s="187" t="s">
        <v>175</v>
      </c>
    </row>
    <row r="1716" spans="1:13" s="188" customFormat="1">
      <c r="A1716" s="185" t="s">
        <v>1447</v>
      </c>
      <c r="B1716" s="133" t="s">
        <v>4962</v>
      </c>
      <c r="C1716" s="185" t="s">
        <v>3023</v>
      </c>
      <c r="D1716" s="133" t="s">
        <v>4955</v>
      </c>
      <c r="E1716" s="134">
        <v>1</v>
      </c>
      <c r="F1716" s="135" t="s">
        <v>1449</v>
      </c>
      <c r="G1716" s="185" t="s">
        <v>15</v>
      </c>
      <c r="H1716" s="185" t="s">
        <v>15</v>
      </c>
      <c r="I1716" s="185" t="s">
        <v>15</v>
      </c>
      <c r="J1716" s="135" t="s">
        <v>1450</v>
      </c>
      <c r="K1716" s="186">
        <v>7.5600000000000005</v>
      </c>
      <c r="L1716" s="187" t="s">
        <v>173</v>
      </c>
      <c r="M1716" s="187" t="s">
        <v>175</v>
      </c>
    </row>
    <row r="1717" spans="1:13" s="188" customFormat="1">
      <c r="A1717" s="185" t="s">
        <v>1447</v>
      </c>
      <c r="B1717" s="133" t="s">
        <v>4963</v>
      </c>
      <c r="C1717" s="185" t="s">
        <v>3023</v>
      </c>
      <c r="D1717" s="133" t="s">
        <v>4955</v>
      </c>
      <c r="E1717" s="134">
        <v>1</v>
      </c>
      <c r="F1717" s="135" t="s">
        <v>1449</v>
      </c>
      <c r="G1717" s="185" t="s">
        <v>15</v>
      </c>
      <c r="H1717" s="185" t="s">
        <v>15</v>
      </c>
      <c r="I1717" s="185" t="s">
        <v>15</v>
      </c>
      <c r="J1717" s="135" t="s">
        <v>1450</v>
      </c>
      <c r="K1717" s="186">
        <v>7.08</v>
      </c>
      <c r="L1717" s="187" t="s">
        <v>173</v>
      </c>
      <c r="M1717" s="187" t="s">
        <v>175</v>
      </c>
    </row>
    <row r="1718" spans="1:13" s="188" customFormat="1">
      <c r="A1718" s="185" t="s">
        <v>1447</v>
      </c>
      <c r="B1718" s="133" t="s">
        <v>4964</v>
      </c>
      <c r="C1718" s="185" t="s">
        <v>3023</v>
      </c>
      <c r="D1718" s="133" t="s">
        <v>4965</v>
      </c>
      <c r="E1718" s="134">
        <v>1</v>
      </c>
      <c r="F1718" s="135" t="s">
        <v>1449</v>
      </c>
      <c r="G1718" s="185" t="s">
        <v>15</v>
      </c>
      <c r="H1718" s="185" t="s">
        <v>15</v>
      </c>
      <c r="I1718" s="185" t="s">
        <v>15</v>
      </c>
      <c r="J1718" s="135" t="s">
        <v>1450</v>
      </c>
      <c r="K1718" s="186">
        <v>336</v>
      </c>
      <c r="L1718" s="187" t="s">
        <v>173</v>
      </c>
      <c r="M1718" s="187" t="s">
        <v>175</v>
      </c>
    </row>
    <row r="1719" spans="1:13" s="188" customFormat="1">
      <c r="A1719" s="185" t="s">
        <v>1447</v>
      </c>
      <c r="B1719" s="133" t="s">
        <v>4966</v>
      </c>
      <c r="C1719" s="185" t="s">
        <v>3023</v>
      </c>
      <c r="D1719" s="133" t="s">
        <v>4965</v>
      </c>
      <c r="E1719" s="134">
        <v>1</v>
      </c>
      <c r="F1719" s="135" t="s">
        <v>1449</v>
      </c>
      <c r="G1719" s="185" t="s">
        <v>15</v>
      </c>
      <c r="H1719" s="185" t="s">
        <v>15</v>
      </c>
      <c r="I1719" s="185" t="s">
        <v>15</v>
      </c>
      <c r="J1719" s="135" t="s">
        <v>1450</v>
      </c>
      <c r="K1719" s="186">
        <v>204</v>
      </c>
      <c r="L1719" s="187" t="s">
        <v>173</v>
      </c>
      <c r="M1719" s="187" t="s">
        <v>175</v>
      </c>
    </row>
    <row r="1720" spans="1:13" s="188" customFormat="1">
      <c r="A1720" s="185" t="s">
        <v>1447</v>
      </c>
      <c r="B1720" s="133" t="s">
        <v>4967</v>
      </c>
      <c r="C1720" s="185" t="s">
        <v>3023</v>
      </c>
      <c r="D1720" s="133" t="s">
        <v>4965</v>
      </c>
      <c r="E1720" s="134">
        <v>1</v>
      </c>
      <c r="F1720" s="135" t="s">
        <v>1449</v>
      </c>
      <c r="G1720" s="185" t="s">
        <v>15</v>
      </c>
      <c r="H1720" s="185" t="s">
        <v>15</v>
      </c>
      <c r="I1720" s="185" t="s">
        <v>15</v>
      </c>
      <c r="J1720" s="135" t="s">
        <v>1450</v>
      </c>
      <c r="K1720" s="186">
        <v>132</v>
      </c>
      <c r="L1720" s="187" t="s">
        <v>173</v>
      </c>
      <c r="M1720" s="187" t="s">
        <v>175</v>
      </c>
    </row>
    <row r="1721" spans="1:13" s="188" customFormat="1">
      <c r="A1721" s="185" t="s">
        <v>1447</v>
      </c>
      <c r="B1721" s="133" t="s">
        <v>4968</v>
      </c>
      <c r="C1721" s="185" t="s">
        <v>3023</v>
      </c>
      <c r="D1721" s="133" t="s">
        <v>4965</v>
      </c>
      <c r="E1721" s="134">
        <v>1</v>
      </c>
      <c r="F1721" s="135" t="s">
        <v>1449</v>
      </c>
      <c r="G1721" s="185" t="s">
        <v>15</v>
      </c>
      <c r="H1721" s="185" t="s">
        <v>15</v>
      </c>
      <c r="I1721" s="185" t="s">
        <v>15</v>
      </c>
      <c r="J1721" s="135" t="s">
        <v>1450</v>
      </c>
      <c r="K1721" s="186">
        <v>92.28</v>
      </c>
      <c r="L1721" s="187" t="s">
        <v>173</v>
      </c>
      <c r="M1721" s="187" t="s">
        <v>175</v>
      </c>
    </row>
    <row r="1722" spans="1:13" s="188" customFormat="1">
      <c r="A1722" s="185" t="s">
        <v>1447</v>
      </c>
      <c r="B1722" s="133" t="s">
        <v>4969</v>
      </c>
      <c r="C1722" s="185" t="s">
        <v>3023</v>
      </c>
      <c r="D1722" s="133" t="s">
        <v>4965</v>
      </c>
      <c r="E1722" s="134">
        <v>1</v>
      </c>
      <c r="F1722" s="135" t="s">
        <v>1449</v>
      </c>
      <c r="G1722" s="185" t="s">
        <v>15</v>
      </c>
      <c r="H1722" s="185" t="s">
        <v>15</v>
      </c>
      <c r="I1722" s="185" t="s">
        <v>15</v>
      </c>
      <c r="J1722" s="135" t="s">
        <v>1450</v>
      </c>
      <c r="K1722" s="186">
        <v>69.599999999999994</v>
      </c>
      <c r="L1722" s="187" t="s">
        <v>173</v>
      </c>
      <c r="M1722" s="187" t="s">
        <v>175</v>
      </c>
    </row>
    <row r="1723" spans="1:13" s="188" customFormat="1">
      <c r="A1723" s="185" t="s">
        <v>1447</v>
      </c>
      <c r="B1723" s="133" t="s">
        <v>4970</v>
      </c>
      <c r="C1723" s="185" t="s">
        <v>3023</v>
      </c>
      <c r="D1723" s="133" t="s">
        <v>4965</v>
      </c>
      <c r="E1723" s="134">
        <v>1</v>
      </c>
      <c r="F1723" s="135" t="s">
        <v>1449</v>
      </c>
      <c r="G1723" s="185" t="s">
        <v>15</v>
      </c>
      <c r="H1723" s="185" t="s">
        <v>15</v>
      </c>
      <c r="I1723" s="185" t="s">
        <v>15</v>
      </c>
      <c r="J1723" s="135" t="s">
        <v>1450</v>
      </c>
      <c r="K1723" s="186">
        <v>51.96</v>
      </c>
      <c r="L1723" s="187" t="s">
        <v>173</v>
      </c>
      <c r="M1723" s="187" t="s">
        <v>175</v>
      </c>
    </row>
    <row r="1724" spans="1:13" s="188" customFormat="1">
      <c r="A1724" s="185" t="s">
        <v>1447</v>
      </c>
      <c r="B1724" s="133" t="s">
        <v>4971</v>
      </c>
      <c r="C1724" s="185" t="s">
        <v>3023</v>
      </c>
      <c r="D1724" s="133" t="s">
        <v>4965</v>
      </c>
      <c r="E1724" s="134">
        <v>1</v>
      </c>
      <c r="F1724" s="135" t="s">
        <v>1449</v>
      </c>
      <c r="G1724" s="185" t="s">
        <v>15</v>
      </c>
      <c r="H1724" s="185" t="s">
        <v>15</v>
      </c>
      <c r="I1724" s="185" t="s">
        <v>15</v>
      </c>
      <c r="J1724" s="135" t="s">
        <v>1450</v>
      </c>
      <c r="K1724" s="186">
        <v>39.839999999999996</v>
      </c>
      <c r="L1724" s="187" t="s">
        <v>173</v>
      </c>
      <c r="M1724" s="187" t="s">
        <v>175</v>
      </c>
    </row>
    <row r="1725" spans="1:13" s="188" customFormat="1">
      <c r="A1725" s="185" t="s">
        <v>1447</v>
      </c>
      <c r="B1725" s="133" t="s">
        <v>4972</v>
      </c>
      <c r="C1725" s="185" t="s">
        <v>3023</v>
      </c>
      <c r="D1725" s="133" t="s">
        <v>4965</v>
      </c>
      <c r="E1725" s="134">
        <v>1</v>
      </c>
      <c r="F1725" s="135" t="s">
        <v>1449</v>
      </c>
      <c r="G1725" s="185" t="s">
        <v>15</v>
      </c>
      <c r="H1725" s="185" t="s">
        <v>15</v>
      </c>
      <c r="I1725" s="185" t="s">
        <v>15</v>
      </c>
      <c r="J1725" s="135" t="s">
        <v>1450</v>
      </c>
      <c r="K1725" s="186">
        <v>35.04</v>
      </c>
      <c r="L1725" s="187" t="s">
        <v>173</v>
      </c>
      <c r="M1725" s="187" t="s">
        <v>175</v>
      </c>
    </row>
    <row r="1726" spans="1:13" s="188" customFormat="1">
      <c r="A1726" s="185" t="s">
        <v>1447</v>
      </c>
      <c r="B1726" s="133" t="s">
        <v>4973</v>
      </c>
      <c r="C1726" s="185" t="s">
        <v>3023</v>
      </c>
      <c r="D1726" s="133" t="s">
        <v>4965</v>
      </c>
      <c r="E1726" s="134">
        <v>1</v>
      </c>
      <c r="F1726" s="135" t="s">
        <v>1449</v>
      </c>
      <c r="G1726" s="185" t="s">
        <v>15</v>
      </c>
      <c r="H1726" s="185" t="s">
        <v>15</v>
      </c>
      <c r="I1726" s="185" t="s">
        <v>15</v>
      </c>
      <c r="J1726" s="135" t="s">
        <v>1450</v>
      </c>
      <c r="K1726" s="186">
        <v>32.64</v>
      </c>
      <c r="L1726" s="187" t="s">
        <v>173</v>
      </c>
      <c r="M1726" s="187" t="s">
        <v>175</v>
      </c>
    </row>
    <row r="1727" spans="1:13" s="188" customFormat="1">
      <c r="A1727" s="185" t="s">
        <v>1447</v>
      </c>
      <c r="B1727" s="133" t="s">
        <v>4974</v>
      </c>
      <c r="C1727" s="185" t="s">
        <v>3023</v>
      </c>
      <c r="D1727" s="133" t="s">
        <v>4975</v>
      </c>
      <c r="E1727" s="134">
        <v>1</v>
      </c>
      <c r="F1727" s="135" t="s">
        <v>1449</v>
      </c>
      <c r="G1727" s="185" t="s">
        <v>15</v>
      </c>
      <c r="H1727" s="185" t="s">
        <v>15</v>
      </c>
      <c r="I1727" s="185" t="s">
        <v>15</v>
      </c>
      <c r="J1727" s="135" t="s">
        <v>1450</v>
      </c>
      <c r="K1727" s="186">
        <v>456</v>
      </c>
      <c r="L1727" s="187" t="s">
        <v>173</v>
      </c>
      <c r="M1727" s="187" t="s">
        <v>175</v>
      </c>
    </row>
    <row r="1728" spans="1:13" s="188" customFormat="1">
      <c r="A1728" s="185" t="s">
        <v>1447</v>
      </c>
      <c r="B1728" s="133" t="s">
        <v>4976</v>
      </c>
      <c r="C1728" s="185" t="s">
        <v>3023</v>
      </c>
      <c r="D1728" s="133" t="s">
        <v>4975</v>
      </c>
      <c r="E1728" s="134">
        <v>1</v>
      </c>
      <c r="F1728" s="135" t="s">
        <v>1449</v>
      </c>
      <c r="G1728" s="185" t="s">
        <v>15</v>
      </c>
      <c r="H1728" s="185" t="s">
        <v>15</v>
      </c>
      <c r="I1728" s="185" t="s">
        <v>15</v>
      </c>
      <c r="J1728" s="135" t="s">
        <v>1450</v>
      </c>
      <c r="K1728" s="186">
        <v>228</v>
      </c>
      <c r="L1728" s="187" t="s">
        <v>173</v>
      </c>
      <c r="M1728" s="187" t="s">
        <v>175</v>
      </c>
    </row>
    <row r="1729" spans="1:13" s="188" customFormat="1">
      <c r="A1729" s="185" t="s">
        <v>1447</v>
      </c>
      <c r="B1729" s="133" t="s">
        <v>4977</v>
      </c>
      <c r="C1729" s="185" t="s">
        <v>3023</v>
      </c>
      <c r="D1729" s="133" t="s">
        <v>4975</v>
      </c>
      <c r="E1729" s="134">
        <v>1</v>
      </c>
      <c r="F1729" s="135" t="s">
        <v>1449</v>
      </c>
      <c r="G1729" s="185" t="s">
        <v>15</v>
      </c>
      <c r="H1729" s="185" t="s">
        <v>15</v>
      </c>
      <c r="I1729" s="185" t="s">
        <v>15</v>
      </c>
      <c r="J1729" s="135" t="s">
        <v>1450</v>
      </c>
      <c r="K1729" s="186">
        <v>144</v>
      </c>
      <c r="L1729" s="187" t="s">
        <v>173</v>
      </c>
      <c r="M1729" s="187" t="s">
        <v>175</v>
      </c>
    </row>
    <row r="1730" spans="1:13" s="188" customFormat="1">
      <c r="A1730" s="185" t="s">
        <v>1447</v>
      </c>
      <c r="B1730" s="133" t="s">
        <v>4978</v>
      </c>
      <c r="C1730" s="185" t="s">
        <v>3023</v>
      </c>
      <c r="D1730" s="133" t="s">
        <v>4975</v>
      </c>
      <c r="E1730" s="134">
        <v>1</v>
      </c>
      <c r="F1730" s="135" t="s">
        <v>1449</v>
      </c>
      <c r="G1730" s="185" t="s">
        <v>15</v>
      </c>
      <c r="H1730" s="185" t="s">
        <v>15</v>
      </c>
      <c r="I1730" s="185" t="s">
        <v>15</v>
      </c>
      <c r="J1730" s="135" t="s">
        <v>1450</v>
      </c>
      <c r="K1730" s="186">
        <v>102.24</v>
      </c>
      <c r="L1730" s="187" t="s">
        <v>173</v>
      </c>
      <c r="M1730" s="187" t="s">
        <v>175</v>
      </c>
    </row>
    <row r="1731" spans="1:13" s="188" customFormat="1">
      <c r="A1731" s="185" t="s">
        <v>1447</v>
      </c>
      <c r="B1731" s="133" t="s">
        <v>4979</v>
      </c>
      <c r="C1731" s="185" t="s">
        <v>3023</v>
      </c>
      <c r="D1731" s="133" t="s">
        <v>4975</v>
      </c>
      <c r="E1731" s="134">
        <v>1</v>
      </c>
      <c r="F1731" s="135" t="s">
        <v>1449</v>
      </c>
      <c r="G1731" s="185" t="s">
        <v>15</v>
      </c>
      <c r="H1731" s="185" t="s">
        <v>15</v>
      </c>
      <c r="I1731" s="185" t="s">
        <v>15</v>
      </c>
      <c r="J1731" s="135" t="s">
        <v>1450</v>
      </c>
      <c r="K1731" s="186">
        <v>77.16</v>
      </c>
      <c r="L1731" s="187" t="s">
        <v>173</v>
      </c>
      <c r="M1731" s="187" t="s">
        <v>175</v>
      </c>
    </row>
    <row r="1732" spans="1:13" s="188" customFormat="1">
      <c r="A1732" s="185" t="s">
        <v>1447</v>
      </c>
      <c r="B1732" s="133" t="s">
        <v>4980</v>
      </c>
      <c r="C1732" s="185" t="s">
        <v>3023</v>
      </c>
      <c r="D1732" s="133" t="s">
        <v>4975</v>
      </c>
      <c r="E1732" s="134">
        <v>1</v>
      </c>
      <c r="F1732" s="135" t="s">
        <v>1449</v>
      </c>
      <c r="G1732" s="185" t="s">
        <v>15</v>
      </c>
      <c r="H1732" s="185" t="s">
        <v>15</v>
      </c>
      <c r="I1732" s="185" t="s">
        <v>15</v>
      </c>
      <c r="J1732" s="135" t="s">
        <v>1450</v>
      </c>
      <c r="K1732" s="186">
        <v>57.480000000000004</v>
      </c>
      <c r="L1732" s="187" t="s">
        <v>173</v>
      </c>
      <c r="M1732" s="187" t="s">
        <v>175</v>
      </c>
    </row>
    <row r="1733" spans="1:13" s="188" customFormat="1">
      <c r="A1733" s="185" t="s">
        <v>1447</v>
      </c>
      <c r="B1733" s="133" t="s">
        <v>4981</v>
      </c>
      <c r="C1733" s="185" t="s">
        <v>3023</v>
      </c>
      <c r="D1733" s="133" t="s">
        <v>4975</v>
      </c>
      <c r="E1733" s="134">
        <v>1</v>
      </c>
      <c r="F1733" s="135" t="s">
        <v>1449</v>
      </c>
      <c r="G1733" s="185" t="s">
        <v>15</v>
      </c>
      <c r="H1733" s="185" t="s">
        <v>15</v>
      </c>
      <c r="I1733" s="185" t="s">
        <v>15</v>
      </c>
      <c r="J1733" s="135" t="s">
        <v>1450</v>
      </c>
      <c r="K1733" s="186">
        <v>44.160000000000004</v>
      </c>
      <c r="L1733" s="187" t="s">
        <v>173</v>
      </c>
      <c r="M1733" s="187" t="s">
        <v>175</v>
      </c>
    </row>
    <row r="1734" spans="1:13" s="188" customFormat="1">
      <c r="A1734" s="185" t="s">
        <v>1447</v>
      </c>
      <c r="B1734" s="133" t="s">
        <v>4982</v>
      </c>
      <c r="C1734" s="185" t="s">
        <v>3023</v>
      </c>
      <c r="D1734" s="133" t="s">
        <v>4975</v>
      </c>
      <c r="E1734" s="134">
        <v>1</v>
      </c>
      <c r="F1734" s="135" t="s">
        <v>1449</v>
      </c>
      <c r="G1734" s="185" t="s">
        <v>15</v>
      </c>
      <c r="H1734" s="185" t="s">
        <v>15</v>
      </c>
      <c r="I1734" s="185" t="s">
        <v>15</v>
      </c>
      <c r="J1734" s="135" t="s">
        <v>1450</v>
      </c>
      <c r="K1734" s="186">
        <v>39.839999999999996</v>
      </c>
      <c r="L1734" s="187" t="s">
        <v>173</v>
      </c>
      <c r="M1734" s="187" t="s">
        <v>175</v>
      </c>
    </row>
    <row r="1735" spans="1:13" s="188" customFormat="1">
      <c r="A1735" s="185" t="s">
        <v>1447</v>
      </c>
      <c r="B1735" s="133" t="s">
        <v>4983</v>
      </c>
      <c r="C1735" s="185" t="s">
        <v>3023</v>
      </c>
      <c r="D1735" s="133" t="s">
        <v>4975</v>
      </c>
      <c r="E1735" s="134">
        <v>1</v>
      </c>
      <c r="F1735" s="135" t="s">
        <v>1449</v>
      </c>
      <c r="G1735" s="185" t="s">
        <v>15</v>
      </c>
      <c r="H1735" s="185" t="s">
        <v>15</v>
      </c>
      <c r="I1735" s="185" t="s">
        <v>15</v>
      </c>
      <c r="J1735" s="135" t="s">
        <v>1450</v>
      </c>
      <c r="K1735" s="186">
        <v>36.24</v>
      </c>
      <c r="L1735" s="187" t="s">
        <v>173</v>
      </c>
      <c r="M1735" s="187" t="s">
        <v>175</v>
      </c>
    </row>
    <row r="1736" spans="1:13" s="188" customFormat="1">
      <c r="A1736" s="185" t="s">
        <v>1447</v>
      </c>
      <c r="B1736" s="133" t="s">
        <v>4984</v>
      </c>
      <c r="C1736" s="185" t="s">
        <v>3023</v>
      </c>
      <c r="D1736" s="133" t="s">
        <v>4985</v>
      </c>
      <c r="E1736" s="134">
        <v>1</v>
      </c>
      <c r="F1736" s="135" t="s">
        <v>1449</v>
      </c>
      <c r="G1736" s="185" t="s">
        <v>15</v>
      </c>
      <c r="H1736" s="185" t="s">
        <v>15</v>
      </c>
      <c r="I1736" s="185" t="s">
        <v>15</v>
      </c>
      <c r="J1736" s="135" t="s">
        <v>1450</v>
      </c>
      <c r="K1736" s="186">
        <v>996</v>
      </c>
      <c r="L1736" s="187" t="s">
        <v>173</v>
      </c>
      <c r="M1736" s="187" t="s">
        <v>175</v>
      </c>
    </row>
    <row r="1737" spans="1:13" s="188" customFormat="1">
      <c r="A1737" s="185" t="s">
        <v>1447</v>
      </c>
      <c r="B1737" s="133" t="s">
        <v>4986</v>
      </c>
      <c r="C1737" s="185" t="s">
        <v>3023</v>
      </c>
      <c r="D1737" s="133" t="s">
        <v>4985</v>
      </c>
      <c r="E1737" s="134">
        <v>1</v>
      </c>
      <c r="F1737" s="135" t="s">
        <v>1449</v>
      </c>
      <c r="G1737" s="185" t="s">
        <v>15</v>
      </c>
      <c r="H1737" s="185" t="s">
        <v>15</v>
      </c>
      <c r="I1737" s="185" t="s">
        <v>15</v>
      </c>
      <c r="J1737" s="135" t="s">
        <v>1450</v>
      </c>
      <c r="K1737" s="186">
        <v>504</v>
      </c>
      <c r="L1737" s="187" t="s">
        <v>173</v>
      </c>
      <c r="M1737" s="187" t="s">
        <v>175</v>
      </c>
    </row>
    <row r="1738" spans="1:13" s="188" customFormat="1">
      <c r="A1738" s="185" t="s">
        <v>1447</v>
      </c>
      <c r="B1738" s="133" t="s">
        <v>4987</v>
      </c>
      <c r="C1738" s="185" t="s">
        <v>3023</v>
      </c>
      <c r="D1738" s="133" t="s">
        <v>4985</v>
      </c>
      <c r="E1738" s="134">
        <v>1</v>
      </c>
      <c r="F1738" s="135" t="s">
        <v>1449</v>
      </c>
      <c r="G1738" s="185" t="s">
        <v>15</v>
      </c>
      <c r="H1738" s="185" t="s">
        <v>15</v>
      </c>
      <c r="I1738" s="185" t="s">
        <v>15</v>
      </c>
      <c r="J1738" s="135" t="s">
        <v>1450</v>
      </c>
      <c r="K1738" s="186">
        <v>312</v>
      </c>
      <c r="L1738" s="187" t="s">
        <v>173</v>
      </c>
      <c r="M1738" s="187" t="s">
        <v>175</v>
      </c>
    </row>
    <row r="1739" spans="1:13" s="188" customFormat="1">
      <c r="A1739" s="185" t="s">
        <v>1447</v>
      </c>
      <c r="B1739" s="133" t="s">
        <v>4988</v>
      </c>
      <c r="C1739" s="185" t="s">
        <v>3023</v>
      </c>
      <c r="D1739" s="133" t="s">
        <v>4985</v>
      </c>
      <c r="E1739" s="134">
        <v>1</v>
      </c>
      <c r="F1739" s="135" t="s">
        <v>1449</v>
      </c>
      <c r="G1739" s="185" t="s">
        <v>15</v>
      </c>
      <c r="H1739" s="185" t="s">
        <v>15</v>
      </c>
      <c r="I1739" s="185" t="s">
        <v>15</v>
      </c>
      <c r="J1739" s="135" t="s">
        <v>1450</v>
      </c>
      <c r="K1739" s="186">
        <v>228</v>
      </c>
      <c r="L1739" s="187" t="s">
        <v>173</v>
      </c>
      <c r="M1739" s="187" t="s">
        <v>175</v>
      </c>
    </row>
    <row r="1740" spans="1:13" s="188" customFormat="1">
      <c r="A1740" s="185" t="s">
        <v>1447</v>
      </c>
      <c r="B1740" s="133" t="s">
        <v>4989</v>
      </c>
      <c r="C1740" s="185" t="s">
        <v>3023</v>
      </c>
      <c r="D1740" s="133" t="s">
        <v>4985</v>
      </c>
      <c r="E1740" s="134">
        <v>1</v>
      </c>
      <c r="F1740" s="135" t="s">
        <v>1449</v>
      </c>
      <c r="G1740" s="185" t="s">
        <v>15</v>
      </c>
      <c r="H1740" s="185" t="s">
        <v>15</v>
      </c>
      <c r="I1740" s="185" t="s">
        <v>15</v>
      </c>
      <c r="J1740" s="135" t="s">
        <v>1450</v>
      </c>
      <c r="K1740" s="186">
        <v>168</v>
      </c>
      <c r="L1740" s="187" t="s">
        <v>173</v>
      </c>
      <c r="M1740" s="187" t="s">
        <v>175</v>
      </c>
    </row>
    <row r="1741" spans="1:13" s="188" customFormat="1">
      <c r="A1741" s="185" t="s">
        <v>1447</v>
      </c>
      <c r="B1741" s="133" t="s">
        <v>4990</v>
      </c>
      <c r="C1741" s="185" t="s">
        <v>3023</v>
      </c>
      <c r="D1741" s="133" t="s">
        <v>4985</v>
      </c>
      <c r="E1741" s="134">
        <v>1</v>
      </c>
      <c r="F1741" s="135" t="s">
        <v>1449</v>
      </c>
      <c r="G1741" s="185" t="s">
        <v>15</v>
      </c>
      <c r="H1741" s="185" t="s">
        <v>15</v>
      </c>
      <c r="I1741" s="185" t="s">
        <v>15</v>
      </c>
      <c r="J1741" s="135" t="s">
        <v>1450</v>
      </c>
      <c r="K1741" s="186">
        <v>132</v>
      </c>
      <c r="L1741" s="187" t="s">
        <v>173</v>
      </c>
      <c r="M1741" s="187" t="s">
        <v>175</v>
      </c>
    </row>
    <row r="1742" spans="1:13" s="188" customFormat="1">
      <c r="A1742" s="185" t="s">
        <v>1447</v>
      </c>
      <c r="B1742" s="133" t="s">
        <v>4991</v>
      </c>
      <c r="C1742" s="185" t="s">
        <v>3023</v>
      </c>
      <c r="D1742" s="133" t="s">
        <v>4985</v>
      </c>
      <c r="E1742" s="134">
        <v>1</v>
      </c>
      <c r="F1742" s="135" t="s">
        <v>1449</v>
      </c>
      <c r="G1742" s="185" t="s">
        <v>15</v>
      </c>
      <c r="H1742" s="185" t="s">
        <v>15</v>
      </c>
      <c r="I1742" s="185" t="s">
        <v>15</v>
      </c>
      <c r="J1742" s="135" t="s">
        <v>1450</v>
      </c>
      <c r="K1742" s="186">
        <v>96.47999999999999</v>
      </c>
      <c r="L1742" s="187" t="s">
        <v>173</v>
      </c>
      <c r="M1742" s="187" t="s">
        <v>175</v>
      </c>
    </row>
    <row r="1743" spans="1:13" s="188" customFormat="1">
      <c r="A1743" s="185" t="s">
        <v>1447</v>
      </c>
      <c r="B1743" s="133" t="s">
        <v>4992</v>
      </c>
      <c r="C1743" s="185" t="s">
        <v>3023</v>
      </c>
      <c r="D1743" s="133" t="s">
        <v>4985</v>
      </c>
      <c r="E1743" s="134">
        <v>1</v>
      </c>
      <c r="F1743" s="135" t="s">
        <v>1449</v>
      </c>
      <c r="G1743" s="185" t="s">
        <v>15</v>
      </c>
      <c r="H1743" s="185" t="s">
        <v>15</v>
      </c>
      <c r="I1743" s="185" t="s">
        <v>15</v>
      </c>
      <c r="J1743" s="135" t="s">
        <v>1450</v>
      </c>
      <c r="K1743" s="186">
        <v>84.84</v>
      </c>
      <c r="L1743" s="187" t="s">
        <v>173</v>
      </c>
      <c r="M1743" s="187" t="s">
        <v>175</v>
      </c>
    </row>
    <row r="1744" spans="1:13" s="188" customFormat="1">
      <c r="A1744" s="185" t="s">
        <v>1447</v>
      </c>
      <c r="B1744" s="133" t="s">
        <v>4993</v>
      </c>
      <c r="C1744" s="185" t="s">
        <v>3023</v>
      </c>
      <c r="D1744" s="133" t="s">
        <v>4985</v>
      </c>
      <c r="E1744" s="134">
        <v>1</v>
      </c>
      <c r="F1744" s="135" t="s">
        <v>1449</v>
      </c>
      <c r="G1744" s="185" t="s">
        <v>15</v>
      </c>
      <c r="H1744" s="185" t="s">
        <v>15</v>
      </c>
      <c r="I1744" s="185" t="s">
        <v>15</v>
      </c>
      <c r="J1744" s="135" t="s">
        <v>1450</v>
      </c>
      <c r="K1744" s="186">
        <v>79.199999999999989</v>
      </c>
      <c r="L1744" s="187" t="s">
        <v>173</v>
      </c>
      <c r="M1744" s="187" t="s">
        <v>175</v>
      </c>
    </row>
    <row r="1745" spans="1:13" s="188" customFormat="1">
      <c r="A1745" s="185" t="s">
        <v>1447</v>
      </c>
      <c r="B1745" s="133" t="s">
        <v>4994</v>
      </c>
      <c r="C1745" s="185" t="s">
        <v>3023</v>
      </c>
      <c r="D1745" s="133" t="s">
        <v>4995</v>
      </c>
      <c r="E1745" s="134">
        <v>1</v>
      </c>
      <c r="F1745" s="135" t="s">
        <v>1449</v>
      </c>
      <c r="G1745" s="185" t="s">
        <v>15</v>
      </c>
      <c r="H1745" s="185" t="s">
        <v>15</v>
      </c>
      <c r="I1745" s="185" t="s">
        <v>15</v>
      </c>
      <c r="J1745" s="135" t="s">
        <v>1450</v>
      </c>
      <c r="K1745" s="186">
        <v>114</v>
      </c>
      <c r="L1745" s="187" t="s">
        <v>173</v>
      </c>
      <c r="M1745" s="187" t="s">
        <v>175</v>
      </c>
    </row>
    <row r="1746" spans="1:13" s="188" customFormat="1">
      <c r="A1746" s="185" t="s">
        <v>1447</v>
      </c>
      <c r="B1746" s="133" t="s">
        <v>4996</v>
      </c>
      <c r="C1746" s="185" t="s">
        <v>3023</v>
      </c>
      <c r="D1746" s="133" t="s">
        <v>4995</v>
      </c>
      <c r="E1746" s="134">
        <v>1</v>
      </c>
      <c r="F1746" s="135" t="s">
        <v>1449</v>
      </c>
      <c r="G1746" s="185" t="s">
        <v>15</v>
      </c>
      <c r="H1746" s="185" t="s">
        <v>15</v>
      </c>
      <c r="I1746" s="185" t="s">
        <v>15</v>
      </c>
      <c r="J1746" s="135" t="s">
        <v>1450</v>
      </c>
      <c r="K1746" s="186">
        <v>108</v>
      </c>
      <c r="L1746" s="187" t="s">
        <v>173</v>
      </c>
      <c r="M1746" s="187" t="s">
        <v>175</v>
      </c>
    </row>
    <row r="1747" spans="1:13" s="188" customFormat="1">
      <c r="A1747" s="185" t="s">
        <v>1447</v>
      </c>
      <c r="B1747" s="133" t="s">
        <v>4997</v>
      </c>
      <c r="C1747" s="185" t="s">
        <v>3023</v>
      </c>
      <c r="D1747" s="133" t="s">
        <v>4995</v>
      </c>
      <c r="E1747" s="134">
        <v>1</v>
      </c>
      <c r="F1747" s="135" t="s">
        <v>1449</v>
      </c>
      <c r="G1747" s="185" t="s">
        <v>15</v>
      </c>
      <c r="H1747" s="185" t="s">
        <v>15</v>
      </c>
      <c r="I1747" s="185" t="s">
        <v>15</v>
      </c>
      <c r="J1747" s="135" t="s">
        <v>1450</v>
      </c>
      <c r="K1747" s="186">
        <v>99</v>
      </c>
      <c r="L1747" s="187" t="s">
        <v>173</v>
      </c>
      <c r="M1747" s="187" t="s">
        <v>175</v>
      </c>
    </row>
    <row r="1748" spans="1:13" s="188" customFormat="1">
      <c r="A1748" s="185" t="s">
        <v>1447</v>
      </c>
      <c r="B1748" s="133" t="s">
        <v>4998</v>
      </c>
      <c r="C1748" s="185" t="s">
        <v>3023</v>
      </c>
      <c r="D1748" s="133" t="s">
        <v>4995</v>
      </c>
      <c r="E1748" s="134">
        <v>1</v>
      </c>
      <c r="F1748" s="135" t="s">
        <v>1449</v>
      </c>
      <c r="G1748" s="185" t="s">
        <v>15</v>
      </c>
      <c r="H1748" s="185" t="s">
        <v>15</v>
      </c>
      <c r="I1748" s="185" t="s">
        <v>15</v>
      </c>
      <c r="J1748" s="135" t="s">
        <v>1450</v>
      </c>
      <c r="K1748" s="186">
        <v>87</v>
      </c>
      <c r="L1748" s="187" t="s">
        <v>173</v>
      </c>
      <c r="M1748" s="187" t="s">
        <v>175</v>
      </c>
    </row>
    <row r="1749" spans="1:13" s="188" customFormat="1">
      <c r="A1749" s="185" t="s">
        <v>1447</v>
      </c>
      <c r="B1749" s="133" t="s">
        <v>4999</v>
      </c>
      <c r="C1749" s="185" t="s">
        <v>3023</v>
      </c>
      <c r="D1749" s="133" t="s">
        <v>4995</v>
      </c>
      <c r="E1749" s="134">
        <v>1</v>
      </c>
      <c r="F1749" s="135" t="s">
        <v>1449</v>
      </c>
      <c r="G1749" s="185" t="s">
        <v>15</v>
      </c>
      <c r="H1749" s="185" t="s">
        <v>15</v>
      </c>
      <c r="I1749" s="185" t="s">
        <v>15</v>
      </c>
      <c r="J1749" s="135" t="s">
        <v>1450</v>
      </c>
      <c r="K1749" s="186">
        <v>78</v>
      </c>
      <c r="L1749" s="187" t="s">
        <v>173</v>
      </c>
      <c r="M1749" s="187" t="s">
        <v>175</v>
      </c>
    </row>
    <row r="1750" spans="1:13" s="188" customFormat="1">
      <c r="A1750" s="185" t="s">
        <v>1447</v>
      </c>
      <c r="B1750" s="133" t="s">
        <v>5000</v>
      </c>
      <c r="C1750" s="185" t="s">
        <v>3023</v>
      </c>
      <c r="D1750" s="133" t="s">
        <v>4995</v>
      </c>
      <c r="E1750" s="134">
        <v>1</v>
      </c>
      <c r="F1750" s="135" t="s">
        <v>1449</v>
      </c>
      <c r="G1750" s="185" t="s">
        <v>15</v>
      </c>
      <c r="H1750" s="185" t="s">
        <v>15</v>
      </c>
      <c r="I1750" s="185" t="s">
        <v>15</v>
      </c>
      <c r="J1750" s="135" t="s">
        <v>1450</v>
      </c>
      <c r="K1750" s="186">
        <v>72</v>
      </c>
      <c r="L1750" s="187" t="s">
        <v>173</v>
      </c>
      <c r="M1750" s="187" t="s">
        <v>175</v>
      </c>
    </row>
    <row r="1751" spans="1:13" s="188" customFormat="1">
      <c r="A1751" s="185" t="s">
        <v>1447</v>
      </c>
      <c r="B1751" s="133" t="s">
        <v>5001</v>
      </c>
      <c r="C1751" s="185" t="s">
        <v>3023</v>
      </c>
      <c r="D1751" s="133" t="s">
        <v>4995</v>
      </c>
      <c r="E1751" s="134">
        <v>1</v>
      </c>
      <c r="F1751" s="135" t="s">
        <v>1449</v>
      </c>
      <c r="G1751" s="185" t="s">
        <v>15</v>
      </c>
      <c r="H1751" s="185" t="s">
        <v>15</v>
      </c>
      <c r="I1751" s="185" t="s">
        <v>15</v>
      </c>
      <c r="J1751" s="135" t="s">
        <v>1450</v>
      </c>
      <c r="K1751" s="186">
        <v>60</v>
      </c>
      <c r="L1751" s="187" t="s">
        <v>173</v>
      </c>
      <c r="M1751" s="187" t="s">
        <v>175</v>
      </c>
    </row>
    <row r="1752" spans="1:13" s="188" customFormat="1">
      <c r="A1752" s="185" t="s">
        <v>1447</v>
      </c>
      <c r="B1752" s="133" t="s">
        <v>5002</v>
      </c>
      <c r="C1752" s="185" t="s">
        <v>3023</v>
      </c>
      <c r="D1752" s="133" t="s">
        <v>4995</v>
      </c>
      <c r="E1752" s="134">
        <v>1</v>
      </c>
      <c r="F1752" s="135" t="s">
        <v>1449</v>
      </c>
      <c r="G1752" s="185" t="s">
        <v>15</v>
      </c>
      <c r="H1752" s="185" t="s">
        <v>15</v>
      </c>
      <c r="I1752" s="185" t="s">
        <v>15</v>
      </c>
      <c r="J1752" s="135" t="s">
        <v>1450</v>
      </c>
      <c r="K1752" s="186">
        <v>48</v>
      </c>
      <c r="L1752" s="187" t="s">
        <v>173</v>
      </c>
      <c r="M1752" s="187" t="s">
        <v>175</v>
      </c>
    </row>
    <row r="1753" spans="1:13" s="188" customFormat="1">
      <c r="A1753" s="185" t="s">
        <v>1447</v>
      </c>
      <c r="B1753" s="133" t="s">
        <v>5003</v>
      </c>
      <c r="C1753" s="185" t="s">
        <v>3023</v>
      </c>
      <c r="D1753" s="133" t="s">
        <v>4995</v>
      </c>
      <c r="E1753" s="134">
        <v>1</v>
      </c>
      <c r="F1753" s="135" t="s">
        <v>1449</v>
      </c>
      <c r="G1753" s="185" t="s">
        <v>15</v>
      </c>
      <c r="H1753" s="185" t="s">
        <v>15</v>
      </c>
      <c r="I1753" s="185" t="s">
        <v>15</v>
      </c>
      <c r="J1753" s="135" t="s">
        <v>1450</v>
      </c>
      <c r="K1753" s="186">
        <v>39</v>
      </c>
      <c r="L1753" s="187" t="s">
        <v>173</v>
      </c>
      <c r="M1753" s="187" t="s">
        <v>175</v>
      </c>
    </row>
    <row r="1754" spans="1:13" s="188" customFormat="1">
      <c r="A1754" s="185" t="s">
        <v>1447</v>
      </c>
      <c r="B1754" s="133" t="s">
        <v>5004</v>
      </c>
      <c r="C1754" s="185" t="s">
        <v>3023</v>
      </c>
      <c r="D1754" s="133" t="s">
        <v>5005</v>
      </c>
      <c r="E1754" s="134">
        <v>1</v>
      </c>
      <c r="F1754" s="135" t="s">
        <v>1449</v>
      </c>
      <c r="G1754" s="185" t="s">
        <v>15</v>
      </c>
      <c r="H1754" s="185" t="s">
        <v>15</v>
      </c>
      <c r="I1754" s="185" t="s">
        <v>15</v>
      </c>
      <c r="J1754" s="135" t="s">
        <v>1450</v>
      </c>
      <c r="K1754" s="186">
        <v>15</v>
      </c>
      <c r="L1754" s="187" t="s">
        <v>173</v>
      </c>
      <c r="M1754" s="187" t="s">
        <v>175</v>
      </c>
    </row>
    <row r="1755" spans="1:13" s="188" customFormat="1">
      <c r="A1755" s="185" t="s">
        <v>1447</v>
      </c>
      <c r="B1755" s="133" t="s">
        <v>5006</v>
      </c>
      <c r="C1755" s="185" t="s">
        <v>3023</v>
      </c>
      <c r="D1755" s="133" t="s">
        <v>5005</v>
      </c>
      <c r="E1755" s="134">
        <v>1</v>
      </c>
      <c r="F1755" s="135" t="s">
        <v>1449</v>
      </c>
      <c r="G1755" s="185" t="s">
        <v>15</v>
      </c>
      <c r="H1755" s="185" t="s">
        <v>15</v>
      </c>
      <c r="I1755" s="185" t="s">
        <v>15</v>
      </c>
      <c r="J1755" s="135" t="s">
        <v>1450</v>
      </c>
      <c r="K1755" s="186">
        <v>12</v>
      </c>
      <c r="L1755" s="187" t="s">
        <v>173</v>
      </c>
      <c r="M1755" s="187" t="s">
        <v>175</v>
      </c>
    </row>
    <row r="1756" spans="1:13" s="188" customFormat="1">
      <c r="A1756" s="185" t="s">
        <v>1447</v>
      </c>
      <c r="B1756" s="133" t="s">
        <v>5007</v>
      </c>
      <c r="C1756" s="185" t="s">
        <v>3023</v>
      </c>
      <c r="D1756" s="133" t="s">
        <v>5005</v>
      </c>
      <c r="E1756" s="134">
        <v>1</v>
      </c>
      <c r="F1756" s="135" t="s">
        <v>1449</v>
      </c>
      <c r="G1756" s="185" t="s">
        <v>15</v>
      </c>
      <c r="H1756" s="185" t="s">
        <v>15</v>
      </c>
      <c r="I1756" s="185" t="s">
        <v>15</v>
      </c>
      <c r="J1756" s="135" t="s">
        <v>1450</v>
      </c>
      <c r="K1756" s="186">
        <v>9.6000000000000014</v>
      </c>
      <c r="L1756" s="187" t="s">
        <v>173</v>
      </c>
      <c r="M1756" s="187" t="s">
        <v>175</v>
      </c>
    </row>
    <row r="1757" spans="1:13" s="188" customFormat="1">
      <c r="A1757" s="185" t="s">
        <v>1447</v>
      </c>
      <c r="B1757" s="133" t="s">
        <v>5008</v>
      </c>
      <c r="C1757" s="185" t="s">
        <v>3023</v>
      </c>
      <c r="D1757" s="133" t="s">
        <v>5005</v>
      </c>
      <c r="E1757" s="134">
        <v>1</v>
      </c>
      <c r="F1757" s="135" t="s">
        <v>1449</v>
      </c>
      <c r="G1757" s="185" t="s">
        <v>15</v>
      </c>
      <c r="H1757" s="185" t="s">
        <v>15</v>
      </c>
      <c r="I1757" s="185" t="s">
        <v>15</v>
      </c>
      <c r="J1757" s="135" t="s">
        <v>1450</v>
      </c>
      <c r="K1757" s="186">
        <v>7.8000000000000007</v>
      </c>
      <c r="L1757" s="187" t="s">
        <v>173</v>
      </c>
      <c r="M1757" s="187" t="s">
        <v>175</v>
      </c>
    </row>
    <row r="1758" spans="1:13" s="188" customFormat="1">
      <c r="A1758" s="185" t="s">
        <v>1447</v>
      </c>
      <c r="B1758" s="133" t="s">
        <v>5009</v>
      </c>
      <c r="C1758" s="185" t="s">
        <v>3023</v>
      </c>
      <c r="D1758" s="133" t="s">
        <v>5005</v>
      </c>
      <c r="E1758" s="134">
        <v>1</v>
      </c>
      <c r="F1758" s="135" t="s">
        <v>1449</v>
      </c>
      <c r="G1758" s="185" t="s">
        <v>15</v>
      </c>
      <c r="H1758" s="185" t="s">
        <v>15</v>
      </c>
      <c r="I1758" s="185" t="s">
        <v>15</v>
      </c>
      <c r="J1758" s="135" t="s">
        <v>1450</v>
      </c>
      <c r="K1758" s="186">
        <v>6.24</v>
      </c>
      <c r="L1758" s="187" t="s">
        <v>173</v>
      </c>
      <c r="M1758" s="187" t="s">
        <v>175</v>
      </c>
    </row>
    <row r="1759" spans="1:13" s="188" customFormat="1">
      <c r="A1759" s="185" t="s">
        <v>1447</v>
      </c>
      <c r="B1759" s="133" t="s">
        <v>5010</v>
      </c>
      <c r="C1759" s="185" t="s">
        <v>3023</v>
      </c>
      <c r="D1759" s="133" t="s">
        <v>5005</v>
      </c>
      <c r="E1759" s="134">
        <v>1</v>
      </c>
      <c r="F1759" s="135" t="s">
        <v>1449</v>
      </c>
      <c r="G1759" s="185" t="s">
        <v>15</v>
      </c>
      <c r="H1759" s="185" t="s">
        <v>15</v>
      </c>
      <c r="I1759" s="185" t="s">
        <v>15</v>
      </c>
      <c r="J1759" s="135" t="s">
        <v>1450</v>
      </c>
      <c r="K1759" s="186">
        <v>5.04</v>
      </c>
      <c r="L1759" s="187" t="s">
        <v>173</v>
      </c>
      <c r="M1759" s="187" t="s">
        <v>175</v>
      </c>
    </row>
    <row r="1760" spans="1:13" s="188" customFormat="1">
      <c r="A1760" s="185" t="s">
        <v>1447</v>
      </c>
      <c r="B1760" s="133" t="s">
        <v>5011</v>
      </c>
      <c r="C1760" s="185" t="s">
        <v>3023</v>
      </c>
      <c r="D1760" s="133" t="s">
        <v>5005</v>
      </c>
      <c r="E1760" s="134">
        <v>1</v>
      </c>
      <c r="F1760" s="135" t="s">
        <v>1449</v>
      </c>
      <c r="G1760" s="185" t="s">
        <v>15</v>
      </c>
      <c r="H1760" s="185" t="s">
        <v>15</v>
      </c>
      <c r="I1760" s="185" t="s">
        <v>15</v>
      </c>
      <c r="J1760" s="135" t="s">
        <v>1450</v>
      </c>
      <c r="K1760" s="186">
        <v>3.3600000000000003</v>
      </c>
      <c r="L1760" s="187" t="s">
        <v>173</v>
      </c>
      <c r="M1760" s="187" t="s">
        <v>175</v>
      </c>
    </row>
    <row r="1761" spans="1:13" s="188" customFormat="1">
      <c r="A1761" s="185" t="s">
        <v>1447</v>
      </c>
      <c r="B1761" s="133" t="s">
        <v>5012</v>
      </c>
      <c r="C1761" s="185" t="s">
        <v>3023</v>
      </c>
      <c r="D1761" s="133" t="s">
        <v>5005</v>
      </c>
      <c r="E1761" s="134">
        <v>1</v>
      </c>
      <c r="F1761" s="135" t="s">
        <v>1449</v>
      </c>
      <c r="G1761" s="185" t="s">
        <v>15</v>
      </c>
      <c r="H1761" s="185" t="s">
        <v>15</v>
      </c>
      <c r="I1761" s="185" t="s">
        <v>15</v>
      </c>
      <c r="J1761" s="135" t="s">
        <v>1450</v>
      </c>
      <c r="K1761" s="186">
        <v>2.7600000000000002</v>
      </c>
      <c r="L1761" s="187" t="s">
        <v>173</v>
      </c>
      <c r="M1761" s="187" t="s">
        <v>175</v>
      </c>
    </row>
    <row r="1762" spans="1:13" s="188" customFormat="1">
      <c r="A1762" s="185" t="s">
        <v>1447</v>
      </c>
      <c r="B1762" s="133" t="s">
        <v>5013</v>
      </c>
      <c r="C1762" s="185" t="s">
        <v>3023</v>
      </c>
      <c r="D1762" s="133" t="s">
        <v>5005</v>
      </c>
      <c r="E1762" s="134">
        <v>1</v>
      </c>
      <c r="F1762" s="135" t="s">
        <v>1449</v>
      </c>
      <c r="G1762" s="185" t="s">
        <v>15</v>
      </c>
      <c r="H1762" s="185" t="s">
        <v>15</v>
      </c>
      <c r="I1762" s="185" t="s">
        <v>15</v>
      </c>
      <c r="J1762" s="135" t="s">
        <v>1450</v>
      </c>
      <c r="K1762" s="186">
        <v>2.2800000000000002</v>
      </c>
      <c r="L1762" s="187" t="s">
        <v>173</v>
      </c>
      <c r="M1762" s="187" t="s">
        <v>175</v>
      </c>
    </row>
    <row r="1763" spans="1:13" s="188" customFormat="1">
      <c r="A1763" s="185" t="s">
        <v>1447</v>
      </c>
      <c r="B1763" s="133" t="s">
        <v>5014</v>
      </c>
      <c r="C1763" s="185" t="s">
        <v>3023</v>
      </c>
      <c r="D1763" s="133" t="s">
        <v>5015</v>
      </c>
      <c r="E1763" s="134">
        <v>1</v>
      </c>
      <c r="F1763" s="135" t="s">
        <v>1449</v>
      </c>
      <c r="G1763" s="185" t="s">
        <v>15</v>
      </c>
      <c r="H1763" s="185" t="s">
        <v>15</v>
      </c>
      <c r="I1763" s="185" t="s">
        <v>15</v>
      </c>
      <c r="J1763" s="135" t="s">
        <v>1450</v>
      </c>
      <c r="K1763" s="186">
        <v>20400</v>
      </c>
      <c r="L1763" s="187" t="s">
        <v>173</v>
      </c>
      <c r="M1763" s="187" t="s">
        <v>175</v>
      </c>
    </row>
    <row r="1764" spans="1:13" s="188" customFormat="1">
      <c r="A1764" s="185" t="s">
        <v>1447</v>
      </c>
      <c r="B1764" s="133" t="s">
        <v>5016</v>
      </c>
      <c r="C1764" s="185" t="s">
        <v>3023</v>
      </c>
      <c r="D1764" s="133" t="s">
        <v>5017</v>
      </c>
      <c r="E1764" s="134">
        <v>1</v>
      </c>
      <c r="F1764" s="135" t="s">
        <v>1449</v>
      </c>
      <c r="G1764" s="185" t="s">
        <v>15</v>
      </c>
      <c r="H1764" s="185" t="s">
        <v>15</v>
      </c>
      <c r="I1764" s="185" t="s">
        <v>15</v>
      </c>
      <c r="J1764" s="135" t="s">
        <v>1450</v>
      </c>
      <c r="K1764" s="186">
        <v>940</v>
      </c>
      <c r="L1764" s="187" t="s">
        <v>173</v>
      </c>
      <c r="M1764" s="187" t="s">
        <v>175</v>
      </c>
    </row>
    <row r="1765" spans="1:13" s="188" customFormat="1">
      <c r="A1765" s="185" t="s">
        <v>1447</v>
      </c>
      <c r="B1765" s="133" t="s">
        <v>5018</v>
      </c>
      <c r="C1765" s="185" t="s">
        <v>3023</v>
      </c>
      <c r="D1765" s="133" t="s">
        <v>5017</v>
      </c>
      <c r="E1765" s="134">
        <v>1</v>
      </c>
      <c r="F1765" s="135" t="s">
        <v>1449</v>
      </c>
      <c r="G1765" s="185" t="s">
        <v>15</v>
      </c>
      <c r="H1765" s="185" t="s">
        <v>15</v>
      </c>
      <c r="I1765" s="185" t="s">
        <v>15</v>
      </c>
      <c r="J1765" s="135" t="s">
        <v>1450</v>
      </c>
      <c r="K1765" s="186">
        <v>825</v>
      </c>
      <c r="L1765" s="187" t="s">
        <v>173</v>
      </c>
      <c r="M1765" s="187" t="s">
        <v>175</v>
      </c>
    </row>
    <row r="1766" spans="1:13" s="188" customFormat="1">
      <c r="A1766" s="185" t="s">
        <v>1447</v>
      </c>
      <c r="B1766" s="133" t="s">
        <v>5019</v>
      </c>
      <c r="C1766" s="185" t="s">
        <v>3023</v>
      </c>
      <c r="D1766" s="133" t="s">
        <v>5017</v>
      </c>
      <c r="E1766" s="134">
        <v>1</v>
      </c>
      <c r="F1766" s="135" t="s">
        <v>1449</v>
      </c>
      <c r="G1766" s="185" t="s">
        <v>15</v>
      </c>
      <c r="H1766" s="185" t="s">
        <v>15</v>
      </c>
      <c r="I1766" s="185" t="s">
        <v>15</v>
      </c>
      <c r="J1766" s="135" t="s">
        <v>1450</v>
      </c>
      <c r="K1766" s="186">
        <v>725</v>
      </c>
      <c r="L1766" s="187" t="s">
        <v>173</v>
      </c>
      <c r="M1766" s="187" t="s">
        <v>175</v>
      </c>
    </row>
    <row r="1767" spans="1:13" s="188" customFormat="1">
      <c r="A1767" s="185" t="s">
        <v>1447</v>
      </c>
      <c r="B1767" s="133" t="s">
        <v>5020</v>
      </c>
      <c r="C1767" s="185" t="s">
        <v>3023</v>
      </c>
      <c r="D1767" s="133" t="s">
        <v>5017</v>
      </c>
      <c r="E1767" s="134">
        <v>1</v>
      </c>
      <c r="F1767" s="135" t="s">
        <v>1449</v>
      </c>
      <c r="G1767" s="185" t="s">
        <v>15</v>
      </c>
      <c r="H1767" s="185" t="s">
        <v>15</v>
      </c>
      <c r="I1767" s="185" t="s">
        <v>15</v>
      </c>
      <c r="J1767" s="135" t="s">
        <v>1450</v>
      </c>
      <c r="K1767" s="186">
        <v>680</v>
      </c>
      <c r="L1767" s="187" t="s">
        <v>173</v>
      </c>
      <c r="M1767" s="187" t="s">
        <v>175</v>
      </c>
    </row>
    <row r="1768" spans="1:13" s="188" customFormat="1">
      <c r="A1768" s="185" t="s">
        <v>1447</v>
      </c>
      <c r="B1768" s="133" t="s">
        <v>5021</v>
      </c>
      <c r="C1768" s="185" t="s">
        <v>3023</v>
      </c>
      <c r="D1768" s="133" t="s">
        <v>1626</v>
      </c>
      <c r="E1768" s="134">
        <v>1</v>
      </c>
      <c r="F1768" s="135" t="s">
        <v>1449</v>
      </c>
      <c r="G1768" s="185" t="s">
        <v>15</v>
      </c>
      <c r="H1768" s="185" t="s">
        <v>15</v>
      </c>
      <c r="I1768" s="185" t="s">
        <v>15</v>
      </c>
      <c r="J1768" s="135" t="s">
        <v>1450</v>
      </c>
      <c r="K1768" s="186">
        <v>13.68</v>
      </c>
      <c r="L1768" s="187" t="s">
        <v>173</v>
      </c>
      <c r="M1768" s="187" t="s">
        <v>175</v>
      </c>
    </row>
    <row r="1769" spans="1:13" s="188" customFormat="1">
      <c r="A1769" s="185" t="s">
        <v>1447</v>
      </c>
      <c r="B1769" s="133" t="s">
        <v>5022</v>
      </c>
      <c r="C1769" s="185" t="s">
        <v>3023</v>
      </c>
      <c r="D1769" s="133" t="s">
        <v>5023</v>
      </c>
      <c r="E1769" s="134">
        <v>1</v>
      </c>
      <c r="F1769" s="135" t="s">
        <v>1449</v>
      </c>
      <c r="G1769" s="185" t="s">
        <v>15</v>
      </c>
      <c r="H1769" s="185" t="s">
        <v>15</v>
      </c>
      <c r="I1769" s="185" t="s">
        <v>15</v>
      </c>
      <c r="J1769" s="135" t="s">
        <v>1450</v>
      </c>
      <c r="K1769" s="186">
        <v>84.960000000000008</v>
      </c>
      <c r="L1769" s="187" t="s">
        <v>173</v>
      </c>
      <c r="M1769" s="187" t="s">
        <v>175</v>
      </c>
    </row>
    <row r="1770" spans="1:13" s="188" customFormat="1">
      <c r="A1770" s="185" t="s">
        <v>1447</v>
      </c>
      <c r="B1770" s="133" t="s">
        <v>5024</v>
      </c>
      <c r="C1770" s="185" t="s">
        <v>3023</v>
      </c>
      <c r="D1770" s="133" t="s">
        <v>5023</v>
      </c>
      <c r="E1770" s="134">
        <v>1</v>
      </c>
      <c r="F1770" s="135" t="s">
        <v>1449</v>
      </c>
      <c r="G1770" s="185" t="s">
        <v>15</v>
      </c>
      <c r="H1770" s="185" t="s">
        <v>15</v>
      </c>
      <c r="I1770" s="185" t="s">
        <v>15</v>
      </c>
      <c r="J1770" s="135" t="s">
        <v>1450</v>
      </c>
      <c r="K1770" s="186">
        <v>81</v>
      </c>
      <c r="L1770" s="187" t="s">
        <v>173</v>
      </c>
      <c r="M1770" s="187" t="s">
        <v>175</v>
      </c>
    </row>
    <row r="1771" spans="1:13" s="188" customFormat="1">
      <c r="A1771" s="185" t="s">
        <v>1447</v>
      </c>
      <c r="B1771" s="133" t="s">
        <v>5025</v>
      </c>
      <c r="C1771" s="185" t="s">
        <v>3023</v>
      </c>
      <c r="D1771" s="133" t="s">
        <v>5023</v>
      </c>
      <c r="E1771" s="134">
        <v>1</v>
      </c>
      <c r="F1771" s="135" t="s">
        <v>1449</v>
      </c>
      <c r="G1771" s="185" t="s">
        <v>15</v>
      </c>
      <c r="H1771" s="185" t="s">
        <v>15</v>
      </c>
      <c r="I1771" s="185" t="s">
        <v>15</v>
      </c>
      <c r="J1771" s="135" t="s">
        <v>1450</v>
      </c>
      <c r="K1771" s="186">
        <v>77.28</v>
      </c>
      <c r="L1771" s="187" t="s">
        <v>173</v>
      </c>
      <c r="M1771" s="187" t="s">
        <v>175</v>
      </c>
    </row>
    <row r="1772" spans="1:13" s="188" customFormat="1">
      <c r="A1772" s="185" t="s">
        <v>1447</v>
      </c>
      <c r="B1772" s="133" t="s">
        <v>5026</v>
      </c>
      <c r="C1772" s="185" t="s">
        <v>3023</v>
      </c>
      <c r="D1772" s="133" t="s">
        <v>5023</v>
      </c>
      <c r="E1772" s="134">
        <v>1</v>
      </c>
      <c r="F1772" s="135" t="s">
        <v>1449</v>
      </c>
      <c r="G1772" s="185" t="s">
        <v>15</v>
      </c>
      <c r="H1772" s="185" t="s">
        <v>15</v>
      </c>
      <c r="I1772" s="185" t="s">
        <v>15</v>
      </c>
      <c r="J1772" s="135" t="s">
        <v>1450</v>
      </c>
      <c r="K1772" s="186">
        <v>73.92</v>
      </c>
      <c r="L1772" s="187" t="s">
        <v>173</v>
      </c>
      <c r="M1772" s="187" t="s">
        <v>175</v>
      </c>
    </row>
    <row r="1773" spans="1:13" s="188" customFormat="1">
      <c r="A1773" s="185" t="s">
        <v>1447</v>
      </c>
      <c r="B1773" s="133" t="s">
        <v>5027</v>
      </c>
      <c r="C1773" s="185" t="s">
        <v>3023</v>
      </c>
      <c r="D1773" s="133" t="s">
        <v>5023</v>
      </c>
      <c r="E1773" s="134">
        <v>1</v>
      </c>
      <c r="F1773" s="135" t="s">
        <v>1449</v>
      </c>
      <c r="G1773" s="185" t="s">
        <v>15</v>
      </c>
      <c r="H1773" s="185" t="s">
        <v>15</v>
      </c>
      <c r="I1773" s="185" t="s">
        <v>15</v>
      </c>
      <c r="J1773" s="135" t="s">
        <v>1450</v>
      </c>
      <c r="K1773" s="186">
        <v>70.800000000000011</v>
      </c>
      <c r="L1773" s="187" t="s">
        <v>173</v>
      </c>
      <c r="M1773" s="187" t="s">
        <v>175</v>
      </c>
    </row>
    <row r="1774" spans="1:13" s="188" customFormat="1">
      <c r="A1774" s="185" t="s">
        <v>1447</v>
      </c>
      <c r="B1774" s="133" t="s">
        <v>5028</v>
      </c>
      <c r="C1774" s="185" t="s">
        <v>3023</v>
      </c>
      <c r="D1774" s="133" t="s">
        <v>5023</v>
      </c>
      <c r="E1774" s="134">
        <v>1</v>
      </c>
      <c r="F1774" s="135" t="s">
        <v>1449</v>
      </c>
      <c r="G1774" s="185" t="s">
        <v>15</v>
      </c>
      <c r="H1774" s="185" t="s">
        <v>15</v>
      </c>
      <c r="I1774" s="185" t="s">
        <v>15</v>
      </c>
      <c r="J1774" s="135" t="s">
        <v>1450</v>
      </c>
      <c r="K1774" s="186">
        <v>68.039999999999992</v>
      </c>
      <c r="L1774" s="187" t="s">
        <v>173</v>
      </c>
      <c r="M1774" s="187" t="s">
        <v>175</v>
      </c>
    </row>
    <row r="1775" spans="1:13" s="188" customFormat="1">
      <c r="A1775" s="185" t="s">
        <v>1447</v>
      </c>
      <c r="B1775" s="133" t="s">
        <v>5029</v>
      </c>
      <c r="C1775" s="185" t="s">
        <v>3023</v>
      </c>
      <c r="D1775" s="133" t="s">
        <v>5023</v>
      </c>
      <c r="E1775" s="134">
        <v>1</v>
      </c>
      <c r="F1775" s="135" t="s">
        <v>1449</v>
      </c>
      <c r="G1775" s="185" t="s">
        <v>15</v>
      </c>
      <c r="H1775" s="185" t="s">
        <v>15</v>
      </c>
      <c r="I1775" s="185" t="s">
        <v>15</v>
      </c>
      <c r="J1775" s="135" t="s">
        <v>1450</v>
      </c>
      <c r="K1775" s="186">
        <v>47.88</v>
      </c>
      <c r="L1775" s="187" t="s">
        <v>173</v>
      </c>
      <c r="M1775" s="187" t="s">
        <v>175</v>
      </c>
    </row>
    <row r="1776" spans="1:13" s="188" customFormat="1">
      <c r="A1776" s="185" t="s">
        <v>1447</v>
      </c>
      <c r="B1776" s="133" t="s">
        <v>5030</v>
      </c>
      <c r="C1776" s="185" t="s">
        <v>3023</v>
      </c>
      <c r="D1776" s="133" t="s">
        <v>5023</v>
      </c>
      <c r="E1776" s="134">
        <v>1</v>
      </c>
      <c r="F1776" s="135" t="s">
        <v>1449</v>
      </c>
      <c r="G1776" s="185" t="s">
        <v>15</v>
      </c>
      <c r="H1776" s="185" t="s">
        <v>15</v>
      </c>
      <c r="I1776" s="185" t="s">
        <v>15</v>
      </c>
      <c r="J1776" s="135" t="s">
        <v>1450</v>
      </c>
      <c r="K1776" s="186">
        <v>45.839999999999996</v>
      </c>
      <c r="L1776" s="187" t="s">
        <v>173</v>
      </c>
      <c r="M1776" s="187" t="s">
        <v>175</v>
      </c>
    </row>
    <row r="1777" spans="1:13" s="188" customFormat="1">
      <c r="A1777" s="185" t="s">
        <v>1447</v>
      </c>
      <c r="B1777" s="133" t="s">
        <v>5031</v>
      </c>
      <c r="C1777" s="185" t="s">
        <v>3023</v>
      </c>
      <c r="D1777" s="133" t="s">
        <v>5023</v>
      </c>
      <c r="E1777" s="134">
        <v>1</v>
      </c>
      <c r="F1777" s="135" t="s">
        <v>1449</v>
      </c>
      <c r="G1777" s="185" t="s">
        <v>15</v>
      </c>
      <c r="H1777" s="185" t="s">
        <v>15</v>
      </c>
      <c r="I1777" s="185" t="s">
        <v>15</v>
      </c>
      <c r="J1777" s="135" t="s">
        <v>1450</v>
      </c>
      <c r="K1777" s="186">
        <v>44.04</v>
      </c>
      <c r="L1777" s="187" t="s">
        <v>173</v>
      </c>
      <c r="M1777" s="187" t="s">
        <v>175</v>
      </c>
    </row>
    <row r="1778" spans="1:13" s="188" customFormat="1">
      <c r="A1778" s="185" t="s">
        <v>1447</v>
      </c>
      <c r="B1778" s="133" t="s">
        <v>5032</v>
      </c>
      <c r="C1778" s="185" t="s">
        <v>3023</v>
      </c>
      <c r="D1778" s="133" t="s">
        <v>5033</v>
      </c>
      <c r="E1778" s="134">
        <v>1</v>
      </c>
      <c r="F1778" s="135" t="s">
        <v>1449</v>
      </c>
      <c r="G1778" s="185" t="s">
        <v>15</v>
      </c>
      <c r="H1778" s="185" t="s">
        <v>15</v>
      </c>
      <c r="I1778" s="185" t="s">
        <v>15</v>
      </c>
      <c r="J1778" s="135" t="s">
        <v>1450</v>
      </c>
      <c r="K1778" s="186">
        <v>60</v>
      </c>
      <c r="L1778" s="187" t="s">
        <v>173</v>
      </c>
      <c r="M1778" s="187" t="s">
        <v>175</v>
      </c>
    </row>
    <row r="1779" spans="1:13" s="188" customFormat="1">
      <c r="A1779" s="185" t="s">
        <v>1447</v>
      </c>
      <c r="B1779" s="133" t="s">
        <v>5034</v>
      </c>
      <c r="C1779" s="185" t="s">
        <v>3023</v>
      </c>
      <c r="D1779" s="133" t="s">
        <v>5033</v>
      </c>
      <c r="E1779" s="134">
        <v>1</v>
      </c>
      <c r="F1779" s="135" t="s">
        <v>1449</v>
      </c>
      <c r="G1779" s="185" t="s">
        <v>15</v>
      </c>
      <c r="H1779" s="185" t="s">
        <v>15</v>
      </c>
      <c r="I1779" s="185" t="s">
        <v>15</v>
      </c>
      <c r="J1779" s="135" t="s">
        <v>1450</v>
      </c>
      <c r="K1779" s="186">
        <v>57.12</v>
      </c>
      <c r="L1779" s="187" t="s">
        <v>173</v>
      </c>
      <c r="M1779" s="187" t="s">
        <v>175</v>
      </c>
    </row>
    <row r="1780" spans="1:13" s="188" customFormat="1">
      <c r="A1780" s="185" t="s">
        <v>1447</v>
      </c>
      <c r="B1780" s="133" t="s">
        <v>5035</v>
      </c>
      <c r="C1780" s="185" t="s">
        <v>3023</v>
      </c>
      <c r="D1780" s="133" t="s">
        <v>5033</v>
      </c>
      <c r="E1780" s="134">
        <v>1</v>
      </c>
      <c r="F1780" s="135" t="s">
        <v>1449</v>
      </c>
      <c r="G1780" s="185" t="s">
        <v>15</v>
      </c>
      <c r="H1780" s="185" t="s">
        <v>15</v>
      </c>
      <c r="I1780" s="185" t="s">
        <v>15</v>
      </c>
      <c r="J1780" s="135" t="s">
        <v>1450</v>
      </c>
      <c r="K1780" s="186">
        <v>54.599999999999994</v>
      </c>
      <c r="L1780" s="187" t="s">
        <v>173</v>
      </c>
      <c r="M1780" s="187" t="s">
        <v>175</v>
      </c>
    </row>
    <row r="1781" spans="1:13" s="188" customFormat="1">
      <c r="A1781" s="185" t="s">
        <v>1447</v>
      </c>
      <c r="B1781" s="133" t="s">
        <v>5036</v>
      </c>
      <c r="C1781" s="185" t="s">
        <v>3023</v>
      </c>
      <c r="D1781" s="133" t="s">
        <v>5033</v>
      </c>
      <c r="E1781" s="134">
        <v>1</v>
      </c>
      <c r="F1781" s="135" t="s">
        <v>1449</v>
      </c>
      <c r="G1781" s="185" t="s">
        <v>15</v>
      </c>
      <c r="H1781" s="185" t="s">
        <v>15</v>
      </c>
      <c r="I1781" s="185" t="s">
        <v>15</v>
      </c>
      <c r="J1781" s="135" t="s">
        <v>1450</v>
      </c>
      <c r="K1781" s="186">
        <v>52.199999999999996</v>
      </c>
      <c r="L1781" s="187" t="s">
        <v>173</v>
      </c>
      <c r="M1781" s="187" t="s">
        <v>175</v>
      </c>
    </row>
    <row r="1782" spans="1:13" s="188" customFormat="1">
      <c r="A1782" s="185" t="s">
        <v>1447</v>
      </c>
      <c r="B1782" s="133" t="s">
        <v>5037</v>
      </c>
      <c r="C1782" s="185" t="s">
        <v>3023</v>
      </c>
      <c r="D1782" s="133" t="s">
        <v>5033</v>
      </c>
      <c r="E1782" s="134">
        <v>1</v>
      </c>
      <c r="F1782" s="135" t="s">
        <v>1449</v>
      </c>
      <c r="G1782" s="185" t="s">
        <v>15</v>
      </c>
      <c r="H1782" s="185" t="s">
        <v>15</v>
      </c>
      <c r="I1782" s="185" t="s">
        <v>15</v>
      </c>
      <c r="J1782" s="135" t="s">
        <v>1450</v>
      </c>
      <c r="K1782" s="186">
        <v>50.04</v>
      </c>
      <c r="L1782" s="187" t="s">
        <v>173</v>
      </c>
      <c r="M1782" s="187" t="s">
        <v>175</v>
      </c>
    </row>
    <row r="1783" spans="1:13" s="188" customFormat="1">
      <c r="A1783" s="185" t="s">
        <v>1447</v>
      </c>
      <c r="B1783" s="133" t="s">
        <v>5038</v>
      </c>
      <c r="C1783" s="185" t="s">
        <v>3023</v>
      </c>
      <c r="D1783" s="133" t="s">
        <v>5033</v>
      </c>
      <c r="E1783" s="134">
        <v>1</v>
      </c>
      <c r="F1783" s="135" t="s">
        <v>1449</v>
      </c>
      <c r="G1783" s="185" t="s">
        <v>15</v>
      </c>
      <c r="H1783" s="185" t="s">
        <v>15</v>
      </c>
      <c r="I1783" s="185" t="s">
        <v>15</v>
      </c>
      <c r="J1783" s="135" t="s">
        <v>1450</v>
      </c>
      <c r="K1783" s="186">
        <v>48</v>
      </c>
      <c r="L1783" s="187" t="s">
        <v>173</v>
      </c>
      <c r="M1783" s="187" t="s">
        <v>175</v>
      </c>
    </row>
    <row r="1784" spans="1:13" s="188" customFormat="1">
      <c r="A1784" s="185" t="s">
        <v>1447</v>
      </c>
      <c r="B1784" s="133" t="s">
        <v>5039</v>
      </c>
      <c r="C1784" s="185" t="s">
        <v>3023</v>
      </c>
      <c r="D1784" s="133" t="s">
        <v>5033</v>
      </c>
      <c r="E1784" s="134">
        <v>1</v>
      </c>
      <c r="F1784" s="135" t="s">
        <v>1449</v>
      </c>
      <c r="G1784" s="185" t="s">
        <v>15</v>
      </c>
      <c r="H1784" s="185" t="s">
        <v>15</v>
      </c>
      <c r="I1784" s="185" t="s">
        <v>15</v>
      </c>
      <c r="J1784" s="135" t="s">
        <v>1450</v>
      </c>
      <c r="K1784" s="186">
        <v>33.36</v>
      </c>
      <c r="L1784" s="187" t="s">
        <v>173</v>
      </c>
      <c r="M1784" s="187" t="s">
        <v>175</v>
      </c>
    </row>
    <row r="1785" spans="1:13" s="188" customFormat="1">
      <c r="A1785" s="185" t="s">
        <v>1447</v>
      </c>
      <c r="B1785" s="133" t="s">
        <v>5040</v>
      </c>
      <c r="C1785" s="185" t="s">
        <v>3023</v>
      </c>
      <c r="D1785" s="133" t="s">
        <v>5033</v>
      </c>
      <c r="E1785" s="134">
        <v>1</v>
      </c>
      <c r="F1785" s="135" t="s">
        <v>1449</v>
      </c>
      <c r="G1785" s="185" t="s">
        <v>15</v>
      </c>
      <c r="H1785" s="185" t="s">
        <v>15</v>
      </c>
      <c r="I1785" s="185" t="s">
        <v>15</v>
      </c>
      <c r="J1785" s="135" t="s">
        <v>1450</v>
      </c>
      <c r="K1785" s="186">
        <v>30.72</v>
      </c>
      <c r="L1785" s="187" t="s">
        <v>173</v>
      </c>
      <c r="M1785" s="187" t="s">
        <v>175</v>
      </c>
    </row>
    <row r="1786" spans="1:13" s="188" customFormat="1">
      <c r="A1786" s="185" t="s">
        <v>1447</v>
      </c>
      <c r="B1786" s="133" t="s">
        <v>5041</v>
      </c>
      <c r="C1786" s="185" t="s">
        <v>3023</v>
      </c>
      <c r="D1786" s="133" t="s">
        <v>5033</v>
      </c>
      <c r="E1786" s="134">
        <v>1</v>
      </c>
      <c r="F1786" s="135" t="s">
        <v>1449</v>
      </c>
      <c r="G1786" s="185" t="s">
        <v>15</v>
      </c>
      <c r="H1786" s="185" t="s">
        <v>15</v>
      </c>
      <c r="I1786" s="185" t="s">
        <v>15</v>
      </c>
      <c r="J1786" s="135" t="s">
        <v>1450</v>
      </c>
      <c r="K1786" s="186">
        <v>29.64</v>
      </c>
      <c r="L1786" s="187" t="s">
        <v>173</v>
      </c>
      <c r="M1786" s="187" t="s">
        <v>175</v>
      </c>
    </row>
    <row r="1787" spans="1:13" s="188" customFormat="1">
      <c r="A1787" s="185" t="s">
        <v>1447</v>
      </c>
      <c r="B1787" s="133" t="s">
        <v>5042</v>
      </c>
      <c r="C1787" s="185" t="s">
        <v>3023</v>
      </c>
      <c r="D1787" s="133" t="s">
        <v>5043</v>
      </c>
      <c r="E1787" s="134">
        <v>1</v>
      </c>
      <c r="F1787" s="135" t="s">
        <v>1449</v>
      </c>
      <c r="G1787" s="185" t="s">
        <v>15</v>
      </c>
      <c r="H1787" s="185" t="s">
        <v>15</v>
      </c>
      <c r="I1787" s="185" t="s">
        <v>15</v>
      </c>
      <c r="J1787" s="135" t="s">
        <v>1450</v>
      </c>
      <c r="K1787" s="186">
        <v>120000</v>
      </c>
      <c r="L1787" s="187" t="s">
        <v>173</v>
      </c>
      <c r="M1787" s="187" t="s">
        <v>175</v>
      </c>
    </row>
    <row r="1788" spans="1:13" s="188" customFormat="1">
      <c r="A1788" s="185" t="s">
        <v>1447</v>
      </c>
      <c r="B1788" s="133" t="s">
        <v>5044</v>
      </c>
      <c r="C1788" s="185" t="s">
        <v>3023</v>
      </c>
      <c r="D1788" s="133" t="s">
        <v>5045</v>
      </c>
      <c r="E1788" s="134">
        <v>1</v>
      </c>
      <c r="F1788" s="135" t="s">
        <v>1449</v>
      </c>
      <c r="G1788" s="185" t="s">
        <v>15</v>
      </c>
      <c r="H1788" s="185" t="s">
        <v>15</v>
      </c>
      <c r="I1788" s="185" t="s">
        <v>15</v>
      </c>
      <c r="J1788" s="135" t="s">
        <v>1450</v>
      </c>
      <c r="K1788" s="186">
        <v>30</v>
      </c>
      <c r="L1788" s="187" t="s">
        <v>173</v>
      </c>
      <c r="M1788" s="187" t="s">
        <v>175</v>
      </c>
    </row>
    <row r="1789" spans="1:13" s="188" customFormat="1">
      <c r="A1789" s="185" t="s">
        <v>1447</v>
      </c>
      <c r="B1789" s="133" t="s">
        <v>5046</v>
      </c>
      <c r="C1789" s="185" t="s">
        <v>3023</v>
      </c>
      <c r="D1789" s="133" t="s">
        <v>5045</v>
      </c>
      <c r="E1789" s="134">
        <v>1</v>
      </c>
      <c r="F1789" s="135" t="s">
        <v>1449</v>
      </c>
      <c r="G1789" s="185" t="s">
        <v>15</v>
      </c>
      <c r="H1789" s="185" t="s">
        <v>15</v>
      </c>
      <c r="I1789" s="185" t="s">
        <v>15</v>
      </c>
      <c r="J1789" s="135" t="s">
        <v>1450</v>
      </c>
      <c r="K1789" s="186">
        <v>28.56</v>
      </c>
      <c r="L1789" s="187" t="s">
        <v>173</v>
      </c>
      <c r="M1789" s="187" t="s">
        <v>175</v>
      </c>
    </row>
    <row r="1790" spans="1:13" s="188" customFormat="1">
      <c r="A1790" s="185" t="s">
        <v>1447</v>
      </c>
      <c r="B1790" s="133" t="s">
        <v>5047</v>
      </c>
      <c r="C1790" s="185" t="s">
        <v>3023</v>
      </c>
      <c r="D1790" s="133" t="s">
        <v>5045</v>
      </c>
      <c r="E1790" s="134">
        <v>1</v>
      </c>
      <c r="F1790" s="135" t="s">
        <v>1449</v>
      </c>
      <c r="G1790" s="185" t="s">
        <v>15</v>
      </c>
      <c r="H1790" s="185" t="s">
        <v>15</v>
      </c>
      <c r="I1790" s="185" t="s">
        <v>15</v>
      </c>
      <c r="J1790" s="135" t="s">
        <v>1450</v>
      </c>
      <c r="K1790" s="186">
        <v>27.240000000000002</v>
      </c>
      <c r="L1790" s="187" t="s">
        <v>173</v>
      </c>
      <c r="M1790" s="187" t="s">
        <v>175</v>
      </c>
    </row>
    <row r="1791" spans="1:13" s="188" customFormat="1">
      <c r="A1791" s="185" t="s">
        <v>1447</v>
      </c>
      <c r="B1791" s="133" t="s">
        <v>5048</v>
      </c>
      <c r="C1791" s="185" t="s">
        <v>3023</v>
      </c>
      <c r="D1791" s="133" t="s">
        <v>5045</v>
      </c>
      <c r="E1791" s="134">
        <v>1</v>
      </c>
      <c r="F1791" s="135" t="s">
        <v>1449</v>
      </c>
      <c r="G1791" s="185" t="s">
        <v>15</v>
      </c>
      <c r="H1791" s="185" t="s">
        <v>15</v>
      </c>
      <c r="I1791" s="185" t="s">
        <v>15</v>
      </c>
      <c r="J1791" s="135" t="s">
        <v>1450</v>
      </c>
      <c r="K1791" s="186">
        <v>26.04</v>
      </c>
      <c r="L1791" s="187" t="s">
        <v>173</v>
      </c>
      <c r="M1791" s="187" t="s">
        <v>175</v>
      </c>
    </row>
    <row r="1792" spans="1:13" s="188" customFormat="1">
      <c r="A1792" s="185" t="s">
        <v>1447</v>
      </c>
      <c r="B1792" s="133" t="s">
        <v>5049</v>
      </c>
      <c r="C1792" s="185" t="s">
        <v>3023</v>
      </c>
      <c r="D1792" s="133" t="s">
        <v>5045</v>
      </c>
      <c r="E1792" s="134">
        <v>1</v>
      </c>
      <c r="F1792" s="135" t="s">
        <v>1449</v>
      </c>
      <c r="G1792" s="185" t="s">
        <v>15</v>
      </c>
      <c r="H1792" s="185" t="s">
        <v>15</v>
      </c>
      <c r="I1792" s="185" t="s">
        <v>15</v>
      </c>
      <c r="J1792" s="135" t="s">
        <v>1450</v>
      </c>
      <c r="K1792" s="186">
        <v>24.96</v>
      </c>
      <c r="L1792" s="187" t="s">
        <v>173</v>
      </c>
      <c r="M1792" s="187" t="s">
        <v>175</v>
      </c>
    </row>
    <row r="1793" spans="1:13" s="188" customFormat="1">
      <c r="A1793" s="185" t="s">
        <v>1447</v>
      </c>
      <c r="B1793" s="133" t="s">
        <v>5050</v>
      </c>
      <c r="C1793" s="185" t="s">
        <v>3023</v>
      </c>
      <c r="D1793" s="133" t="s">
        <v>5045</v>
      </c>
      <c r="E1793" s="134">
        <v>1</v>
      </c>
      <c r="F1793" s="135" t="s">
        <v>1449</v>
      </c>
      <c r="G1793" s="185" t="s">
        <v>15</v>
      </c>
      <c r="H1793" s="185" t="s">
        <v>15</v>
      </c>
      <c r="I1793" s="185" t="s">
        <v>15</v>
      </c>
      <c r="J1793" s="135" t="s">
        <v>1450</v>
      </c>
      <c r="K1793" s="186">
        <v>24</v>
      </c>
      <c r="L1793" s="187" t="s">
        <v>173</v>
      </c>
      <c r="M1793" s="187" t="s">
        <v>175</v>
      </c>
    </row>
    <row r="1794" spans="1:13" s="188" customFormat="1">
      <c r="A1794" s="185" t="s">
        <v>1447</v>
      </c>
      <c r="B1794" s="133" t="s">
        <v>5051</v>
      </c>
      <c r="C1794" s="185" t="s">
        <v>3023</v>
      </c>
      <c r="D1794" s="133" t="s">
        <v>5045</v>
      </c>
      <c r="E1794" s="134">
        <v>1</v>
      </c>
      <c r="F1794" s="135" t="s">
        <v>1449</v>
      </c>
      <c r="G1794" s="185" t="s">
        <v>15</v>
      </c>
      <c r="H1794" s="185" t="s">
        <v>15</v>
      </c>
      <c r="I1794" s="185" t="s">
        <v>15</v>
      </c>
      <c r="J1794" s="135" t="s">
        <v>1450</v>
      </c>
      <c r="K1794" s="186">
        <v>21.72</v>
      </c>
      <c r="L1794" s="187" t="s">
        <v>173</v>
      </c>
      <c r="M1794" s="187" t="s">
        <v>175</v>
      </c>
    </row>
    <row r="1795" spans="1:13" s="188" customFormat="1">
      <c r="A1795" s="185" t="s">
        <v>1447</v>
      </c>
      <c r="B1795" s="133" t="s">
        <v>5052</v>
      </c>
      <c r="C1795" s="185" t="s">
        <v>3023</v>
      </c>
      <c r="D1795" s="133" t="s">
        <v>5045</v>
      </c>
      <c r="E1795" s="134">
        <v>1</v>
      </c>
      <c r="F1795" s="135" t="s">
        <v>1449</v>
      </c>
      <c r="G1795" s="185" t="s">
        <v>15</v>
      </c>
      <c r="H1795" s="185" t="s">
        <v>15</v>
      </c>
      <c r="I1795" s="185" t="s">
        <v>15</v>
      </c>
      <c r="J1795" s="135" t="s">
        <v>1450</v>
      </c>
      <c r="K1795" s="186">
        <v>20.88</v>
      </c>
      <c r="L1795" s="187" t="s">
        <v>173</v>
      </c>
      <c r="M1795" s="187" t="s">
        <v>175</v>
      </c>
    </row>
    <row r="1796" spans="1:13" s="188" customFormat="1">
      <c r="A1796" s="185" t="s">
        <v>1447</v>
      </c>
      <c r="B1796" s="133" t="s">
        <v>5053</v>
      </c>
      <c r="C1796" s="185" t="s">
        <v>3023</v>
      </c>
      <c r="D1796" s="133" t="s">
        <v>5045</v>
      </c>
      <c r="E1796" s="134">
        <v>1</v>
      </c>
      <c r="F1796" s="135" t="s">
        <v>1449</v>
      </c>
      <c r="G1796" s="185" t="s">
        <v>15</v>
      </c>
      <c r="H1796" s="185" t="s">
        <v>15</v>
      </c>
      <c r="I1796" s="185" t="s">
        <v>15</v>
      </c>
      <c r="J1796" s="135" t="s">
        <v>1450</v>
      </c>
      <c r="K1796" s="186">
        <v>20.04</v>
      </c>
      <c r="L1796" s="187" t="s">
        <v>173</v>
      </c>
      <c r="M1796" s="187" t="s">
        <v>175</v>
      </c>
    </row>
    <row r="1797" spans="1:13" s="188" customFormat="1">
      <c r="A1797" s="185" t="s">
        <v>1447</v>
      </c>
      <c r="B1797" s="133" t="s">
        <v>5054</v>
      </c>
      <c r="C1797" s="185" t="s">
        <v>3023</v>
      </c>
      <c r="D1797" s="133" t="s">
        <v>1627</v>
      </c>
      <c r="E1797" s="134">
        <v>1</v>
      </c>
      <c r="F1797" s="135" t="s">
        <v>1449</v>
      </c>
      <c r="G1797" s="185" t="s">
        <v>15</v>
      </c>
      <c r="H1797" s="185" t="s">
        <v>15</v>
      </c>
      <c r="I1797" s="185" t="s">
        <v>15</v>
      </c>
      <c r="J1797" s="135" t="s">
        <v>1450</v>
      </c>
      <c r="K1797" s="186">
        <v>112.08</v>
      </c>
      <c r="L1797" s="187" t="s">
        <v>173</v>
      </c>
      <c r="M1797" s="187" t="s">
        <v>175</v>
      </c>
    </row>
    <row r="1798" spans="1:13" s="188" customFormat="1">
      <c r="A1798" s="185" t="s">
        <v>1447</v>
      </c>
      <c r="B1798" s="133" t="s">
        <v>5055</v>
      </c>
      <c r="C1798" s="185" t="s">
        <v>3023</v>
      </c>
      <c r="D1798" s="133" t="s">
        <v>1627</v>
      </c>
      <c r="E1798" s="134">
        <v>1</v>
      </c>
      <c r="F1798" s="135" t="s">
        <v>1449</v>
      </c>
      <c r="G1798" s="185" t="s">
        <v>15</v>
      </c>
      <c r="H1798" s="185" t="s">
        <v>15</v>
      </c>
      <c r="I1798" s="185" t="s">
        <v>15</v>
      </c>
      <c r="J1798" s="135" t="s">
        <v>1450</v>
      </c>
      <c r="K1798" s="186">
        <v>95.28</v>
      </c>
      <c r="L1798" s="187" t="s">
        <v>173</v>
      </c>
      <c r="M1798" s="187" t="s">
        <v>175</v>
      </c>
    </row>
    <row r="1799" spans="1:13" s="188" customFormat="1">
      <c r="A1799" s="185" t="s">
        <v>1447</v>
      </c>
      <c r="B1799" s="133" t="s">
        <v>5056</v>
      </c>
      <c r="C1799" s="185" t="s">
        <v>3023</v>
      </c>
      <c r="D1799" s="133" t="s">
        <v>1627</v>
      </c>
      <c r="E1799" s="134">
        <v>1</v>
      </c>
      <c r="F1799" s="135" t="s">
        <v>1449</v>
      </c>
      <c r="G1799" s="185" t="s">
        <v>15</v>
      </c>
      <c r="H1799" s="185" t="s">
        <v>15</v>
      </c>
      <c r="I1799" s="185" t="s">
        <v>15</v>
      </c>
      <c r="J1799" s="135" t="s">
        <v>1450</v>
      </c>
      <c r="K1799" s="186">
        <v>86.64</v>
      </c>
      <c r="L1799" s="187" t="s">
        <v>173</v>
      </c>
      <c r="M1799" s="187" t="s">
        <v>175</v>
      </c>
    </row>
    <row r="1800" spans="1:13" s="188" customFormat="1">
      <c r="A1800" s="185" t="s">
        <v>1447</v>
      </c>
      <c r="B1800" s="133" t="s">
        <v>5057</v>
      </c>
      <c r="C1800" s="185" t="s">
        <v>3023</v>
      </c>
      <c r="D1800" s="133" t="s">
        <v>1627</v>
      </c>
      <c r="E1800" s="134">
        <v>1</v>
      </c>
      <c r="F1800" s="135" t="s">
        <v>1449</v>
      </c>
      <c r="G1800" s="185" t="s">
        <v>15</v>
      </c>
      <c r="H1800" s="185" t="s">
        <v>15</v>
      </c>
      <c r="I1800" s="185" t="s">
        <v>15</v>
      </c>
      <c r="J1800" s="135" t="s">
        <v>1450</v>
      </c>
      <c r="K1800" s="186">
        <v>80.16</v>
      </c>
      <c r="L1800" s="187" t="s">
        <v>173</v>
      </c>
      <c r="M1800" s="187" t="s">
        <v>175</v>
      </c>
    </row>
    <row r="1801" spans="1:13" s="188" customFormat="1">
      <c r="A1801" s="185" t="s">
        <v>1447</v>
      </c>
      <c r="B1801" s="133" t="s">
        <v>5058</v>
      </c>
      <c r="C1801" s="185" t="s">
        <v>3023</v>
      </c>
      <c r="D1801" s="133" t="s">
        <v>1627</v>
      </c>
      <c r="E1801" s="134">
        <v>1</v>
      </c>
      <c r="F1801" s="135" t="s">
        <v>1449</v>
      </c>
      <c r="G1801" s="185" t="s">
        <v>15</v>
      </c>
      <c r="H1801" s="185" t="s">
        <v>15</v>
      </c>
      <c r="I1801" s="185" t="s">
        <v>15</v>
      </c>
      <c r="J1801" s="135" t="s">
        <v>1450</v>
      </c>
      <c r="K1801" s="186">
        <v>76.08</v>
      </c>
      <c r="L1801" s="187" t="s">
        <v>173</v>
      </c>
      <c r="M1801" s="187" t="s">
        <v>175</v>
      </c>
    </row>
    <row r="1802" spans="1:13" s="188" customFormat="1">
      <c r="A1802" s="185" t="s">
        <v>1447</v>
      </c>
      <c r="B1802" s="133" t="s">
        <v>5059</v>
      </c>
      <c r="C1802" s="185" t="s">
        <v>3023</v>
      </c>
      <c r="D1802" s="133" t="s">
        <v>1627</v>
      </c>
      <c r="E1802" s="134">
        <v>1</v>
      </c>
      <c r="F1802" s="135" t="s">
        <v>1449</v>
      </c>
      <c r="G1802" s="185" t="s">
        <v>15</v>
      </c>
      <c r="H1802" s="185" t="s">
        <v>15</v>
      </c>
      <c r="I1802" s="185" t="s">
        <v>15</v>
      </c>
      <c r="J1802" s="135" t="s">
        <v>1450</v>
      </c>
      <c r="K1802" s="186">
        <v>71.64</v>
      </c>
      <c r="L1802" s="187" t="s">
        <v>173</v>
      </c>
      <c r="M1802" s="187" t="s">
        <v>175</v>
      </c>
    </row>
    <row r="1803" spans="1:13" s="188" customFormat="1">
      <c r="A1803" s="185" t="s">
        <v>1447</v>
      </c>
      <c r="B1803" s="133" t="s">
        <v>5060</v>
      </c>
      <c r="C1803" s="185" t="s">
        <v>3023</v>
      </c>
      <c r="D1803" s="133" t="s">
        <v>1627</v>
      </c>
      <c r="E1803" s="134">
        <v>1</v>
      </c>
      <c r="F1803" s="135" t="s">
        <v>1449</v>
      </c>
      <c r="G1803" s="185" t="s">
        <v>15</v>
      </c>
      <c r="H1803" s="185" t="s">
        <v>15</v>
      </c>
      <c r="I1803" s="185" t="s">
        <v>15</v>
      </c>
      <c r="J1803" s="135" t="s">
        <v>1450</v>
      </c>
      <c r="K1803" s="186">
        <v>66.239999999999995</v>
      </c>
      <c r="L1803" s="187" t="s">
        <v>173</v>
      </c>
      <c r="M1803" s="187" t="s">
        <v>175</v>
      </c>
    </row>
    <row r="1804" spans="1:13" s="188" customFormat="1">
      <c r="A1804" s="185" t="s">
        <v>1447</v>
      </c>
      <c r="B1804" s="133" t="s">
        <v>5061</v>
      </c>
      <c r="C1804" s="185" t="s">
        <v>3023</v>
      </c>
      <c r="D1804" s="133" t="s">
        <v>1627</v>
      </c>
      <c r="E1804" s="134">
        <v>1</v>
      </c>
      <c r="F1804" s="135" t="s">
        <v>1449</v>
      </c>
      <c r="G1804" s="185" t="s">
        <v>15</v>
      </c>
      <c r="H1804" s="185" t="s">
        <v>15</v>
      </c>
      <c r="I1804" s="185" t="s">
        <v>15</v>
      </c>
      <c r="J1804" s="135" t="s">
        <v>1450</v>
      </c>
      <c r="K1804" s="186">
        <v>62.88</v>
      </c>
      <c r="L1804" s="187" t="s">
        <v>173</v>
      </c>
      <c r="M1804" s="187" t="s">
        <v>175</v>
      </c>
    </row>
    <row r="1805" spans="1:13" s="188" customFormat="1">
      <c r="A1805" s="185" t="s">
        <v>1447</v>
      </c>
      <c r="B1805" s="133" t="s">
        <v>5062</v>
      </c>
      <c r="C1805" s="185" t="s">
        <v>3023</v>
      </c>
      <c r="D1805" s="133" t="s">
        <v>1627</v>
      </c>
      <c r="E1805" s="134">
        <v>1</v>
      </c>
      <c r="F1805" s="135" t="s">
        <v>1449</v>
      </c>
      <c r="G1805" s="185" t="s">
        <v>15</v>
      </c>
      <c r="H1805" s="185" t="s">
        <v>15</v>
      </c>
      <c r="I1805" s="185" t="s">
        <v>15</v>
      </c>
      <c r="J1805" s="135" t="s">
        <v>1450</v>
      </c>
      <c r="K1805" s="186">
        <v>60.480000000000004</v>
      </c>
      <c r="L1805" s="187" t="s">
        <v>173</v>
      </c>
      <c r="M1805" s="187" t="s">
        <v>175</v>
      </c>
    </row>
    <row r="1806" spans="1:13" s="188" customFormat="1">
      <c r="A1806" s="185" t="s">
        <v>1447</v>
      </c>
      <c r="B1806" s="133" t="s">
        <v>5063</v>
      </c>
      <c r="C1806" s="185" t="s">
        <v>3023</v>
      </c>
      <c r="D1806" s="133" t="s">
        <v>5064</v>
      </c>
      <c r="E1806" s="134">
        <v>1</v>
      </c>
      <c r="F1806" s="135" t="s">
        <v>1449</v>
      </c>
      <c r="G1806" s="185" t="s">
        <v>15</v>
      </c>
      <c r="H1806" s="185" t="s">
        <v>15</v>
      </c>
      <c r="I1806" s="185" t="s">
        <v>15</v>
      </c>
      <c r="J1806" s="135" t="s">
        <v>1450</v>
      </c>
      <c r="K1806" s="186">
        <v>63.480000000000004</v>
      </c>
      <c r="L1806" s="187" t="s">
        <v>173</v>
      </c>
      <c r="M1806" s="187" t="s">
        <v>175</v>
      </c>
    </row>
    <row r="1807" spans="1:13" s="188" customFormat="1">
      <c r="A1807" s="185" t="s">
        <v>1447</v>
      </c>
      <c r="B1807" s="133" t="s">
        <v>5065</v>
      </c>
      <c r="C1807" s="185" t="s">
        <v>3023</v>
      </c>
      <c r="D1807" s="133" t="s">
        <v>5064</v>
      </c>
      <c r="E1807" s="134">
        <v>1</v>
      </c>
      <c r="F1807" s="135" t="s">
        <v>1449</v>
      </c>
      <c r="G1807" s="185" t="s">
        <v>15</v>
      </c>
      <c r="H1807" s="185" t="s">
        <v>15</v>
      </c>
      <c r="I1807" s="185" t="s">
        <v>15</v>
      </c>
      <c r="J1807" s="135" t="s">
        <v>1450</v>
      </c>
      <c r="K1807" s="186">
        <v>56.28</v>
      </c>
      <c r="L1807" s="187" t="s">
        <v>173</v>
      </c>
      <c r="M1807" s="187" t="s">
        <v>175</v>
      </c>
    </row>
    <row r="1808" spans="1:13" s="188" customFormat="1">
      <c r="A1808" s="185" t="s">
        <v>1447</v>
      </c>
      <c r="B1808" s="133" t="s">
        <v>5066</v>
      </c>
      <c r="C1808" s="185" t="s">
        <v>3023</v>
      </c>
      <c r="D1808" s="133" t="s">
        <v>5064</v>
      </c>
      <c r="E1808" s="134">
        <v>1</v>
      </c>
      <c r="F1808" s="135" t="s">
        <v>1449</v>
      </c>
      <c r="G1808" s="185" t="s">
        <v>15</v>
      </c>
      <c r="H1808" s="185" t="s">
        <v>15</v>
      </c>
      <c r="I1808" s="185" t="s">
        <v>15</v>
      </c>
      <c r="J1808" s="135" t="s">
        <v>1450</v>
      </c>
      <c r="K1808" s="186">
        <v>41.519999999999996</v>
      </c>
      <c r="L1808" s="187" t="s">
        <v>173</v>
      </c>
      <c r="M1808" s="187" t="s">
        <v>175</v>
      </c>
    </row>
    <row r="1809" spans="1:13" s="188" customFormat="1">
      <c r="A1809" s="185" t="s">
        <v>1447</v>
      </c>
      <c r="B1809" s="133" t="s">
        <v>5067</v>
      </c>
      <c r="C1809" s="185" t="s">
        <v>3023</v>
      </c>
      <c r="D1809" s="133" t="s">
        <v>5064</v>
      </c>
      <c r="E1809" s="134">
        <v>1</v>
      </c>
      <c r="F1809" s="135" t="s">
        <v>1449</v>
      </c>
      <c r="G1809" s="185" t="s">
        <v>15</v>
      </c>
      <c r="H1809" s="185" t="s">
        <v>15</v>
      </c>
      <c r="I1809" s="185" t="s">
        <v>15</v>
      </c>
      <c r="J1809" s="135" t="s">
        <v>1450</v>
      </c>
      <c r="K1809" s="186">
        <v>34.68</v>
      </c>
      <c r="L1809" s="187" t="s">
        <v>173</v>
      </c>
      <c r="M1809" s="187" t="s">
        <v>175</v>
      </c>
    </row>
    <row r="1810" spans="1:13" s="188" customFormat="1">
      <c r="A1810" s="185" t="s">
        <v>1447</v>
      </c>
      <c r="B1810" s="133" t="s">
        <v>5068</v>
      </c>
      <c r="C1810" s="185" t="s">
        <v>3023</v>
      </c>
      <c r="D1810" s="133" t="s">
        <v>5064</v>
      </c>
      <c r="E1810" s="134">
        <v>1</v>
      </c>
      <c r="F1810" s="135" t="s">
        <v>1449</v>
      </c>
      <c r="G1810" s="185" t="s">
        <v>15</v>
      </c>
      <c r="H1810" s="185" t="s">
        <v>15</v>
      </c>
      <c r="I1810" s="185" t="s">
        <v>15</v>
      </c>
      <c r="J1810" s="135" t="s">
        <v>1450</v>
      </c>
      <c r="K1810" s="186">
        <v>30.119999999999997</v>
      </c>
      <c r="L1810" s="187" t="s">
        <v>173</v>
      </c>
      <c r="M1810" s="187" t="s">
        <v>175</v>
      </c>
    </row>
    <row r="1811" spans="1:13" s="188" customFormat="1">
      <c r="A1811" s="185" t="s">
        <v>1447</v>
      </c>
      <c r="B1811" s="133" t="s">
        <v>5069</v>
      </c>
      <c r="C1811" s="185" t="s">
        <v>3023</v>
      </c>
      <c r="D1811" s="133" t="s">
        <v>5064</v>
      </c>
      <c r="E1811" s="134">
        <v>1</v>
      </c>
      <c r="F1811" s="135" t="s">
        <v>1449</v>
      </c>
      <c r="G1811" s="185" t="s">
        <v>15</v>
      </c>
      <c r="H1811" s="185" t="s">
        <v>15</v>
      </c>
      <c r="I1811" s="185" t="s">
        <v>15</v>
      </c>
      <c r="J1811" s="135" t="s">
        <v>1450</v>
      </c>
      <c r="K1811" s="186">
        <v>26.28</v>
      </c>
      <c r="L1811" s="187" t="s">
        <v>173</v>
      </c>
      <c r="M1811" s="187" t="s">
        <v>175</v>
      </c>
    </row>
    <row r="1812" spans="1:13" s="188" customFormat="1">
      <c r="A1812" s="185" t="s">
        <v>1447</v>
      </c>
      <c r="B1812" s="133" t="s">
        <v>5070</v>
      </c>
      <c r="C1812" s="185" t="s">
        <v>3023</v>
      </c>
      <c r="D1812" s="133" t="s">
        <v>5064</v>
      </c>
      <c r="E1812" s="134">
        <v>1</v>
      </c>
      <c r="F1812" s="135" t="s">
        <v>1449</v>
      </c>
      <c r="G1812" s="185" t="s">
        <v>15</v>
      </c>
      <c r="H1812" s="185" t="s">
        <v>15</v>
      </c>
      <c r="I1812" s="185" t="s">
        <v>15</v>
      </c>
      <c r="J1812" s="135" t="s">
        <v>1450</v>
      </c>
      <c r="K1812" s="186">
        <v>21.72</v>
      </c>
      <c r="L1812" s="187" t="s">
        <v>173</v>
      </c>
      <c r="M1812" s="187" t="s">
        <v>175</v>
      </c>
    </row>
    <row r="1813" spans="1:13" s="188" customFormat="1">
      <c r="A1813" s="185" t="s">
        <v>1447</v>
      </c>
      <c r="B1813" s="133" t="s">
        <v>5071</v>
      </c>
      <c r="C1813" s="185" t="s">
        <v>3023</v>
      </c>
      <c r="D1813" s="133" t="s">
        <v>5064</v>
      </c>
      <c r="E1813" s="134">
        <v>1</v>
      </c>
      <c r="F1813" s="135" t="s">
        <v>1449</v>
      </c>
      <c r="G1813" s="185" t="s">
        <v>15</v>
      </c>
      <c r="H1813" s="185" t="s">
        <v>15</v>
      </c>
      <c r="I1813" s="185" t="s">
        <v>15</v>
      </c>
      <c r="J1813" s="135" t="s">
        <v>1450</v>
      </c>
      <c r="K1813" s="186">
        <v>17.759999999999998</v>
      </c>
      <c r="L1813" s="187" t="s">
        <v>173</v>
      </c>
      <c r="M1813" s="187" t="s">
        <v>175</v>
      </c>
    </row>
    <row r="1814" spans="1:13" s="188" customFormat="1">
      <c r="A1814" s="185" t="s">
        <v>1447</v>
      </c>
      <c r="B1814" s="133" t="s">
        <v>5072</v>
      </c>
      <c r="C1814" s="185" t="s">
        <v>3023</v>
      </c>
      <c r="D1814" s="133" t="s">
        <v>5064</v>
      </c>
      <c r="E1814" s="134">
        <v>1</v>
      </c>
      <c r="F1814" s="135" t="s">
        <v>1449</v>
      </c>
      <c r="G1814" s="185" t="s">
        <v>15</v>
      </c>
      <c r="H1814" s="185" t="s">
        <v>15</v>
      </c>
      <c r="I1814" s="185" t="s">
        <v>15</v>
      </c>
      <c r="J1814" s="135" t="s">
        <v>1450</v>
      </c>
      <c r="K1814" s="186">
        <v>14.04</v>
      </c>
      <c r="L1814" s="187" t="s">
        <v>173</v>
      </c>
      <c r="M1814" s="187" t="s">
        <v>175</v>
      </c>
    </row>
    <row r="1815" spans="1:13" s="188" customFormat="1">
      <c r="A1815" s="185" t="s">
        <v>1447</v>
      </c>
      <c r="B1815" s="133" t="s">
        <v>5073</v>
      </c>
      <c r="C1815" s="185" t="s">
        <v>3023</v>
      </c>
      <c r="D1815" s="133" t="s">
        <v>5074</v>
      </c>
      <c r="E1815" s="134">
        <v>1</v>
      </c>
      <c r="F1815" s="135" t="s">
        <v>1449</v>
      </c>
      <c r="G1815" s="185" t="s">
        <v>15</v>
      </c>
      <c r="H1815" s="185" t="s">
        <v>15</v>
      </c>
      <c r="I1815" s="185" t="s">
        <v>15</v>
      </c>
      <c r="J1815" s="135" t="s">
        <v>1450</v>
      </c>
      <c r="K1815" s="186">
        <v>18.72</v>
      </c>
      <c r="L1815" s="187" t="s">
        <v>173</v>
      </c>
      <c r="M1815" s="187" t="s">
        <v>175</v>
      </c>
    </row>
    <row r="1816" spans="1:13" s="188" customFormat="1">
      <c r="A1816" s="185" t="s">
        <v>1447</v>
      </c>
      <c r="B1816" s="133" t="s">
        <v>5075</v>
      </c>
      <c r="C1816" s="185" t="s">
        <v>3023</v>
      </c>
      <c r="D1816" s="133" t="s">
        <v>5074</v>
      </c>
      <c r="E1816" s="134">
        <v>1</v>
      </c>
      <c r="F1816" s="135" t="s">
        <v>1449</v>
      </c>
      <c r="G1816" s="185" t="s">
        <v>15</v>
      </c>
      <c r="H1816" s="185" t="s">
        <v>15</v>
      </c>
      <c r="I1816" s="185" t="s">
        <v>15</v>
      </c>
      <c r="J1816" s="135" t="s">
        <v>1450</v>
      </c>
      <c r="K1816" s="186">
        <v>15</v>
      </c>
      <c r="L1816" s="187" t="s">
        <v>173</v>
      </c>
      <c r="M1816" s="187" t="s">
        <v>175</v>
      </c>
    </row>
    <row r="1817" spans="1:13" s="188" customFormat="1">
      <c r="A1817" s="185" t="s">
        <v>1447</v>
      </c>
      <c r="B1817" s="133" t="s">
        <v>5076</v>
      </c>
      <c r="C1817" s="185" t="s">
        <v>3023</v>
      </c>
      <c r="D1817" s="133" t="s">
        <v>5074</v>
      </c>
      <c r="E1817" s="134">
        <v>1</v>
      </c>
      <c r="F1817" s="135" t="s">
        <v>1449</v>
      </c>
      <c r="G1817" s="185" t="s">
        <v>15</v>
      </c>
      <c r="H1817" s="185" t="s">
        <v>15</v>
      </c>
      <c r="I1817" s="185" t="s">
        <v>15</v>
      </c>
      <c r="J1817" s="135" t="s">
        <v>1450</v>
      </c>
      <c r="K1817" s="186">
        <v>10.56</v>
      </c>
      <c r="L1817" s="187" t="s">
        <v>173</v>
      </c>
      <c r="M1817" s="187" t="s">
        <v>175</v>
      </c>
    </row>
    <row r="1818" spans="1:13" s="188" customFormat="1">
      <c r="A1818" s="185" t="s">
        <v>1447</v>
      </c>
      <c r="B1818" s="133" t="s">
        <v>5077</v>
      </c>
      <c r="C1818" s="185" t="s">
        <v>3023</v>
      </c>
      <c r="D1818" s="133" t="s">
        <v>5074</v>
      </c>
      <c r="E1818" s="134">
        <v>1</v>
      </c>
      <c r="F1818" s="135" t="s">
        <v>1449</v>
      </c>
      <c r="G1818" s="185" t="s">
        <v>15</v>
      </c>
      <c r="H1818" s="185" t="s">
        <v>15</v>
      </c>
      <c r="I1818" s="185" t="s">
        <v>15</v>
      </c>
      <c r="J1818" s="135" t="s">
        <v>1450</v>
      </c>
      <c r="K1818" s="186">
        <v>9.36</v>
      </c>
      <c r="L1818" s="187" t="s">
        <v>173</v>
      </c>
      <c r="M1818" s="187" t="s">
        <v>175</v>
      </c>
    </row>
    <row r="1819" spans="1:13" s="188" customFormat="1">
      <c r="A1819" s="185" t="s">
        <v>1447</v>
      </c>
      <c r="B1819" s="133" t="s">
        <v>5078</v>
      </c>
      <c r="C1819" s="185" t="s">
        <v>3023</v>
      </c>
      <c r="D1819" s="133" t="s">
        <v>5074</v>
      </c>
      <c r="E1819" s="134">
        <v>1</v>
      </c>
      <c r="F1819" s="135" t="s">
        <v>1449</v>
      </c>
      <c r="G1819" s="185" t="s">
        <v>15</v>
      </c>
      <c r="H1819" s="185" t="s">
        <v>15</v>
      </c>
      <c r="I1819" s="185" t="s">
        <v>15</v>
      </c>
      <c r="J1819" s="135" t="s">
        <v>1450</v>
      </c>
      <c r="K1819" s="186">
        <v>8.0400000000000009</v>
      </c>
      <c r="L1819" s="187" t="s">
        <v>173</v>
      </c>
      <c r="M1819" s="187" t="s">
        <v>175</v>
      </c>
    </row>
    <row r="1820" spans="1:13" s="188" customFormat="1">
      <c r="A1820" s="185" t="s">
        <v>1447</v>
      </c>
      <c r="B1820" s="133" t="s">
        <v>5079</v>
      </c>
      <c r="C1820" s="185" t="s">
        <v>3023</v>
      </c>
      <c r="D1820" s="133" t="s">
        <v>5074</v>
      </c>
      <c r="E1820" s="134">
        <v>1</v>
      </c>
      <c r="F1820" s="135" t="s">
        <v>1449</v>
      </c>
      <c r="G1820" s="185" t="s">
        <v>15</v>
      </c>
      <c r="H1820" s="185" t="s">
        <v>15</v>
      </c>
      <c r="I1820" s="185" t="s">
        <v>15</v>
      </c>
      <c r="J1820" s="135" t="s">
        <v>1450</v>
      </c>
      <c r="K1820" s="186">
        <v>6.84</v>
      </c>
      <c r="L1820" s="187" t="s">
        <v>173</v>
      </c>
      <c r="M1820" s="187" t="s">
        <v>175</v>
      </c>
    </row>
    <row r="1821" spans="1:13" s="188" customFormat="1">
      <c r="A1821" s="185" t="s">
        <v>1447</v>
      </c>
      <c r="B1821" s="133" t="s">
        <v>5080</v>
      </c>
      <c r="C1821" s="185" t="s">
        <v>3023</v>
      </c>
      <c r="D1821" s="133" t="s">
        <v>5074</v>
      </c>
      <c r="E1821" s="134">
        <v>1</v>
      </c>
      <c r="F1821" s="135" t="s">
        <v>1449</v>
      </c>
      <c r="G1821" s="185" t="s">
        <v>15</v>
      </c>
      <c r="H1821" s="185" t="s">
        <v>15</v>
      </c>
      <c r="I1821" s="185" t="s">
        <v>15</v>
      </c>
      <c r="J1821" s="135" t="s">
        <v>1450</v>
      </c>
      <c r="K1821" s="186">
        <v>5.64</v>
      </c>
      <c r="L1821" s="187" t="s">
        <v>173</v>
      </c>
      <c r="M1821" s="187" t="s">
        <v>175</v>
      </c>
    </row>
    <row r="1822" spans="1:13" s="188" customFormat="1">
      <c r="A1822" s="185" t="s">
        <v>1447</v>
      </c>
      <c r="B1822" s="133" t="s">
        <v>5081</v>
      </c>
      <c r="C1822" s="185" t="s">
        <v>3023</v>
      </c>
      <c r="D1822" s="133" t="s">
        <v>5074</v>
      </c>
      <c r="E1822" s="134">
        <v>1</v>
      </c>
      <c r="F1822" s="135" t="s">
        <v>1449</v>
      </c>
      <c r="G1822" s="185" t="s">
        <v>15</v>
      </c>
      <c r="H1822" s="185" t="s">
        <v>15</v>
      </c>
      <c r="I1822" s="185" t="s">
        <v>15</v>
      </c>
      <c r="J1822" s="135" t="s">
        <v>1450</v>
      </c>
      <c r="K1822" s="186">
        <v>4.32</v>
      </c>
      <c r="L1822" s="187" t="s">
        <v>173</v>
      </c>
      <c r="M1822" s="187" t="s">
        <v>175</v>
      </c>
    </row>
    <row r="1823" spans="1:13" s="188" customFormat="1">
      <c r="A1823" s="185" t="s">
        <v>1447</v>
      </c>
      <c r="B1823" s="133" t="s">
        <v>5082</v>
      </c>
      <c r="C1823" s="185" t="s">
        <v>3023</v>
      </c>
      <c r="D1823" s="133" t="s">
        <v>5074</v>
      </c>
      <c r="E1823" s="134">
        <v>1</v>
      </c>
      <c r="F1823" s="135" t="s">
        <v>1449</v>
      </c>
      <c r="G1823" s="185" t="s">
        <v>15</v>
      </c>
      <c r="H1823" s="185" t="s">
        <v>15</v>
      </c>
      <c r="I1823" s="185" t="s">
        <v>15</v>
      </c>
      <c r="J1823" s="135" t="s">
        <v>1450</v>
      </c>
      <c r="K1823" s="186">
        <v>3.7199999999999998</v>
      </c>
      <c r="L1823" s="187" t="s">
        <v>173</v>
      </c>
      <c r="M1823" s="187" t="s">
        <v>175</v>
      </c>
    </row>
    <row r="1824" spans="1:13" s="188" customFormat="1">
      <c r="A1824" s="185" t="s">
        <v>1447</v>
      </c>
      <c r="B1824" s="133" t="s">
        <v>5083</v>
      </c>
      <c r="C1824" s="185" t="s">
        <v>3023</v>
      </c>
      <c r="D1824" s="133" t="s">
        <v>1628</v>
      </c>
      <c r="E1824" s="134">
        <v>1</v>
      </c>
      <c r="F1824" s="135" t="s">
        <v>1449</v>
      </c>
      <c r="G1824" s="185" t="s">
        <v>15</v>
      </c>
      <c r="H1824" s="185" t="s">
        <v>15</v>
      </c>
      <c r="I1824" s="185" t="s">
        <v>15</v>
      </c>
      <c r="J1824" s="135" t="s">
        <v>1450</v>
      </c>
      <c r="K1824" s="186">
        <v>48564</v>
      </c>
      <c r="L1824" s="187" t="s">
        <v>173</v>
      </c>
      <c r="M1824" s="187" t="s">
        <v>175</v>
      </c>
    </row>
    <row r="1825" spans="1:13" s="188" customFormat="1">
      <c r="A1825" s="185" t="s">
        <v>1447</v>
      </c>
      <c r="B1825" s="133" t="s">
        <v>5084</v>
      </c>
      <c r="C1825" s="185" t="s">
        <v>3023</v>
      </c>
      <c r="D1825" s="133" t="s">
        <v>1629</v>
      </c>
      <c r="E1825" s="134">
        <v>1</v>
      </c>
      <c r="F1825" s="135" t="s">
        <v>1449</v>
      </c>
      <c r="G1825" s="185" t="s">
        <v>15</v>
      </c>
      <c r="H1825" s="185" t="s">
        <v>15</v>
      </c>
      <c r="I1825" s="185" t="s">
        <v>15</v>
      </c>
      <c r="J1825" s="135" t="s">
        <v>1450</v>
      </c>
      <c r="K1825" s="186">
        <v>37.799999999999997</v>
      </c>
      <c r="L1825" s="187" t="s">
        <v>173</v>
      </c>
      <c r="M1825" s="187" t="s">
        <v>175</v>
      </c>
    </row>
    <row r="1826" spans="1:13" s="188" customFormat="1">
      <c r="A1826" s="185" t="s">
        <v>1447</v>
      </c>
      <c r="B1826" s="133" t="s">
        <v>5085</v>
      </c>
      <c r="C1826" s="185" t="s">
        <v>3023</v>
      </c>
      <c r="D1826" s="133" t="s">
        <v>1629</v>
      </c>
      <c r="E1826" s="134">
        <v>1</v>
      </c>
      <c r="F1826" s="135" t="s">
        <v>1449</v>
      </c>
      <c r="G1826" s="185" t="s">
        <v>15</v>
      </c>
      <c r="H1826" s="185" t="s">
        <v>15</v>
      </c>
      <c r="I1826" s="185" t="s">
        <v>15</v>
      </c>
      <c r="J1826" s="135" t="s">
        <v>1450</v>
      </c>
      <c r="K1826" s="186">
        <v>33.599999999999994</v>
      </c>
      <c r="L1826" s="187" t="s">
        <v>173</v>
      </c>
      <c r="M1826" s="187" t="s">
        <v>175</v>
      </c>
    </row>
    <row r="1827" spans="1:13" s="188" customFormat="1">
      <c r="A1827" s="185" t="s">
        <v>1447</v>
      </c>
      <c r="B1827" s="133" t="s">
        <v>5086</v>
      </c>
      <c r="C1827" s="185" t="s">
        <v>3023</v>
      </c>
      <c r="D1827" s="133" t="s">
        <v>1629</v>
      </c>
      <c r="E1827" s="134">
        <v>1</v>
      </c>
      <c r="F1827" s="135" t="s">
        <v>1449</v>
      </c>
      <c r="G1827" s="185" t="s">
        <v>15</v>
      </c>
      <c r="H1827" s="185" t="s">
        <v>15</v>
      </c>
      <c r="I1827" s="185" t="s">
        <v>15</v>
      </c>
      <c r="J1827" s="135" t="s">
        <v>1450</v>
      </c>
      <c r="K1827" s="186">
        <v>31.44</v>
      </c>
      <c r="L1827" s="187" t="s">
        <v>173</v>
      </c>
      <c r="M1827" s="187" t="s">
        <v>175</v>
      </c>
    </row>
    <row r="1828" spans="1:13" s="188" customFormat="1">
      <c r="A1828" s="185" t="s">
        <v>1447</v>
      </c>
      <c r="B1828" s="133" t="s">
        <v>5087</v>
      </c>
      <c r="C1828" s="185" t="s">
        <v>3023</v>
      </c>
      <c r="D1828" s="133" t="s">
        <v>1629</v>
      </c>
      <c r="E1828" s="134">
        <v>1</v>
      </c>
      <c r="F1828" s="135" t="s">
        <v>1449</v>
      </c>
      <c r="G1828" s="185" t="s">
        <v>15</v>
      </c>
      <c r="H1828" s="185" t="s">
        <v>15</v>
      </c>
      <c r="I1828" s="185" t="s">
        <v>15</v>
      </c>
      <c r="J1828" s="135" t="s">
        <v>1450</v>
      </c>
      <c r="K1828" s="186">
        <v>30</v>
      </c>
      <c r="L1828" s="187" t="s">
        <v>173</v>
      </c>
      <c r="M1828" s="187" t="s">
        <v>175</v>
      </c>
    </row>
    <row r="1829" spans="1:13" s="188" customFormat="1">
      <c r="A1829" s="185" t="s">
        <v>1447</v>
      </c>
      <c r="B1829" s="133" t="s">
        <v>5088</v>
      </c>
      <c r="C1829" s="185" t="s">
        <v>3023</v>
      </c>
      <c r="D1829" s="133" t="s">
        <v>1629</v>
      </c>
      <c r="E1829" s="134">
        <v>1</v>
      </c>
      <c r="F1829" s="135" t="s">
        <v>1449</v>
      </c>
      <c r="G1829" s="185" t="s">
        <v>15</v>
      </c>
      <c r="H1829" s="185" t="s">
        <v>15</v>
      </c>
      <c r="I1829" s="185" t="s">
        <v>15</v>
      </c>
      <c r="J1829" s="135" t="s">
        <v>1450</v>
      </c>
      <c r="K1829" s="186">
        <v>28.68</v>
      </c>
      <c r="L1829" s="187" t="s">
        <v>173</v>
      </c>
      <c r="M1829" s="187" t="s">
        <v>175</v>
      </c>
    </row>
    <row r="1830" spans="1:13" s="188" customFormat="1">
      <c r="A1830" s="185" t="s">
        <v>1447</v>
      </c>
      <c r="B1830" s="133" t="s">
        <v>5089</v>
      </c>
      <c r="C1830" s="185" t="s">
        <v>3023</v>
      </c>
      <c r="D1830" s="133" t="s">
        <v>1629</v>
      </c>
      <c r="E1830" s="134">
        <v>1</v>
      </c>
      <c r="F1830" s="135" t="s">
        <v>1449</v>
      </c>
      <c r="G1830" s="185" t="s">
        <v>15</v>
      </c>
      <c r="H1830" s="185" t="s">
        <v>15</v>
      </c>
      <c r="I1830" s="185" t="s">
        <v>15</v>
      </c>
      <c r="J1830" s="135" t="s">
        <v>1450</v>
      </c>
      <c r="K1830" s="186">
        <v>27.839999999999996</v>
      </c>
      <c r="L1830" s="187" t="s">
        <v>173</v>
      </c>
      <c r="M1830" s="187" t="s">
        <v>175</v>
      </c>
    </row>
    <row r="1831" spans="1:13" s="188" customFormat="1">
      <c r="A1831" s="185" t="s">
        <v>1447</v>
      </c>
      <c r="B1831" s="133" t="s">
        <v>5090</v>
      </c>
      <c r="C1831" s="185" t="s">
        <v>3023</v>
      </c>
      <c r="D1831" s="133" t="s">
        <v>1629</v>
      </c>
      <c r="E1831" s="134">
        <v>1</v>
      </c>
      <c r="F1831" s="135" t="s">
        <v>1449</v>
      </c>
      <c r="G1831" s="185" t="s">
        <v>15</v>
      </c>
      <c r="H1831" s="185" t="s">
        <v>15</v>
      </c>
      <c r="I1831" s="185" t="s">
        <v>15</v>
      </c>
      <c r="J1831" s="135" t="s">
        <v>1450</v>
      </c>
      <c r="K1831" s="186">
        <v>26.759999999999998</v>
      </c>
      <c r="L1831" s="187" t="s">
        <v>173</v>
      </c>
      <c r="M1831" s="187" t="s">
        <v>175</v>
      </c>
    </row>
    <row r="1832" spans="1:13" s="188" customFormat="1">
      <c r="A1832" s="185" t="s">
        <v>1447</v>
      </c>
      <c r="B1832" s="133" t="s">
        <v>5091</v>
      </c>
      <c r="C1832" s="185" t="s">
        <v>3023</v>
      </c>
      <c r="D1832" s="133" t="s">
        <v>1629</v>
      </c>
      <c r="E1832" s="134">
        <v>1</v>
      </c>
      <c r="F1832" s="135" t="s">
        <v>1449</v>
      </c>
      <c r="G1832" s="185" t="s">
        <v>15</v>
      </c>
      <c r="H1832" s="185" t="s">
        <v>15</v>
      </c>
      <c r="I1832" s="185" t="s">
        <v>15</v>
      </c>
      <c r="J1832" s="135" t="s">
        <v>1450</v>
      </c>
      <c r="K1832" s="186">
        <v>23.88</v>
      </c>
      <c r="L1832" s="187" t="s">
        <v>173</v>
      </c>
      <c r="M1832" s="187" t="s">
        <v>175</v>
      </c>
    </row>
    <row r="1833" spans="1:13" s="188" customFormat="1">
      <c r="A1833" s="185" t="s">
        <v>1447</v>
      </c>
      <c r="B1833" s="133" t="s">
        <v>5092</v>
      </c>
      <c r="C1833" s="185" t="s">
        <v>3023</v>
      </c>
      <c r="D1833" s="133" t="s">
        <v>1629</v>
      </c>
      <c r="E1833" s="134">
        <v>1</v>
      </c>
      <c r="F1833" s="135" t="s">
        <v>1449</v>
      </c>
      <c r="G1833" s="185" t="s">
        <v>15</v>
      </c>
      <c r="H1833" s="185" t="s">
        <v>15</v>
      </c>
      <c r="I1833" s="185" t="s">
        <v>15</v>
      </c>
      <c r="J1833" s="135" t="s">
        <v>1450</v>
      </c>
      <c r="K1833" s="186">
        <v>20.28</v>
      </c>
      <c r="L1833" s="187" t="s">
        <v>173</v>
      </c>
      <c r="M1833" s="187" t="s">
        <v>175</v>
      </c>
    </row>
    <row r="1834" spans="1:13" s="188" customFormat="1">
      <c r="A1834" s="185" t="s">
        <v>1447</v>
      </c>
      <c r="B1834" s="133" t="s">
        <v>5093</v>
      </c>
      <c r="C1834" s="185" t="s">
        <v>3023</v>
      </c>
      <c r="D1834" s="133" t="s">
        <v>1630</v>
      </c>
      <c r="E1834" s="134">
        <v>1</v>
      </c>
      <c r="F1834" s="135" t="s">
        <v>1449</v>
      </c>
      <c r="G1834" s="185" t="s">
        <v>15</v>
      </c>
      <c r="H1834" s="185" t="s">
        <v>15</v>
      </c>
      <c r="I1834" s="185" t="s">
        <v>15</v>
      </c>
      <c r="J1834" s="135" t="s">
        <v>1450</v>
      </c>
      <c r="K1834" s="186">
        <v>6600</v>
      </c>
      <c r="L1834" s="187" t="s">
        <v>173</v>
      </c>
      <c r="M1834" s="187" t="s">
        <v>175</v>
      </c>
    </row>
    <row r="1835" spans="1:13" s="188" customFormat="1">
      <c r="A1835" s="185" t="s">
        <v>1447</v>
      </c>
      <c r="B1835" s="133" t="s">
        <v>5094</v>
      </c>
      <c r="C1835" s="185" t="s">
        <v>3023</v>
      </c>
      <c r="D1835" s="133" t="s">
        <v>5095</v>
      </c>
      <c r="E1835" s="134">
        <v>1</v>
      </c>
      <c r="F1835" s="135" t="s">
        <v>1449</v>
      </c>
      <c r="G1835" s="185" t="s">
        <v>15</v>
      </c>
      <c r="H1835" s="185" t="s">
        <v>15</v>
      </c>
      <c r="I1835" s="185" t="s">
        <v>15</v>
      </c>
      <c r="J1835" s="135" t="s">
        <v>1450</v>
      </c>
      <c r="K1835" s="186">
        <v>720</v>
      </c>
      <c r="L1835" s="187" t="s">
        <v>173</v>
      </c>
      <c r="M1835" s="187" t="s">
        <v>175</v>
      </c>
    </row>
    <row r="1836" spans="1:13" s="188" customFormat="1">
      <c r="A1836" s="185" t="s">
        <v>1447</v>
      </c>
      <c r="B1836" s="133" t="s">
        <v>5096</v>
      </c>
      <c r="C1836" s="185" t="s">
        <v>3023</v>
      </c>
      <c r="D1836" s="133" t="s">
        <v>5095</v>
      </c>
      <c r="E1836" s="134">
        <v>1</v>
      </c>
      <c r="F1836" s="135" t="s">
        <v>1449</v>
      </c>
      <c r="G1836" s="185" t="s">
        <v>15</v>
      </c>
      <c r="H1836" s="185" t="s">
        <v>15</v>
      </c>
      <c r="I1836" s="185" t="s">
        <v>15</v>
      </c>
      <c r="J1836" s="135" t="s">
        <v>1450</v>
      </c>
      <c r="K1836" s="186">
        <v>396</v>
      </c>
      <c r="L1836" s="187" t="s">
        <v>173</v>
      </c>
      <c r="M1836" s="187" t="s">
        <v>175</v>
      </c>
    </row>
    <row r="1837" spans="1:13" s="188" customFormat="1">
      <c r="A1837" s="185" t="s">
        <v>1447</v>
      </c>
      <c r="B1837" s="133" t="s">
        <v>5097</v>
      </c>
      <c r="C1837" s="185" t="s">
        <v>3023</v>
      </c>
      <c r="D1837" s="133" t="s">
        <v>5095</v>
      </c>
      <c r="E1837" s="134">
        <v>1</v>
      </c>
      <c r="F1837" s="135" t="s">
        <v>1449</v>
      </c>
      <c r="G1837" s="185" t="s">
        <v>15</v>
      </c>
      <c r="H1837" s="185" t="s">
        <v>15</v>
      </c>
      <c r="I1837" s="185" t="s">
        <v>15</v>
      </c>
      <c r="J1837" s="135" t="s">
        <v>1450</v>
      </c>
      <c r="K1837" s="186">
        <v>240</v>
      </c>
      <c r="L1837" s="187" t="s">
        <v>173</v>
      </c>
      <c r="M1837" s="187" t="s">
        <v>175</v>
      </c>
    </row>
    <row r="1838" spans="1:13" s="188" customFormat="1">
      <c r="A1838" s="185" t="s">
        <v>1447</v>
      </c>
      <c r="B1838" s="133" t="s">
        <v>5098</v>
      </c>
      <c r="C1838" s="185" t="s">
        <v>3023</v>
      </c>
      <c r="D1838" s="133" t="s">
        <v>5095</v>
      </c>
      <c r="E1838" s="134">
        <v>1</v>
      </c>
      <c r="F1838" s="135" t="s">
        <v>1449</v>
      </c>
      <c r="G1838" s="185" t="s">
        <v>15</v>
      </c>
      <c r="H1838" s="185" t="s">
        <v>15</v>
      </c>
      <c r="I1838" s="185" t="s">
        <v>15</v>
      </c>
      <c r="J1838" s="135" t="s">
        <v>1450</v>
      </c>
      <c r="K1838" s="186">
        <v>192</v>
      </c>
      <c r="L1838" s="187" t="s">
        <v>173</v>
      </c>
      <c r="M1838" s="187" t="s">
        <v>175</v>
      </c>
    </row>
    <row r="1839" spans="1:13" s="188" customFormat="1">
      <c r="A1839" s="185" t="s">
        <v>1447</v>
      </c>
      <c r="B1839" s="133" t="s">
        <v>5099</v>
      </c>
      <c r="C1839" s="185" t="s">
        <v>3023</v>
      </c>
      <c r="D1839" s="133" t="s">
        <v>5095</v>
      </c>
      <c r="E1839" s="134">
        <v>1</v>
      </c>
      <c r="F1839" s="135" t="s">
        <v>1449</v>
      </c>
      <c r="G1839" s="185" t="s">
        <v>15</v>
      </c>
      <c r="H1839" s="185" t="s">
        <v>15</v>
      </c>
      <c r="I1839" s="185" t="s">
        <v>15</v>
      </c>
      <c r="J1839" s="135" t="s">
        <v>1450</v>
      </c>
      <c r="K1839" s="186">
        <v>120</v>
      </c>
      <c r="L1839" s="187" t="s">
        <v>173</v>
      </c>
      <c r="M1839" s="187" t="s">
        <v>175</v>
      </c>
    </row>
    <row r="1840" spans="1:13" s="188" customFormat="1">
      <c r="A1840" s="185" t="s">
        <v>1447</v>
      </c>
      <c r="B1840" s="133" t="s">
        <v>5100</v>
      </c>
      <c r="C1840" s="185" t="s">
        <v>3023</v>
      </c>
      <c r="D1840" s="133" t="s">
        <v>5095</v>
      </c>
      <c r="E1840" s="134">
        <v>1</v>
      </c>
      <c r="F1840" s="135" t="s">
        <v>1449</v>
      </c>
      <c r="G1840" s="185" t="s">
        <v>15</v>
      </c>
      <c r="H1840" s="185" t="s">
        <v>15</v>
      </c>
      <c r="I1840" s="185" t="s">
        <v>15</v>
      </c>
      <c r="J1840" s="135" t="s">
        <v>1450</v>
      </c>
      <c r="K1840" s="186">
        <v>67.199999999999989</v>
      </c>
      <c r="L1840" s="187" t="s">
        <v>173</v>
      </c>
      <c r="M1840" s="187" t="s">
        <v>175</v>
      </c>
    </row>
    <row r="1841" spans="1:13" s="188" customFormat="1">
      <c r="A1841" s="185" t="s">
        <v>1447</v>
      </c>
      <c r="B1841" s="133" t="s">
        <v>5101</v>
      </c>
      <c r="C1841" s="185" t="s">
        <v>3023</v>
      </c>
      <c r="D1841" s="133" t="s">
        <v>5095</v>
      </c>
      <c r="E1841" s="134">
        <v>1</v>
      </c>
      <c r="F1841" s="135" t="s">
        <v>1449</v>
      </c>
      <c r="G1841" s="185" t="s">
        <v>15</v>
      </c>
      <c r="H1841" s="185" t="s">
        <v>15</v>
      </c>
      <c r="I1841" s="185" t="s">
        <v>15</v>
      </c>
      <c r="J1841" s="135" t="s">
        <v>1450</v>
      </c>
      <c r="K1841" s="186">
        <v>43.56</v>
      </c>
      <c r="L1841" s="187" t="s">
        <v>173</v>
      </c>
      <c r="M1841" s="187" t="s">
        <v>175</v>
      </c>
    </row>
    <row r="1842" spans="1:13" s="188" customFormat="1">
      <c r="A1842" s="185" t="s">
        <v>1447</v>
      </c>
      <c r="B1842" s="133" t="s">
        <v>5102</v>
      </c>
      <c r="C1842" s="185" t="s">
        <v>3023</v>
      </c>
      <c r="D1842" s="133" t="s">
        <v>5095</v>
      </c>
      <c r="E1842" s="134">
        <v>1</v>
      </c>
      <c r="F1842" s="135" t="s">
        <v>1449</v>
      </c>
      <c r="G1842" s="185" t="s">
        <v>15</v>
      </c>
      <c r="H1842" s="185" t="s">
        <v>15</v>
      </c>
      <c r="I1842" s="185" t="s">
        <v>15</v>
      </c>
      <c r="J1842" s="135" t="s">
        <v>1450</v>
      </c>
      <c r="K1842" s="186">
        <v>33.599999999999994</v>
      </c>
      <c r="L1842" s="187" t="s">
        <v>173</v>
      </c>
      <c r="M1842" s="187" t="s">
        <v>175</v>
      </c>
    </row>
    <row r="1843" spans="1:13" s="188" customFormat="1">
      <c r="A1843" s="185" t="s">
        <v>1447</v>
      </c>
      <c r="B1843" s="133" t="s">
        <v>5103</v>
      </c>
      <c r="C1843" s="185" t="s">
        <v>3023</v>
      </c>
      <c r="D1843" s="133" t="s">
        <v>5095</v>
      </c>
      <c r="E1843" s="134">
        <v>1</v>
      </c>
      <c r="F1843" s="135" t="s">
        <v>1449</v>
      </c>
      <c r="G1843" s="185" t="s">
        <v>15</v>
      </c>
      <c r="H1843" s="185" t="s">
        <v>15</v>
      </c>
      <c r="I1843" s="185" t="s">
        <v>15</v>
      </c>
      <c r="J1843" s="135" t="s">
        <v>1450</v>
      </c>
      <c r="K1843" s="186">
        <v>8.76</v>
      </c>
      <c r="L1843" s="187" t="s">
        <v>173</v>
      </c>
      <c r="M1843" s="187" t="s">
        <v>175</v>
      </c>
    </row>
    <row r="1844" spans="1:13" s="188" customFormat="1">
      <c r="A1844" s="185" t="s">
        <v>1447</v>
      </c>
      <c r="B1844" s="133" t="s">
        <v>5104</v>
      </c>
      <c r="C1844" s="185" t="s">
        <v>3023</v>
      </c>
      <c r="D1844" s="133" t="s">
        <v>1631</v>
      </c>
      <c r="E1844" s="134">
        <v>1</v>
      </c>
      <c r="F1844" s="135" t="s">
        <v>1449</v>
      </c>
      <c r="G1844" s="185" t="s">
        <v>15</v>
      </c>
      <c r="H1844" s="185" t="s">
        <v>15</v>
      </c>
      <c r="I1844" s="185" t="s">
        <v>15</v>
      </c>
      <c r="J1844" s="135" t="s">
        <v>1450</v>
      </c>
      <c r="K1844" s="186">
        <v>98.399999999999991</v>
      </c>
      <c r="L1844" s="187" t="s">
        <v>173</v>
      </c>
      <c r="M1844" s="187" t="s">
        <v>175</v>
      </c>
    </row>
    <row r="1845" spans="1:13" s="188" customFormat="1">
      <c r="A1845" s="185" t="s">
        <v>1447</v>
      </c>
      <c r="B1845" s="133" t="s">
        <v>5105</v>
      </c>
      <c r="C1845" s="185" t="s">
        <v>3023</v>
      </c>
      <c r="D1845" s="133" t="s">
        <v>1631</v>
      </c>
      <c r="E1845" s="134">
        <v>1</v>
      </c>
      <c r="F1845" s="135" t="s">
        <v>1449</v>
      </c>
      <c r="G1845" s="185" t="s">
        <v>15</v>
      </c>
      <c r="H1845" s="185" t="s">
        <v>15</v>
      </c>
      <c r="I1845" s="185" t="s">
        <v>15</v>
      </c>
      <c r="J1845" s="135" t="s">
        <v>1450</v>
      </c>
      <c r="K1845" s="186">
        <v>52.320000000000007</v>
      </c>
      <c r="L1845" s="187" t="s">
        <v>173</v>
      </c>
      <c r="M1845" s="187" t="s">
        <v>175</v>
      </c>
    </row>
    <row r="1846" spans="1:13" s="188" customFormat="1">
      <c r="A1846" s="185" t="s">
        <v>1447</v>
      </c>
      <c r="B1846" s="133" t="s">
        <v>5106</v>
      </c>
      <c r="C1846" s="185" t="s">
        <v>3023</v>
      </c>
      <c r="D1846" s="133" t="s">
        <v>1631</v>
      </c>
      <c r="E1846" s="134">
        <v>1</v>
      </c>
      <c r="F1846" s="135" t="s">
        <v>1449</v>
      </c>
      <c r="G1846" s="185" t="s">
        <v>15</v>
      </c>
      <c r="H1846" s="185" t="s">
        <v>15</v>
      </c>
      <c r="I1846" s="185" t="s">
        <v>15</v>
      </c>
      <c r="J1846" s="135" t="s">
        <v>1450</v>
      </c>
      <c r="K1846" s="186">
        <v>36.119999999999997</v>
      </c>
      <c r="L1846" s="187" t="s">
        <v>173</v>
      </c>
      <c r="M1846" s="187" t="s">
        <v>175</v>
      </c>
    </row>
    <row r="1847" spans="1:13" s="188" customFormat="1">
      <c r="A1847" s="185" t="s">
        <v>1447</v>
      </c>
      <c r="B1847" s="133" t="s">
        <v>5107</v>
      </c>
      <c r="C1847" s="185" t="s">
        <v>3023</v>
      </c>
      <c r="D1847" s="133" t="s">
        <v>1631</v>
      </c>
      <c r="E1847" s="134">
        <v>1</v>
      </c>
      <c r="F1847" s="135" t="s">
        <v>1449</v>
      </c>
      <c r="G1847" s="185" t="s">
        <v>15</v>
      </c>
      <c r="H1847" s="185" t="s">
        <v>15</v>
      </c>
      <c r="I1847" s="185" t="s">
        <v>15</v>
      </c>
      <c r="J1847" s="135" t="s">
        <v>1450</v>
      </c>
      <c r="K1847" s="186">
        <v>31.08</v>
      </c>
      <c r="L1847" s="187" t="s">
        <v>173</v>
      </c>
      <c r="M1847" s="187" t="s">
        <v>175</v>
      </c>
    </row>
    <row r="1848" spans="1:13" s="188" customFormat="1">
      <c r="A1848" s="185" t="s">
        <v>1447</v>
      </c>
      <c r="B1848" s="133" t="s">
        <v>5108</v>
      </c>
      <c r="C1848" s="185" t="s">
        <v>3023</v>
      </c>
      <c r="D1848" s="133" t="s">
        <v>1631</v>
      </c>
      <c r="E1848" s="134">
        <v>1</v>
      </c>
      <c r="F1848" s="135" t="s">
        <v>1449</v>
      </c>
      <c r="G1848" s="185" t="s">
        <v>15</v>
      </c>
      <c r="H1848" s="185" t="s">
        <v>15</v>
      </c>
      <c r="I1848" s="185" t="s">
        <v>15</v>
      </c>
      <c r="J1848" s="135" t="s">
        <v>1450</v>
      </c>
      <c r="K1848" s="186">
        <v>26.160000000000004</v>
      </c>
      <c r="L1848" s="187" t="s">
        <v>173</v>
      </c>
      <c r="M1848" s="187" t="s">
        <v>175</v>
      </c>
    </row>
    <row r="1849" spans="1:13" s="188" customFormat="1">
      <c r="A1849" s="185" t="s">
        <v>1447</v>
      </c>
      <c r="B1849" s="133" t="s">
        <v>5109</v>
      </c>
      <c r="C1849" s="185" t="s">
        <v>3023</v>
      </c>
      <c r="D1849" s="133" t="s">
        <v>1631</v>
      </c>
      <c r="E1849" s="134">
        <v>1</v>
      </c>
      <c r="F1849" s="135" t="s">
        <v>1449</v>
      </c>
      <c r="G1849" s="185" t="s">
        <v>15</v>
      </c>
      <c r="H1849" s="185" t="s">
        <v>15</v>
      </c>
      <c r="I1849" s="185" t="s">
        <v>15</v>
      </c>
      <c r="J1849" s="135" t="s">
        <v>1450</v>
      </c>
      <c r="K1849" s="186">
        <v>23.64</v>
      </c>
      <c r="L1849" s="187" t="s">
        <v>173</v>
      </c>
      <c r="M1849" s="187" t="s">
        <v>175</v>
      </c>
    </row>
    <row r="1850" spans="1:13" s="188" customFormat="1">
      <c r="A1850" s="185" t="s">
        <v>1447</v>
      </c>
      <c r="B1850" s="133" t="s">
        <v>5110</v>
      </c>
      <c r="C1850" s="185" t="s">
        <v>3023</v>
      </c>
      <c r="D1850" s="133" t="s">
        <v>1631</v>
      </c>
      <c r="E1850" s="134">
        <v>1</v>
      </c>
      <c r="F1850" s="135" t="s">
        <v>1449</v>
      </c>
      <c r="G1850" s="185" t="s">
        <v>15</v>
      </c>
      <c r="H1850" s="185" t="s">
        <v>15</v>
      </c>
      <c r="I1850" s="185" t="s">
        <v>15</v>
      </c>
      <c r="J1850" s="135" t="s">
        <v>1450</v>
      </c>
      <c r="K1850" s="186">
        <v>15</v>
      </c>
      <c r="L1850" s="187" t="s">
        <v>173</v>
      </c>
      <c r="M1850" s="187" t="s">
        <v>175</v>
      </c>
    </row>
    <row r="1851" spans="1:13" s="188" customFormat="1">
      <c r="A1851" s="185" t="s">
        <v>1447</v>
      </c>
      <c r="B1851" s="133" t="s">
        <v>5111</v>
      </c>
      <c r="C1851" s="185" t="s">
        <v>3023</v>
      </c>
      <c r="D1851" s="133" t="s">
        <v>1631</v>
      </c>
      <c r="E1851" s="134">
        <v>1</v>
      </c>
      <c r="F1851" s="135" t="s">
        <v>1449</v>
      </c>
      <c r="G1851" s="185" t="s">
        <v>15</v>
      </c>
      <c r="H1851" s="185" t="s">
        <v>15</v>
      </c>
      <c r="I1851" s="185" t="s">
        <v>15</v>
      </c>
      <c r="J1851" s="135" t="s">
        <v>1450</v>
      </c>
      <c r="K1851" s="186">
        <v>11.16</v>
      </c>
      <c r="L1851" s="187" t="s">
        <v>173</v>
      </c>
      <c r="M1851" s="187" t="s">
        <v>175</v>
      </c>
    </row>
    <row r="1852" spans="1:13" s="188" customFormat="1">
      <c r="A1852" s="185" t="s">
        <v>1447</v>
      </c>
      <c r="B1852" s="133" t="s">
        <v>5112</v>
      </c>
      <c r="C1852" s="185" t="s">
        <v>3023</v>
      </c>
      <c r="D1852" s="133" t="s">
        <v>1631</v>
      </c>
      <c r="E1852" s="134">
        <v>1</v>
      </c>
      <c r="F1852" s="135" t="s">
        <v>1449</v>
      </c>
      <c r="G1852" s="185" t="s">
        <v>15</v>
      </c>
      <c r="H1852" s="185" t="s">
        <v>15</v>
      </c>
      <c r="I1852" s="185" t="s">
        <v>15</v>
      </c>
      <c r="J1852" s="135" t="s">
        <v>1450</v>
      </c>
      <c r="K1852" s="186">
        <v>3.7199999999999998</v>
      </c>
      <c r="L1852" s="187" t="s">
        <v>173</v>
      </c>
      <c r="M1852" s="187" t="s">
        <v>175</v>
      </c>
    </row>
    <row r="1853" spans="1:13" s="188" customFormat="1">
      <c r="A1853" s="185" t="s">
        <v>1447</v>
      </c>
      <c r="B1853" s="133" t="s">
        <v>5113</v>
      </c>
      <c r="C1853" s="185" t="s">
        <v>3023</v>
      </c>
      <c r="D1853" s="133" t="s">
        <v>1632</v>
      </c>
      <c r="E1853" s="134">
        <v>1</v>
      </c>
      <c r="F1853" s="135" t="s">
        <v>1449</v>
      </c>
      <c r="G1853" s="185" t="s">
        <v>15</v>
      </c>
      <c r="H1853" s="185" t="s">
        <v>15</v>
      </c>
      <c r="I1853" s="185" t="s">
        <v>15</v>
      </c>
      <c r="J1853" s="135" t="s">
        <v>1450</v>
      </c>
      <c r="K1853" s="186">
        <v>780</v>
      </c>
      <c r="L1853" s="187" t="s">
        <v>173</v>
      </c>
      <c r="M1853" s="187" t="s">
        <v>175</v>
      </c>
    </row>
    <row r="1854" spans="1:13" s="188" customFormat="1">
      <c r="A1854" s="185" t="s">
        <v>1447</v>
      </c>
      <c r="B1854" s="133" t="s">
        <v>5114</v>
      </c>
      <c r="C1854" s="185" t="s">
        <v>3023</v>
      </c>
      <c r="D1854" s="133" t="s">
        <v>1632</v>
      </c>
      <c r="E1854" s="134">
        <v>1</v>
      </c>
      <c r="F1854" s="135" t="s">
        <v>1449</v>
      </c>
      <c r="G1854" s="185" t="s">
        <v>15</v>
      </c>
      <c r="H1854" s="185" t="s">
        <v>15</v>
      </c>
      <c r="I1854" s="185" t="s">
        <v>15</v>
      </c>
      <c r="J1854" s="135" t="s">
        <v>1450</v>
      </c>
      <c r="K1854" s="186">
        <v>468</v>
      </c>
      <c r="L1854" s="187" t="s">
        <v>173</v>
      </c>
      <c r="M1854" s="187" t="s">
        <v>175</v>
      </c>
    </row>
    <row r="1855" spans="1:13" s="188" customFormat="1">
      <c r="A1855" s="185" t="s">
        <v>1447</v>
      </c>
      <c r="B1855" s="133" t="s">
        <v>5115</v>
      </c>
      <c r="C1855" s="185" t="s">
        <v>3023</v>
      </c>
      <c r="D1855" s="133" t="s">
        <v>1632</v>
      </c>
      <c r="E1855" s="134">
        <v>1</v>
      </c>
      <c r="F1855" s="135" t="s">
        <v>1449</v>
      </c>
      <c r="G1855" s="185" t="s">
        <v>15</v>
      </c>
      <c r="H1855" s="185" t="s">
        <v>15</v>
      </c>
      <c r="I1855" s="185" t="s">
        <v>15</v>
      </c>
      <c r="J1855" s="135" t="s">
        <v>1450</v>
      </c>
      <c r="K1855" s="186">
        <v>312</v>
      </c>
      <c r="L1855" s="187" t="s">
        <v>173</v>
      </c>
      <c r="M1855" s="187" t="s">
        <v>175</v>
      </c>
    </row>
    <row r="1856" spans="1:13" s="188" customFormat="1">
      <c r="A1856" s="185" t="s">
        <v>1447</v>
      </c>
      <c r="B1856" s="133" t="s">
        <v>5116</v>
      </c>
      <c r="C1856" s="185" t="s">
        <v>3023</v>
      </c>
      <c r="D1856" s="133" t="s">
        <v>1632</v>
      </c>
      <c r="E1856" s="134">
        <v>1</v>
      </c>
      <c r="F1856" s="135" t="s">
        <v>1449</v>
      </c>
      <c r="G1856" s="185" t="s">
        <v>15</v>
      </c>
      <c r="H1856" s="185" t="s">
        <v>15</v>
      </c>
      <c r="I1856" s="185" t="s">
        <v>15</v>
      </c>
      <c r="J1856" s="135" t="s">
        <v>1450</v>
      </c>
      <c r="K1856" s="186">
        <v>228</v>
      </c>
      <c r="L1856" s="187" t="s">
        <v>173</v>
      </c>
      <c r="M1856" s="187" t="s">
        <v>175</v>
      </c>
    </row>
    <row r="1857" spans="1:13" s="188" customFormat="1">
      <c r="A1857" s="185" t="s">
        <v>1447</v>
      </c>
      <c r="B1857" s="133" t="s">
        <v>5117</v>
      </c>
      <c r="C1857" s="185" t="s">
        <v>3023</v>
      </c>
      <c r="D1857" s="133" t="s">
        <v>1632</v>
      </c>
      <c r="E1857" s="134">
        <v>1</v>
      </c>
      <c r="F1857" s="135" t="s">
        <v>1449</v>
      </c>
      <c r="G1857" s="185" t="s">
        <v>15</v>
      </c>
      <c r="H1857" s="185" t="s">
        <v>15</v>
      </c>
      <c r="I1857" s="185" t="s">
        <v>15</v>
      </c>
      <c r="J1857" s="135" t="s">
        <v>1450</v>
      </c>
      <c r="K1857" s="186">
        <v>180</v>
      </c>
      <c r="L1857" s="187" t="s">
        <v>173</v>
      </c>
      <c r="M1857" s="187" t="s">
        <v>175</v>
      </c>
    </row>
    <row r="1858" spans="1:13" s="188" customFormat="1">
      <c r="A1858" s="185" t="s">
        <v>1447</v>
      </c>
      <c r="B1858" s="133" t="s">
        <v>5118</v>
      </c>
      <c r="C1858" s="185" t="s">
        <v>3023</v>
      </c>
      <c r="D1858" s="133" t="s">
        <v>1632</v>
      </c>
      <c r="E1858" s="134">
        <v>1</v>
      </c>
      <c r="F1858" s="135" t="s">
        <v>1449</v>
      </c>
      <c r="G1858" s="185" t="s">
        <v>15</v>
      </c>
      <c r="H1858" s="185" t="s">
        <v>15</v>
      </c>
      <c r="I1858" s="185" t="s">
        <v>15</v>
      </c>
      <c r="J1858" s="135" t="s">
        <v>1450</v>
      </c>
      <c r="K1858" s="186">
        <v>132</v>
      </c>
      <c r="L1858" s="187" t="s">
        <v>173</v>
      </c>
      <c r="M1858" s="187" t="s">
        <v>175</v>
      </c>
    </row>
    <row r="1859" spans="1:13" s="188" customFormat="1">
      <c r="A1859" s="185" t="s">
        <v>1447</v>
      </c>
      <c r="B1859" s="133" t="s">
        <v>5119</v>
      </c>
      <c r="C1859" s="185" t="s">
        <v>3023</v>
      </c>
      <c r="D1859" s="133" t="s">
        <v>1632</v>
      </c>
      <c r="E1859" s="134">
        <v>1</v>
      </c>
      <c r="F1859" s="135" t="s">
        <v>1449</v>
      </c>
      <c r="G1859" s="185" t="s">
        <v>15</v>
      </c>
      <c r="H1859" s="185" t="s">
        <v>15</v>
      </c>
      <c r="I1859" s="185" t="s">
        <v>15</v>
      </c>
      <c r="J1859" s="135" t="s">
        <v>1450</v>
      </c>
      <c r="K1859" s="186">
        <v>103.32</v>
      </c>
      <c r="L1859" s="187" t="s">
        <v>173</v>
      </c>
      <c r="M1859" s="187" t="s">
        <v>175</v>
      </c>
    </row>
    <row r="1860" spans="1:13" s="188" customFormat="1">
      <c r="A1860" s="185" t="s">
        <v>1447</v>
      </c>
      <c r="B1860" s="133" t="s">
        <v>5120</v>
      </c>
      <c r="C1860" s="185" t="s">
        <v>3023</v>
      </c>
      <c r="D1860" s="133" t="s">
        <v>1632</v>
      </c>
      <c r="E1860" s="134">
        <v>1</v>
      </c>
      <c r="F1860" s="135" t="s">
        <v>1449</v>
      </c>
      <c r="G1860" s="185" t="s">
        <v>15</v>
      </c>
      <c r="H1860" s="185" t="s">
        <v>15</v>
      </c>
      <c r="I1860" s="185" t="s">
        <v>15</v>
      </c>
      <c r="J1860" s="135" t="s">
        <v>1450</v>
      </c>
      <c r="K1860" s="186">
        <v>93.36</v>
      </c>
      <c r="L1860" s="187" t="s">
        <v>173</v>
      </c>
      <c r="M1860" s="187" t="s">
        <v>175</v>
      </c>
    </row>
    <row r="1861" spans="1:13" s="188" customFormat="1">
      <c r="A1861" s="185" t="s">
        <v>1447</v>
      </c>
      <c r="B1861" s="133" t="s">
        <v>5121</v>
      </c>
      <c r="C1861" s="185" t="s">
        <v>3023</v>
      </c>
      <c r="D1861" s="133" t="s">
        <v>1632</v>
      </c>
      <c r="E1861" s="134">
        <v>1</v>
      </c>
      <c r="F1861" s="135" t="s">
        <v>1449</v>
      </c>
      <c r="G1861" s="185" t="s">
        <v>15</v>
      </c>
      <c r="H1861" s="185" t="s">
        <v>15</v>
      </c>
      <c r="I1861" s="185" t="s">
        <v>15</v>
      </c>
      <c r="J1861" s="135" t="s">
        <v>1450</v>
      </c>
      <c r="K1861" s="186">
        <v>80.88</v>
      </c>
      <c r="L1861" s="187" t="s">
        <v>173</v>
      </c>
      <c r="M1861" s="187" t="s">
        <v>175</v>
      </c>
    </row>
    <row r="1862" spans="1:13" s="188" customFormat="1">
      <c r="A1862" s="185" t="s">
        <v>1447</v>
      </c>
      <c r="B1862" s="133" t="s">
        <v>5122</v>
      </c>
      <c r="C1862" s="185" t="s">
        <v>3023</v>
      </c>
      <c r="D1862" s="133" t="s">
        <v>1633</v>
      </c>
      <c r="E1862" s="134">
        <v>1</v>
      </c>
      <c r="F1862" s="135" t="s">
        <v>1449</v>
      </c>
      <c r="G1862" s="185" t="s">
        <v>15</v>
      </c>
      <c r="H1862" s="185" t="s">
        <v>15</v>
      </c>
      <c r="I1862" s="185" t="s">
        <v>15</v>
      </c>
      <c r="J1862" s="135" t="s">
        <v>1450</v>
      </c>
      <c r="K1862" s="186">
        <v>1248</v>
      </c>
      <c r="L1862" s="187" t="s">
        <v>173</v>
      </c>
      <c r="M1862" s="187" t="s">
        <v>175</v>
      </c>
    </row>
    <row r="1863" spans="1:13" s="188" customFormat="1">
      <c r="A1863" s="185" t="s">
        <v>1447</v>
      </c>
      <c r="B1863" s="133" t="s">
        <v>5123</v>
      </c>
      <c r="C1863" s="185" t="s">
        <v>3023</v>
      </c>
      <c r="D1863" s="133" t="s">
        <v>1633</v>
      </c>
      <c r="E1863" s="134">
        <v>1</v>
      </c>
      <c r="F1863" s="135" t="s">
        <v>1449</v>
      </c>
      <c r="G1863" s="185" t="s">
        <v>15</v>
      </c>
      <c r="H1863" s="185" t="s">
        <v>15</v>
      </c>
      <c r="I1863" s="185" t="s">
        <v>15</v>
      </c>
      <c r="J1863" s="135" t="s">
        <v>1450</v>
      </c>
      <c r="K1863" s="186">
        <v>744</v>
      </c>
      <c r="L1863" s="187" t="s">
        <v>173</v>
      </c>
      <c r="M1863" s="187" t="s">
        <v>175</v>
      </c>
    </row>
    <row r="1864" spans="1:13" s="188" customFormat="1">
      <c r="A1864" s="185" t="s">
        <v>1447</v>
      </c>
      <c r="B1864" s="133" t="s">
        <v>5124</v>
      </c>
      <c r="C1864" s="185" t="s">
        <v>3023</v>
      </c>
      <c r="D1864" s="133" t="s">
        <v>1633</v>
      </c>
      <c r="E1864" s="134">
        <v>1</v>
      </c>
      <c r="F1864" s="135" t="s">
        <v>1449</v>
      </c>
      <c r="G1864" s="185" t="s">
        <v>15</v>
      </c>
      <c r="H1864" s="185" t="s">
        <v>15</v>
      </c>
      <c r="I1864" s="185" t="s">
        <v>15</v>
      </c>
      <c r="J1864" s="135" t="s">
        <v>1450</v>
      </c>
      <c r="K1864" s="186">
        <v>504</v>
      </c>
      <c r="L1864" s="187" t="s">
        <v>173</v>
      </c>
      <c r="M1864" s="187" t="s">
        <v>175</v>
      </c>
    </row>
    <row r="1865" spans="1:13" s="188" customFormat="1">
      <c r="A1865" s="185" t="s">
        <v>1447</v>
      </c>
      <c r="B1865" s="133" t="s">
        <v>5125</v>
      </c>
      <c r="C1865" s="185" t="s">
        <v>3023</v>
      </c>
      <c r="D1865" s="133" t="s">
        <v>1633</v>
      </c>
      <c r="E1865" s="134">
        <v>1</v>
      </c>
      <c r="F1865" s="135" t="s">
        <v>1449</v>
      </c>
      <c r="G1865" s="185" t="s">
        <v>15</v>
      </c>
      <c r="H1865" s="185" t="s">
        <v>15</v>
      </c>
      <c r="I1865" s="185" t="s">
        <v>15</v>
      </c>
      <c r="J1865" s="135" t="s">
        <v>1450</v>
      </c>
      <c r="K1865" s="186">
        <v>360</v>
      </c>
      <c r="L1865" s="187" t="s">
        <v>173</v>
      </c>
      <c r="M1865" s="187" t="s">
        <v>175</v>
      </c>
    </row>
    <row r="1866" spans="1:13" s="188" customFormat="1">
      <c r="A1866" s="185" t="s">
        <v>1447</v>
      </c>
      <c r="B1866" s="133" t="s">
        <v>5126</v>
      </c>
      <c r="C1866" s="185" t="s">
        <v>3023</v>
      </c>
      <c r="D1866" s="133" t="s">
        <v>1633</v>
      </c>
      <c r="E1866" s="134">
        <v>1</v>
      </c>
      <c r="F1866" s="135" t="s">
        <v>1449</v>
      </c>
      <c r="G1866" s="185" t="s">
        <v>15</v>
      </c>
      <c r="H1866" s="185" t="s">
        <v>15</v>
      </c>
      <c r="I1866" s="185" t="s">
        <v>15</v>
      </c>
      <c r="J1866" s="135" t="s">
        <v>1450</v>
      </c>
      <c r="K1866" s="186">
        <v>288</v>
      </c>
      <c r="L1866" s="187" t="s">
        <v>173</v>
      </c>
      <c r="M1866" s="187" t="s">
        <v>175</v>
      </c>
    </row>
    <row r="1867" spans="1:13" s="188" customFormat="1">
      <c r="A1867" s="185" t="s">
        <v>1447</v>
      </c>
      <c r="B1867" s="133" t="s">
        <v>5127</v>
      </c>
      <c r="C1867" s="185" t="s">
        <v>3023</v>
      </c>
      <c r="D1867" s="133" t="s">
        <v>1633</v>
      </c>
      <c r="E1867" s="134">
        <v>1</v>
      </c>
      <c r="F1867" s="135" t="s">
        <v>1449</v>
      </c>
      <c r="G1867" s="185" t="s">
        <v>15</v>
      </c>
      <c r="H1867" s="185" t="s">
        <v>15</v>
      </c>
      <c r="I1867" s="185" t="s">
        <v>15</v>
      </c>
      <c r="J1867" s="135" t="s">
        <v>1450</v>
      </c>
      <c r="K1867" s="186">
        <v>216</v>
      </c>
      <c r="L1867" s="187" t="s">
        <v>173</v>
      </c>
      <c r="M1867" s="187" t="s">
        <v>175</v>
      </c>
    </row>
    <row r="1868" spans="1:13" s="188" customFormat="1">
      <c r="A1868" s="185" t="s">
        <v>1447</v>
      </c>
      <c r="B1868" s="133" t="s">
        <v>5128</v>
      </c>
      <c r="C1868" s="185" t="s">
        <v>3023</v>
      </c>
      <c r="D1868" s="133" t="s">
        <v>1633</v>
      </c>
      <c r="E1868" s="134">
        <v>1</v>
      </c>
      <c r="F1868" s="135" t="s">
        <v>1449</v>
      </c>
      <c r="G1868" s="185" t="s">
        <v>15</v>
      </c>
      <c r="H1868" s="185" t="s">
        <v>15</v>
      </c>
      <c r="I1868" s="185" t="s">
        <v>15</v>
      </c>
      <c r="J1868" s="135" t="s">
        <v>1450</v>
      </c>
      <c r="K1868" s="186">
        <v>168</v>
      </c>
      <c r="L1868" s="187" t="s">
        <v>173</v>
      </c>
      <c r="M1868" s="187" t="s">
        <v>175</v>
      </c>
    </row>
    <row r="1869" spans="1:13" s="188" customFormat="1">
      <c r="A1869" s="185" t="s">
        <v>1447</v>
      </c>
      <c r="B1869" s="133" t="s">
        <v>5129</v>
      </c>
      <c r="C1869" s="185" t="s">
        <v>3023</v>
      </c>
      <c r="D1869" s="133" t="s">
        <v>1633</v>
      </c>
      <c r="E1869" s="134">
        <v>1</v>
      </c>
      <c r="F1869" s="135" t="s">
        <v>1449</v>
      </c>
      <c r="G1869" s="185" t="s">
        <v>15</v>
      </c>
      <c r="H1869" s="185" t="s">
        <v>15</v>
      </c>
      <c r="I1869" s="185" t="s">
        <v>15</v>
      </c>
      <c r="J1869" s="135" t="s">
        <v>1450</v>
      </c>
      <c r="K1869" s="186">
        <v>144</v>
      </c>
      <c r="L1869" s="187" t="s">
        <v>173</v>
      </c>
      <c r="M1869" s="187" t="s">
        <v>175</v>
      </c>
    </row>
    <row r="1870" spans="1:13" s="188" customFormat="1">
      <c r="A1870" s="185" t="s">
        <v>1447</v>
      </c>
      <c r="B1870" s="133" t="s">
        <v>5130</v>
      </c>
      <c r="C1870" s="185" t="s">
        <v>3023</v>
      </c>
      <c r="D1870" s="133" t="s">
        <v>1633</v>
      </c>
      <c r="E1870" s="134">
        <v>1</v>
      </c>
      <c r="F1870" s="135" t="s">
        <v>1449</v>
      </c>
      <c r="G1870" s="185" t="s">
        <v>15</v>
      </c>
      <c r="H1870" s="185" t="s">
        <v>15</v>
      </c>
      <c r="I1870" s="185" t="s">
        <v>15</v>
      </c>
      <c r="J1870" s="135" t="s">
        <v>1450</v>
      </c>
      <c r="K1870" s="186">
        <v>132</v>
      </c>
      <c r="L1870" s="187" t="s">
        <v>173</v>
      </c>
      <c r="M1870" s="187" t="s">
        <v>175</v>
      </c>
    </row>
    <row r="1871" spans="1:13" s="188" customFormat="1">
      <c r="A1871" s="185" t="s">
        <v>1447</v>
      </c>
      <c r="B1871" s="133" t="s">
        <v>5131</v>
      </c>
      <c r="C1871" s="185" t="s">
        <v>3023</v>
      </c>
      <c r="D1871" s="133" t="s">
        <v>1634</v>
      </c>
      <c r="E1871" s="134">
        <v>1</v>
      </c>
      <c r="F1871" s="135" t="s">
        <v>1449</v>
      </c>
      <c r="G1871" s="185" t="s">
        <v>15</v>
      </c>
      <c r="H1871" s="185" t="s">
        <v>15</v>
      </c>
      <c r="I1871" s="185" t="s">
        <v>15</v>
      </c>
      <c r="J1871" s="135" t="s">
        <v>1450</v>
      </c>
      <c r="K1871" s="186">
        <v>624</v>
      </c>
      <c r="L1871" s="187" t="s">
        <v>173</v>
      </c>
      <c r="M1871" s="187" t="s">
        <v>175</v>
      </c>
    </row>
    <row r="1872" spans="1:13" s="188" customFormat="1">
      <c r="A1872" s="185" t="s">
        <v>1447</v>
      </c>
      <c r="B1872" s="133" t="s">
        <v>5132</v>
      </c>
      <c r="C1872" s="185" t="s">
        <v>3023</v>
      </c>
      <c r="D1872" s="133" t="s">
        <v>1634</v>
      </c>
      <c r="E1872" s="134">
        <v>1</v>
      </c>
      <c r="F1872" s="135" t="s">
        <v>1449</v>
      </c>
      <c r="G1872" s="185" t="s">
        <v>15</v>
      </c>
      <c r="H1872" s="185" t="s">
        <v>15</v>
      </c>
      <c r="I1872" s="185" t="s">
        <v>15</v>
      </c>
      <c r="J1872" s="135" t="s">
        <v>1450</v>
      </c>
      <c r="K1872" s="186">
        <v>504</v>
      </c>
      <c r="L1872" s="187" t="s">
        <v>173</v>
      </c>
      <c r="M1872" s="187" t="s">
        <v>175</v>
      </c>
    </row>
    <row r="1873" spans="1:13" s="188" customFormat="1">
      <c r="A1873" s="185" t="s">
        <v>1447</v>
      </c>
      <c r="B1873" s="133" t="s">
        <v>5133</v>
      </c>
      <c r="C1873" s="185" t="s">
        <v>3023</v>
      </c>
      <c r="D1873" s="133" t="s">
        <v>1634</v>
      </c>
      <c r="E1873" s="134">
        <v>1</v>
      </c>
      <c r="F1873" s="135" t="s">
        <v>1449</v>
      </c>
      <c r="G1873" s="185" t="s">
        <v>15</v>
      </c>
      <c r="H1873" s="185" t="s">
        <v>15</v>
      </c>
      <c r="I1873" s="185" t="s">
        <v>15</v>
      </c>
      <c r="J1873" s="135" t="s">
        <v>1450</v>
      </c>
      <c r="K1873" s="186">
        <v>300</v>
      </c>
      <c r="L1873" s="187" t="s">
        <v>173</v>
      </c>
      <c r="M1873" s="187" t="s">
        <v>175</v>
      </c>
    </row>
    <row r="1874" spans="1:13" s="188" customFormat="1">
      <c r="A1874" s="185" t="s">
        <v>1447</v>
      </c>
      <c r="B1874" s="133" t="s">
        <v>5134</v>
      </c>
      <c r="C1874" s="185" t="s">
        <v>3023</v>
      </c>
      <c r="D1874" s="133" t="s">
        <v>1634</v>
      </c>
      <c r="E1874" s="134">
        <v>1</v>
      </c>
      <c r="F1874" s="135" t="s">
        <v>1449</v>
      </c>
      <c r="G1874" s="185" t="s">
        <v>15</v>
      </c>
      <c r="H1874" s="185" t="s">
        <v>15</v>
      </c>
      <c r="I1874" s="185" t="s">
        <v>15</v>
      </c>
      <c r="J1874" s="135" t="s">
        <v>1450</v>
      </c>
      <c r="K1874" s="186">
        <v>240</v>
      </c>
      <c r="L1874" s="187" t="s">
        <v>173</v>
      </c>
      <c r="M1874" s="187" t="s">
        <v>175</v>
      </c>
    </row>
    <row r="1875" spans="1:13" s="188" customFormat="1">
      <c r="A1875" s="185" t="s">
        <v>1447</v>
      </c>
      <c r="B1875" s="133" t="s">
        <v>5135</v>
      </c>
      <c r="C1875" s="185" t="s">
        <v>3023</v>
      </c>
      <c r="D1875" s="133" t="s">
        <v>1634</v>
      </c>
      <c r="E1875" s="134">
        <v>1</v>
      </c>
      <c r="F1875" s="135" t="s">
        <v>1449</v>
      </c>
      <c r="G1875" s="185" t="s">
        <v>15</v>
      </c>
      <c r="H1875" s="185" t="s">
        <v>15</v>
      </c>
      <c r="I1875" s="185" t="s">
        <v>15</v>
      </c>
      <c r="J1875" s="135" t="s">
        <v>1450</v>
      </c>
      <c r="K1875" s="186">
        <v>204</v>
      </c>
      <c r="L1875" s="187" t="s">
        <v>173</v>
      </c>
      <c r="M1875" s="187" t="s">
        <v>175</v>
      </c>
    </row>
    <row r="1876" spans="1:13" s="188" customFormat="1">
      <c r="A1876" s="185" t="s">
        <v>1447</v>
      </c>
      <c r="B1876" s="133" t="s">
        <v>5136</v>
      </c>
      <c r="C1876" s="185" t="s">
        <v>3023</v>
      </c>
      <c r="D1876" s="133" t="s">
        <v>1634</v>
      </c>
      <c r="E1876" s="134">
        <v>1</v>
      </c>
      <c r="F1876" s="135" t="s">
        <v>1449</v>
      </c>
      <c r="G1876" s="185" t="s">
        <v>15</v>
      </c>
      <c r="H1876" s="185" t="s">
        <v>15</v>
      </c>
      <c r="I1876" s="185" t="s">
        <v>15</v>
      </c>
      <c r="J1876" s="135" t="s">
        <v>1450</v>
      </c>
      <c r="K1876" s="186">
        <v>132</v>
      </c>
      <c r="L1876" s="187" t="s">
        <v>173</v>
      </c>
      <c r="M1876" s="187" t="s">
        <v>175</v>
      </c>
    </row>
    <row r="1877" spans="1:13" s="188" customFormat="1">
      <c r="A1877" s="185" t="s">
        <v>1447</v>
      </c>
      <c r="B1877" s="133" t="s">
        <v>5137</v>
      </c>
      <c r="C1877" s="185" t="s">
        <v>3023</v>
      </c>
      <c r="D1877" s="133" t="s">
        <v>1634</v>
      </c>
      <c r="E1877" s="134">
        <v>1</v>
      </c>
      <c r="F1877" s="135" t="s">
        <v>1449</v>
      </c>
      <c r="G1877" s="185" t="s">
        <v>15</v>
      </c>
      <c r="H1877" s="185" t="s">
        <v>15</v>
      </c>
      <c r="I1877" s="185" t="s">
        <v>15</v>
      </c>
      <c r="J1877" s="135" t="s">
        <v>1450</v>
      </c>
      <c r="K1877" s="186">
        <v>87.12</v>
      </c>
      <c r="L1877" s="187" t="s">
        <v>173</v>
      </c>
      <c r="M1877" s="187" t="s">
        <v>175</v>
      </c>
    </row>
    <row r="1878" spans="1:13" s="188" customFormat="1">
      <c r="A1878" s="185" t="s">
        <v>1447</v>
      </c>
      <c r="B1878" s="133" t="s">
        <v>5138</v>
      </c>
      <c r="C1878" s="185" t="s">
        <v>3023</v>
      </c>
      <c r="D1878" s="133" t="s">
        <v>1634</v>
      </c>
      <c r="E1878" s="134">
        <v>1</v>
      </c>
      <c r="F1878" s="135" t="s">
        <v>1449</v>
      </c>
      <c r="G1878" s="185" t="s">
        <v>15</v>
      </c>
      <c r="H1878" s="185" t="s">
        <v>15</v>
      </c>
      <c r="I1878" s="185" t="s">
        <v>15</v>
      </c>
      <c r="J1878" s="135" t="s">
        <v>1450</v>
      </c>
      <c r="K1878" s="186">
        <v>66.36</v>
      </c>
      <c r="L1878" s="187" t="s">
        <v>173</v>
      </c>
      <c r="M1878" s="187" t="s">
        <v>175</v>
      </c>
    </row>
    <row r="1879" spans="1:13" s="188" customFormat="1">
      <c r="A1879" s="185" t="s">
        <v>1447</v>
      </c>
      <c r="B1879" s="133" t="s">
        <v>5139</v>
      </c>
      <c r="C1879" s="185" t="s">
        <v>3023</v>
      </c>
      <c r="D1879" s="133" t="s">
        <v>1634</v>
      </c>
      <c r="E1879" s="134">
        <v>1</v>
      </c>
      <c r="F1879" s="135" t="s">
        <v>1449</v>
      </c>
      <c r="G1879" s="185" t="s">
        <v>15</v>
      </c>
      <c r="H1879" s="185" t="s">
        <v>15</v>
      </c>
      <c r="I1879" s="185" t="s">
        <v>15</v>
      </c>
      <c r="J1879" s="135" t="s">
        <v>1450</v>
      </c>
      <c r="K1879" s="186">
        <v>16.559999999999999</v>
      </c>
      <c r="L1879" s="187" t="s">
        <v>173</v>
      </c>
      <c r="M1879" s="187" t="s">
        <v>175</v>
      </c>
    </row>
    <row r="1880" spans="1:13" s="188" customFormat="1">
      <c r="A1880" s="185" t="s">
        <v>1447</v>
      </c>
      <c r="B1880" s="133" t="s">
        <v>5140</v>
      </c>
      <c r="C1880" s="185" t="s">
        <v>3023</v>
      </c>
      <c r="D1880" s="133" t="s">
        <v>5141</v>
      </c>
      <c r="E1880" s="134">
        <v>1</v>
      </c>
      <c r="F1880" s="135" t="s">
        <v>1449</v>
      </c>
      <c r="G1880" s="185" t="s">
        <v>15</v>
      </c>
      <c r="H1880" s="185" t="s">
        <v>15</v>
      </c>
      <c r="I1880" s="185" t="s">
        <v>15</v>
      </c>
      <c r="J1880" s="135" t="s">
        <v>1450</v>
      </c>
      <c r="K1880" s="186">
        <v>276</v>
      </c>
      <c r="L1880" s="187" t="s">
        <v>173</v>
      </c>
      <c r="M1880" s="187" t="s">
        <v>175</v>
      </c>
    </row>
    <row r="1881" spans="1:13" s="188" customFormat="1">
      <c r="A1881" s="185" t="s">
        <v>1447</v>
      </c>
      <c r="B1881" s="133" t="s">
        <v>5142</v>
      </c>
      <c r="C1881" s="185" t="s">
        <v>3023</v>
      </c>
      <c r="D1881" s="133" t="s">
        <v>5141</v>
      </c>
      <c r="E1881" s="134">
        <v>1</v>
      </c>
      <c r="F1881" s="135" t="s">
        <v>1449</v>
      </c>
      <c r="G1881" s="185" t="s">
        <v>15</v>
      </c>
      <c r="H1881" s="185" t="s">
        <v>15</v>
      </c>
      <c r="I1881" s="185" t="s">
        <v>15</v>
      </c>
      <c r="J1881" s="135" t="s">
        <v>1450</v>
      </c>
      <c r="K1881" s="186">
        <v>216</v>
      </c>
      <c r="L1881" s="187" t="s">
        <v>173</v>
      </c>
      <c r="M1881" s="187" t="s">
        <v>175</v>
      </c>
    </row>
    <row r="1882" spans="1:13" s="188" customFormat="1">
      <c r="A1882" s="185" t="s">
        <v>1447</v>
      </c>
      <c r="B1882" s="133" t="s">
        <v>5143</v>
      </c>
      <c r="C1882" s="185" t="s">
        <v>3023</v>
      </c>
      <c r="D1882" s="133" t="s">
        <v>5141</v>
      </c>
      <c r="E1882" s="134">
        <v>1</v>
      </c>
      <c r="F1882" s="135" t="s">
        <v>1449</v>
      </c>
      <c r="G1882" s="185" t="s">
        <v>15</v>
      </c>
      <c r="H1882" s="185" t="s">
        <v>15</v>
      </c>
      <c r="I1882" s="185" t="s">
        <v>15</v>
      </c>
      <c r="J1882" s="135" t="s">
        <v>1450</v>
      </c>
      <c r="K1882" s="186">
        <v>144</v>
      </c>
      <c r="L1882" s="187" t="s">
        <v>173</v>
      </c>
      <c r="M1882" s="187" t="s">
        <v>175</v>
      </c>
    </row>
    <row r="1883" spans="1:13" s="188" customFormat="1">
      <c r="A1883" s="185" t="s">
        <v>1447</v>
      </c>
      <c r="B1883" s="133" t="s">
        <v>5144</v>
      </c>
      <c r="C1883" s="185" t="s">
        <v>3023</v>
      </c>
      <c r="D1883" s="133" t="s">
        <v>5141</v>
      </c>
      <c r="E1883" s="134">
        <v>1</v>
      </c>
      <c r="F1883" s="135" t="s">
        <v>1449</v>
      </c>
      <c r="G1883" s="185" t="s">
        <v>15</v>
      </c>
      <c r="H1883" s="185" t="s">
        <v>15</v>
      </c>
      <c r="I1883" s="185" t="s">
        <v>15</v>
      </c>
      <c r="J1883" s="135" t="s">
        <v>1450</v>
      </c>
      <c r="K1883" s="186">
        <v>87</v>
      </c>
      <c r="L1883" s="187" t="s">
        <v>173</v>
      </c>
      <c r="M1883" s="187" t="s">
        <v>175</v>
      </c>
    </row>
    <row r="1884" spans="1:13" s="188" customFormat="1">
      <c r="A1884" s="185" t="s">
        <v>1447</v>
      </c>
      <c r="B1884" s="133" t="s">
        <v>5145</v>
      </c>
      <c r="C1884" s="185" t="s">
        <v>3023</v>
      </c>
      <c r="D1884" s="133" t="s">
        <v>5141</v>
      </c>
      <c r="E1884" s="134">
        <v>1</v>
      </c>
      <c r="F1884" s="135" t="s">
        <v>1449</v>
      </c>
      <c r="G1884" s="185" t="s">
        <v>15</v>
      </c>
      <c r="H1884" s="185" t="s">
        <v>15</v>
      </c>
      <c r="I1884" s="185" t="s">
        <v>15</v>
      </c>
      <c r="J1884" s="135" t="s">
        <v>1450</v>
      </c>
      <c r="K1884" s="186">
        <v>61.320000000000007</v>
      </c>
      <c r="L1884" s="187" t="s">
        <v>173</v>
      </c>
      <c r="M1884" s="187" t="s">
        <v>175</v>
      </c>
    </row>
    <row r="1885" spans="1:13" s="188" customFormat="1">
      <c r="A1885" s="185" t="s">
        <v>1447</v>
      </c>
      <c r="B1885" s="133" t="s">
        <v>5146</v>
      </c>
      <c r="C1885" s="185" t="s">
        <v>3023</v>
      </c>
      <c r="D1885" s="133" t="s">
        <v>5141</v>
      </c>
      <c r="E1885" s="134">
        <v>1</v>
      </c>
      <c r="F1885" s="135" t="s">
        <v>1449</v>
      </c>
      <c r="G1885" s="185" t="s">
        <v>15</v>
      </c>
      <c r="H1885" s="185" t="s">
        <v>15</v>
      </c>
      <c r="I1885" s="185" t="s">
        <v>15</v>
      </c>
      <c r="J1885" s="135" t="s">
        <v>1450</v>
      </c>
      <c r="K1885" s="186">
        <v>46.2</v>
      </c>
      <c r="L1885" s="187" t="s">
        <v>173</v>
      </c>
      <c r="M1885" s="187" t="s">
        <v>175</v>
      </c>
    </row>
    <row r="1886" spans="1:13" s="188" customFormat="1">
      <c r="A1886" s="185" t="s">
        <v>1447</v>
      </c>
      <c r="B1886" s="133" t="s">
        <v>5147</v>
      </c>
      <c r="C1886" s="185" t="s">
        <v>3023</v>
      </c>
      <c r="D1886" s="133" t="s">
        <v>5141</v>
      </c>
      <c r="E1886" s="134">
        <v>1</v>
      </c>
      <c r="F1886" s="135" t="s">
        <v>1449</v>
      </c>
      <c r="G1886" s="185" t="s">
        <v>15</v>
      </c>
      <c r="H1886" s="185" t="s">
        <v>15</v>
      </c>
      <c r="I1886" s="185" t="s">
        <v>15</v>
      </c>
      <c r="J1886" s="135" t="s">
        <v>1450</v>
      </c>
      <c r="K1886" s="186">
        <v>34.56</v>
      </c>
      <c r="L1886" s="187" t="s">
        <v>173</v>
      </c>
      <c r="M1886" s="187" t="s">
        <v>175</v>
      </c>
    </row>
    <row r="1887" spans="1:13" s="188" customFormat="1">
      <c r="A1887" s="185" t="s">
        <v>1447</v>
      </c>
      <c r="B1887" s="133" t="s">
        <v>5148</v>
      </c>
      <c r="C1887" s="185" t="s">
        <v>3023</v>
      </c>
      <c r="D1887" s="133" t="s">
        <v>5141</v>
      </c>
      <c r="E1887" s="134">
        <v>1</v>
      </c>
      <c r="F1887" s="135" t="s">
        <v>1449</v>
      </c>
      <c r="G1887" s="185" t="s">
        <v>15</v>
      </c>
      <c r="H1887" s="185" t="s">
        <v>15</v>
      </c>
      <c r="I1887" s="185" t="s">
        <v>15</v>
      </c>
      <c r="J1887" s="135" t="s">
        <v>1450</v>
      </c>
      <c r="K1887" s="186">
        <v>26.28</v>
      </c>
      <c r="L1887" s="187" t="s">
        <v>173</v>
      </c>
      <c r="M1887" s="187" t="s">
        <v>175</v>
      </c>
    </row>
    <row r="1888" spans="1:13" s="188" customFormat="1">
      <c r="A1888" s="185" t="s">
        <v>1447</v>
      </c>
      <c r="B1888" s="133" t="s">
        <v>5149</v>
      </c>
      <c r="C1888" s="185" t="s">
        <v>3023</v>
      </c>
      <c r="D1888" s="133" t="s">
        <v>5141</v>
      </c>
      <c r="E1888" s="134">
        <v>1</v>
      </c>
      <c r="F1888" s="135" t="s">
        <v>1449</v>
      </c>
      <c r="G1888" s="185" t="s">
        <v>15</v>
      </c>
      <c r="H1888" s="185" t="s">
        <v>15</v>
      </c>
      <c r="I1888" s="185" t="s">
        <v>15</v>
      </c>
      <c r="J1888" s="135" t="s">
        <v>1450</v>
      </c>
      <c r="K1888" s="186">
        <v>23.28</v>
      </c>
      <c r="L1888" s="187" t="s">
        <v>173</v>
      </c>
      <c r="M1888" s="187" t="s">
        <v>175</v>
      </c>
    </row>
    <row r="1889" spans="1:13" s="188" customFormat="1">
      <c r="A1889" s="185" t="s">
        <v>1447</v>
      </c>
      <c r="B1889" s="133" t="s">
        <v>5150</v>
      </c>
      <c r="C1889" s="185" t="s">
        <v>3023</v>
      </c>
      <c r="D1889" s="133" t="s">
        <v>5151</v>
      </c>
      <c r="E1889" s="134">
        <v>1</v>
      </c>
      <c r="F1889" s="135" t="s">
        <v>1449</v>
      </c>
      <c r="G1889" s="185" t="s">
        <v>15</v>
      </c>
      <c r="H1889" s="185" t="s">
        <v>15</v>
      </c>
      <c r="I1889" s="185" t="s">
        <v>15</v>
      </c>
      <c r="J1889" s="135" t="s">
        <v>1450</v>
      </c>
      <c r="K1889" s="186">
        <v>59.64</v>
      </c>
      <c r="L1889" s="187" t="s">
        <v>173</v>
      </c>
      <c r="M1889" s="187" t="s">
        <v>175</v>
      </c>
    </row>
    <row r="1890" spans="1:13" s="188" customFormat="1">
      <c r="A1890" s="185" t="s">
        <v>1447</v>
      </c>
      <c r="B1890" s="133" t="s">
        <v>5152</v>
      </c>
      <c r="C1890" s="185" t="s">
        <v>3023</v>
      </c>
      <c r="D1890" s="133" t="s">
        <v>5151</v>
      </c>
      <c r="E1890" s="134">
        <v>1</v>
      </c>
      <c r="F1890" s="135" t="s">
        <v>1449</v>
      </c>
      <c r="G1890" s="185" t="s">
        <v>15</v>
      </c>
      <c r="H1890" s="185" t="s">
        <v>15</v>
      </c>
      <c r="I1890" s="185" t="s">
        <v>15</v>
      </c>
      <c r="J1890" s="135" t="s">
        <v>1450</v>
      </c>
      <c r="K1890" s="186">
        <v>53.28</v>
      </c>
      <c r="L1890" s="187" t="s">
        <v>173</v>
      </c>
      <c r="M1890" s="187" t="s">
        <v>175</v>
      </c>
    </row>
    <row r="1891" spans="1:13" s="188" customFormat="1">
      <c r="A1891" s="185" t="s">
        <v>1447</v>
      </c>
      <c r="B1891" s="133" t="s">
        <v>5153</v>
      </c>
      <c r="C1891" s="185" t="s">
        <v>3023</v>
      </c>
      <c r="D1891" s="133" t="s">
        <v>5151</v>
      </c>
      <c r="E1891" s="134">
        <v>1</v>
      </c>
      <c r="F1891" s="135" t="s">
        <v>1449</v>
      </c>
      <c r="G1891" s="185" t="s">
        <v>15</v>
      </c>
      <c r="H1891" s="185" t="s">
        <v>15</v>
      </c>
      <c r="I1891" s="185" t="s">
        <v>15</v>
      </c>
      <c r="J1891" s="135" t="s">
        <v>1450</v>
      </c>
      <c r="K1891" s="186">
        <v>37.32</v>
      </c>
      <c r="L1891" s="187" t="s">
        <v>173</v>
      </c>
      <c r="M1891" s="187" t="s">
        <v>175</v>
      </c>
    </row>
    <row r="1892" spans="1:13" s="188" customFormat="1">
      <c r="A1892" s="185" t="s">
        <v>1447</v>
      </c>
      <c r="B1892" s="133" t="s">
        <v>5154</v>
      </c>
      <c r="C1892" s="185" t="s">
        <v>3023</v>
      </c>
      <c r="D1892" s="133" t="s">
        <v>5151</v>
      </c>
      <c r="E1892" s="134">
        <v>1</v>
      </c>
      <c r="F1892" s="135" t="s">
        <v>1449</v>
      </c>
      <c r="G1892" s="185" t="s">
        <v>15</v>
      </c>
      <c r="H1892" s="185" t="s">
        <v>15</v>
      </c>
      <c r="I1892" s="185" t="s">
        <v>15</v>
      </c>
      <c r="J1892" s="135" t="s">
        <v>1450</v>
      </c>
      <c r="K1892" s="186">
        <v>22.68</v>
      </c>
      <c r="L1892" s="187" t="s">
        <v>173</v>
      </c>
      <c r="M1892" s="187" t="s">
        <v>175</v>
      </c>
    </row>
    <row r="1893" spans="1:13" s="188" customFormat="1">
      <c r="A1893" s="185" t="s">
        <v>1447</v>
      </c>
      <c r="B1893" s="133" t="s">
        <v>5155</v>
      </c>
      <c r="C1893" s="185" t="s">
        <v>3023</v>
      </c>
      <c r="D1893" s="133" t="s">
        <v>5151</v>
      </c>
      <c r="E1893" s="134">
        <v>1</v>
      </c>
      <c r="F1893" s="135" t="s">
        <v>1449</v>
      </c>
      <c r="G1893" s="185" t="s">
        <v>15</v>
      </c>
      <c r="H1893" s="185" t="s">
        <v>15</v>
      </c>
      <c r="I1893" s="185" t="s">
        <v>15</v>
      </c>
      <c r="J1893" s="135" t="s">
        <v>1450</v>
      </c>
      <c r="K1893" s="186">
        <v>15.96</v>
      </c>
      <c r="L1893" s="187" t="s">
        <v>173</v>
      </c>
      <c r="M1893" s="187" t="s">
        <v>175</v>
      </c>
    </row>
    <row r="1894" spans="1:13" s="188" customFormat="1">
      <c r="A1894" s="185" t="s">
        <v>1447</v>
      </c>
      <c r="B1894" s="133" t="s">
        <v>5156</v>
      </c>
      <c r="C1894" s="185" t="s">
        <v>3023</v>
      </c>
      <c r="D1894" s="133" t="s">
        <v>5151</v>
      </c>
      <c r="E1894" s="134">
        <v>1</v>
      </c>
      <c r="F1894" s="135" t="s">
        <v>1449</v>
      </c>
      <c r="G1894" s="185" t="s">
        <v>15</v>
      </c>
      <c r="H1894" s="185" t="s">
        <v>15</v>
      </c>
      <c r="I1894" s="185" t="s">
        <v>15</v>
      </c>
      <c r="J1894" s="135" t="s">
        <v>1450</v>
      </c>
      <c r="K1894" s="186">
        <v>11.64</v>
      </c>
      <c r="L1894" s="187" t="s">
        <v>173</v>
      </c>
      <c r="M1894" s="187" t="s">
        <v>175</v>
      </c>
    </row>
    <row r="1895" spans="1:13" s="188" customFormat="1">
      <c r="A1895" s="185" t="s">
        <v>1447</v>
      </c>
      <c r="B1895" s="133" t="s">
        <v>5157</v>
      </c>
      <c r="C1895" s="185" t="s">
        <v>3023</v>
      </c>
      <c r="D1895" s="133" t="s">
        <v>5151</v>
      </c>
      <c r="E1895" s="134">
        <v>1</v>
      </c>
      <c r="F1895" s="135" t="s">
        <v>1449</v>
      </c>
      <c r="G1895" s="185" t="s">
        <v>15</v>
      </c>
      <c r="H1895" s="185" t="s">
        <v>15</v>
      </c>
      <c r="I1895" s="185" t="s">
        <v>15</v>
      </c>
      <c r="J1895" s="135" t="s">
        <v>1450</v>
      </c>
      <c r="K1895" s="186">
        <v>8.3999999999999986</v>
      </c>
      <c r="L1895" s="187" t="s">
        <v>173</v>
      </c>
      <c r="M1895" s="187" t="s">
        <v>175</v>
      </c>
    </row>
    <row r="1896" spans="1:13" s="188" customFormat="1">
      <c r="A1896" s="185" t="s">
        <v>1447</v>
      </c>
      <c r="B1896" s="133" t="s">
        <v>5158</v>
      </c>
      <c r="C1896" s="185" t="s">
        <v>3023</v>
      </c>
      <c r="D1896" s="133" t="s">
        <v>5151</v>
      </c>
      <c r="E1896" s="134">
        <v>1</v>
      </c>
      <c r="F1896" s="135" t="s">
        <v>1449</v>
      </c>
      <c r="G1896" s="185" t="s">
        <v>15</v>
      </c>
      <c r="H1896" s="185" t="s">
        <v>15</v>
      </c>
      <c r="I1896" s="185" t="s">
        <v>15</v>
      </c>
      <c r="J1896" s="135" t="s">
        <v>1450</v>
      </c>
      <c r="K1896" s="186">
        <v>6.7200000000000006</v>
      </c>
      <c r="L1896" s="187" t="s">
        <v>173</v>
      </c>
      <c r="M1896" s="187" t="s">
        <v>175</v>
      </c>
    </row>
    <row r="1897" spans="1:13" s="188" customFormat="1">
      <c r="A1897" s="185" t="s">
        <v>1447</v>
      </c>
      <c r="B1897" s="133" t="s">
        <v>5159</v>
      </c>
      <c r="C1897" s="185" t="s">
        <v>3023</v>
      </c>
      <c r="D1897" s="133" t="s">
        <v>5151</v>
      </c>
      <c r="E1897" s="134">
        <v>1</v>
      </c>
      <c r="F1897" s="135" t="s">
        <v>1449</v>
      </c>
      <c r="G1897" s="185" t="s">
        <v>15</v>
      </c>
      <c r="H1897" s="185" t="s">
        <v>15</v>
      </c>
      <c r="I1897" s="185" t="s">
        <v>15</v>
      </c>
      <c r="J1897" s="135" t="s">
        <v>1450</v>
      </c>
      <c r="K1897" s="186">
        <v>6.24</v>
      </c>
      <c r="L1897" s="187" t="s">
        <v>173</v>
      </c>
      <c r="M1897" s="187" t="s">
        <v>175</v>
      </c>
    </row>
    <row r="1898" spans="1:13" s="188" customFormat="1">
      <c r="A1898" s="185" t="s">
        <v>1447</v>
      </c>
      <c r="B1898" s="133" t="s">
        <v>5160</v>
      </c>
      <c r="C1898" s="185" t="s">
        <v>3023</v>
      </c>
      <c r="D1898" s="133" t="s">
        <v>5161</v>
      </c>
      <c r="E1898" s="134">
        <v>1</v>
      </c>
      <c r="F1898" s="135" t="s">
        <v>1449</v>
      </c>
      <c r="G1898" s="185" t="s">
        <v>15</v>
      </c>
      <c r="H1898" s="185" t="s">
        <v>15</v>
      </c>
      <c r="I1898" s="185" t="s">
        <v>15</v>
      </c>
      <c r="J1898" s="135" t="s">
        <v>1450</v>
      </c>
      <c r="K1898" s="186">
        <v>59.64</v>
      </c>
      <c r="L1898" s="187" t="s">
        <v>173</v>
      </c>
      <c r="M1898" s="187" t="s">
        <v>175</v>
      </c>
    </row>
    <row r="1899" spans="1:13" s="188" customFormat="1">
      <c r="A1899" s="185" t="s">
        <v>1447</v>
      </c>
      <c r="B1899" s="133" t="s">
        <v>5162</v>
      </c>
      <c r="C1899" s="185" t="s">
        <v>3023</v>
      </c>
      <c r="D1899" s="133" t="s">
        <v>5161</v>
      </c>
      <c r="E1899" s="134">
        <v>1</v>
      </c>
      <c r="F1899" s="135" t="s">
        <v>1449</v>
      </c>
      <c r="G1899" s="185" t="s">
        <v>15</v>
      </c>
      <c r="H1899" s="185" t="s">
        <v>15</v>
      </c>
      <c r="I1899" s="185" t="s">
        <v>15</v>
      </c>
      <c r="J1899" s="135" t="s">
        <v>1450</v>
      </c>
      <c r="K1899" s="186">
        <v>53.28</v>
      </c>
      <c r="L1899" s="187" t="s">
        <v>173</v>
      </c>
      <c r="M1899" s="187" t="s">
        <v>175</v>
      </c>
    </row>
    <row r="1900" spans="1:13" s="188" customFormat="1">
      <c r="A1900" s="185" t="s">
        <v>1447</v>
      </c>
      <c r="B1900" s="133" t="s">
        <v>5163</v>
      </c>
      <c r="C1900" s="185" t="s">
        <v>3023</v>
      </c>
      <c r="D1900" s="133" t="s">
        <v>5161</v>
      </c>
      <c r="E1900" s="134">
        <v>1</v>
      </c>
      <c r="F1900" s="135" t="s">
        <v>1449</v>
      </c>
      <c r="G1900" s="185" t="s">
        <v>15</v>
      </c>
      <c r="H1900" s="185" t="s">
        <v>15</v>
      </c>
      <c r="I1900" s="185" t="s">
        <v>15</v>
      </c>
      <c r="J1900" s="135" t="s">
        <v>1450</v>
      </c>
      <c r="K1900" s="186">
        <v>37.32</v>
      </c>
      <c r="L1900" s="187" t="s">
        <v>173</v>
      </c>
      <c r="M1900" s="187" t="s">
        <v>175</v>
      </c>
    </row>
    <row r="1901" spans="1:13" s="188" customFormat="1">
      <c r="A1901" s="185" t="s">
        <v>1447</v>
      </c>
      <c r="B1901" s="133" t="s">
        <v>5164</v>
      </c>
      <c r="C1901" s="185" t="s">
        <v>3023</v>
      </c>
      <c r="D1901" s="133" t="s">
        <v>5161</v>
      </c>
      <c r="E1901" s="134">
        <v>1</v>
      </c>
      <c r="F1901" s="135" t="s">
        <v>1449</v>
      </c>
      <c r="G1901" s="185" t="s">
        <v>15</v>
      </c>
      <c r="H1901" s="185" t="s">
        <v>15</v>
      </c>
      <c r="I1901" s="185" t="s">
        <v>15</v>
      </c>
      <c r="J1901" s="135" t="s">
        <v>1450</v>
      </c>
      <c r="K1901" s="186">
        <v>22.68</v>
      </c>
      <c r="L1901" s="187" t="s">
        <v>173</v>
      </c>
      <c r="M1901" s="187" t="s">
        <v>175</v>
      </c>
    </row>
    <row r="1902" spans="1:13" s="188" customFormat="1">
      <c r="A1902" s="185" t="s">
        <v>1447</v>
      </c>
      <c r="B1902" s="133" t="s">
        <v>5165</v>
      </c>
      <c r="C1902" s="185" t="s">
        <v>3023</v>
      </c>
      <c r="D1902" s="133" t="s">
        <v>5161</v>
      </c>
      <c r="E1902" s="134">
        <v>1</v>
      </c>
      <c r="F1902" s="135" t="s">
        <v>1449</v>
      </c>
      <c r="G1902" s="185" t="s">
        <v>15</v>
      </c>
      <c r="H1902" s="185" t="s">
        <v>15</v>
      </c>
      <c r="I1902" s="185" t="s">
        <v>15</v>
      </c>
      <c r="J1902" s="135" t="s">
        <v>1450</v>
      </c>
      <c r="K1902" s="186">
        <v>15.96</v>
      </c>
      <c r="L1902" s="187" t="s">
        <v>173</v>
      </c>
      <c r="M1902" s="187" t="s">
        <v>175</v>
      </c>
    </row>
    <row r="1903" spans="1:13" s="188" customFormat="1">
      <c r="A1903" s="185" t="s">
        <v>1447</v>
      </c>
      <c r="B1903" s="133" t="s">
        <v>5166</v>
      </c>
      <c r="C1903" s="185" t="s">
        <v>3023</v>
      </c>
      <c r="D1903" s="133" t="s">
        <v>5161</v>
      </c>
      <c r="E1903" s="134">
        <v>1</v>
      </c>
      <c r="F1903" s="135" t="s">
        <v>1449</v>
      </c>
      <c r="G1903" s="185" t="s">
        <v>15</v>
      </c>
      <c r="H1903" s="185" t="s">
        <v>15</v>
      </c>
      <c r="I1903" s="185" t="s">
        <v>15</v>
      </c>
      <c r="J1903" s="135" t="s">
        <v>1450</v>
      </c>
      <c r="K1903" s="186">
        <v>11.64</v>
      </c>
      <c r="L1903" s="187" t="s">
        <v>173</v>
      </c>
      <c r="M1903" s="187" t="s">
        <v>175</v>
      </c>
    </row>
    <row r="1904" spans="1:13" s="188" customFormat="1">
      <c r="A1904" s="185" t="s">
        <v>1447</v>
      </c>
      <c r="B1904" s="133" t="s">
        <v>5167</v>
      </c>
      <c r="C1904" s="185" t="s">
        <v>3023</v>
      </c>
      <c r="D1904" s="133" t="s">
        <v>5161</v>
      </c>
      <c r="E1904" s="134">
        <v>1</v>
      </c>
      <c r="F1904" s="135" t="s">
        <v>1449</v>
      </c>
      <c r="G1904" s="185" t="s">
        <v>15</v>
      </c>
      <c r="H1904" s="185" t="s">
        <v>15</v>
      </c>
      <c r="I1904" s="185" t="s">
        <v>15</v>
      </c>
      <c r="J1904" s="135" t="s">
        <v>1450</v>
      </c>
      <c r="K1904" s="186">
        <v>8.3999999999999986</v>
      </c>
      <c r="L1904" s="187" t="s">
        <v>173</v>
      </c>
      <c r="M1904" s="187" t="s">
        <v>175</v>
      </c>
    </row>
    <row r="1905" spans="1:13" s="188" customFormat="1">
      <c r="A1905" s="185" t="s">
        <v>1447</v>
      </c>
      <c r="B1905" s="133" t="s">
        <v>5168</v>
      </c>
      <c r="C1905" s="185" t="s">
        <v>3023</v>
      </c>
      <c r="D1905" s="133" t="s">
        <v>5161</v>
      </c>
      <c r="E1905" s="134">
        <v>1</v>
      </c>
      <c r="F1905" s="135" t="s">
        <v>1449</v>
      </c>
      <c r="G1905" s="185" t="s">
        <v>15</v>
      </c>
      <c r="H1905" s="185" t="s">
        <v>15</v>
      </c>
      <c r="I1905" s="185" t="s">
        <v>15</v>
      </c>
      <c r="J1905" s="135" t="s">
        <v>1450</v>
      </c>
      <c r="K1905" s="186">
        <v>6.7200000000000006</v>
      </c>
      <c r="L1905" s="187" t="s">
        <v>173</v>
      </c>
      <c r="M1905" s="187" t="s">
        <v>175</v>
      </c>
    </row>
    <row r="1906" spans="1:13" s="188" customFormat="1">
      <c r="A1906" s="185" t="s">
        <v>1447</v>
      </c>
      <c r="B1906" s="133" t="s">
        <v>5169</v>
      </c>
      <c r="C1906" s="185" t="s">
        <v>3023</v>
      </c>
      <c r="D1906" s="133" t="s">
        <v>5161</v>
      </c>
      <c r="E1906" s="134">
        <v>1</v>
      </c>
      <c r="F1906" s="135" t="s">
        <v>1449</v>
      </c>
      <c r="G1906" s="185" t="s">
        <v>15</v>
      </c>
      <c r="H1906" s="185" t="s">
        <v>15</v>
      </c>
      <c r="I1906" s="185" t="s">
        <v>15</v>
      </c>
      <c r="J1906" s="135" t="s">
        <v>1450</v>
      </c>
      <c r="K1906" s="186">
        <v>6.24</v>
      </c>
      <c r="L1906" s="187" t="s">
        <v>173</v>
      </c>
      <c r="M1906" s="187" t="s">
        <v>175</v>
      </c>
    </row>
    <row r="1907" spans="1:13" s="188" customFormat="1">
      <c r="A1907" s="185" t="s">
        <v>1447</v>
      </c>
      <c r="B1907" s="133" t="s">
        <v>5170</v>
      </c>
      <c r="C1907" s="185" t="s">
        <v>3023</v>
      </c>
      <c r="D1907" s="133" t="s">
        <v>5171</v>
      </c>
      <c r="E1907" s="134">
        <v>1</v>
      </c>
      <c r="F1907" s="135" t="s">
        <v>1449</v>
      </c>
      <c r="G1907" s="185" t="s">
        <v>15</v>
      </c>
      <c r="H1907" s="185" t="s">
        <v>15</v>
      </c>
      <c r="I1907" s="185" t="s">
        <v>15</v>
      </c>
      <c r="J1907" s="135" t="s">
        <v>1450</v>
      </c>
      <c r="K1907" s="186">
        <v>48</v>
      </c>
      <c r="L1907" s="187" t="s">
        <v>173</v>
      </c>
      <c r="M1907" s="187" t="s">
        <v>175</v>
      </c>
    </row>
    <row r="1908" spans="1:13" s="188" customFormat="1">
      <c r="A1908" s="185" t="s">
        <v>1447</v>
      </c>
      <c r="B1908" s="133" t="s">
        <v>5172</v>
      </c>
      <c r="C1908" s="185" t="s">
        <v>3023</v>
      </c>
      <c r="D1908" s="133" t="s">
        <v>5171</v>
      </c>
      <c r="E1908" s="134">
        <v>1</v>
      </c>
      <c r="F1908" s="135" t="s">
        <v>1449</v>
      </c>
      <c r="G1908" s="185" t="s">
        <v>15</v>
      </c>
      <c r="H1908" s="185" t="s">
        <v>15</v>
      </c>
      <c r="I1908" s="185" t="s">
        <v>15</v>
      </c>
      <c r="J1908" s="135" t="s">
        <v>1450</v>
      </c>
      <c r="K1908" s="186">
        <v>30</v>
      </c>
      <c r="L1908" s="187" t="s">
        <v>173</v>
      </c>
      <c r="M1908" s="187" t="s">
        <v>175</v>
      </c>
    </row>
    <row r="1909" spans="1:13" s="188" customFormat="1">
      <c r="A1909" s="185" t="s">
        <v>1447</v>
      </c>
      <c r="B1909" s="133" t="s">
        <v>5173</v>
      </c>
      <c r="C1909" s="185" t="s">
        <v>3023</v>
      </c>
      <c r="D1909" s="133" t="s">
        <v>5171</v>
      </c>
      <c r="E1909" s="134">
        <v>1</v>
      </c>
      <c r="F1909" s="135" t="s">
        <v>1449</v>
      </c>
      <c r="G1909" s="185" t="s">
        <v>15</v>
      </c>
      <c r="H1909" s="185" t="s">
        <v>15</v>
      </c>
      <c r="I1909" s="185" t="s">
        <v>15</v>
      </c>
      <c r="J1909" s="135" t="s">
        <v>1450</v>
      </c>
      <c r="K1909" s="186">
        <v>13.799999999999999</v>
      </c>
      <c r="L1909" s="187" t="s">
        <v>173</v>
      </c>
      <c r="M1909" s="187" t="s">
        <v>175</v>
      </c>
    </row>
    <row r="1910" spans="1:13" s="188" customFormat="1">
      <c r="A1910" s="185" t="s">
        <v>1447</v>
      </c>
      <c r="B1910" s="133" t="s">
        <v>5174</v>
      </c>
      <c r="C1910" s="185" t="s">
        <v>3023</v>
      </c>
      <c r="D1910" s="133" t="s">
        <v>5171</v>
      </c>
      <c r="E1910" s="134">
        <v>1</v>
      </c>
      <c r="F1910" s="135" t="s">
        <v>1449</v>
      </c>
      <c r="G1910" s="185" t="s">
        <v>15</v>
      </c>
      <c r="H1910" s="185" t="s">
        <v>15</v>
      </c>
      <c r="I1910" s="185" t="s">
        <v>15</v>
      </c>
      <c r="J1910" s="135" t="s">
        <v>1450</v>
      </c>
      <c r="K1910" s="186">
        <v>12</v>
      </c>
      <c r="L1910" s="187" t="s">
        <v>173</v>
      </c>
      <c r="M1910" s="187" t="s">
        <v>175</v>
      </c>
    </row>
    <row r="1911" spans="1:13" s="188" customFormat="1">
      <c r="A1911" s="185" t="s">
        <v>1447</v>
      </c>
      <c r="B1911" s="133" t="s">
        <v>5175</v>
      </c>
      <c r="C1911" s="185" t="s">
        <v>3023</v>
      </c>
      <c r="D1911" s="133" t="s">
        <v>5171</v>
      </c>
      <c r="E1911" s="134">
        <v>1</v>
      </c>
      <c r="F1911" s="135" t="s">
        <v>1449</v>
      </c>
      <c r="G1911" s="185" t="s">
        <v>15</v>
      </c>
      <c r="H1911" s="185" t="s">
        <v>15</v>
      </c>
      <c r="I1911" s="185" t="s">
        <v>15</v>
      </c>
      <c r="J1911" s="135" t="s">
        <v>1450</v>
      </c>
      <c r="K1911" s="186">
        <v>8.3999999999999986</v>
      </c>
      <c r="L1911" s="187" t="s">
        <v>173</v>
      </c>
      <c r="M1911" s="187" t="s">
        <v>175</v>
      </c>
    </row>
    <row r="1912" spans="1:13" s="188" customFormat="1">
      <c r="A1912" s="185" t="s">
        <v>1447</v>
      </c>
      <c r="B1912" s="133" t="s">
        <v>5176</v>
      </c>
      <c r="C1912" s="185" t="s">
        <v>3023</v>
      </c>
      <c r="D1912" s="133" t="s">
        <v>5171</v>
      </c>
      <c r="E1912" s="134">
        <v>1</v>
      </c>
      <c r="F1912" s="135" t="s">
        <v>1449</v>
      </c>
      <c r="G1912" s="185" t="s">
        <v>15</v>
      </c>
      <c r="H1912" s="185" t="s">
        <v>15</v>
      </c>
      <c r="I1912" s="185" t="s">
        <v>15</v>
      </c>
      <c r="J1912" s="135" t="s">
        <v>1450</v>
      </c>
      <c r="K1912" s="186">
        <v>7.8000000000000007</v>
      </c>
      <c r="L1912" s="187" t="s">
        <v>173</v>
      </c>
      <c r="M1912" s="187" t="s">
        <v>175</v>
      </c>
    </row>
    <row r="1913" spans="1:13" s="188" customFormat="1">
      <c r="A1913" s="185" t="s">
        <v>1447</v>
      </c>
      <c r="B1913" s="133" t="s">
        <v>5177</v>
      </c>
      <c r="C1913" s="185" t="s">
        <v>3023</v>
      </c>
      <c r="D1913" s="133" t="s">
        <v>5171</v>
      </c>
      <c r="E1913" s="134">
        <v>1</v>
      </c>
      <c r="F1913" s="135" t="s">
        <v>1449</v>
      </c>
      <c r="G1913" s="185" t="s">
        <v>15</v>
      </c>
      <c r="H1913" s="185" t="s">
        <v>15</v>
      </c>
      <c r="I1913" s="185" t="s">
        <v>15</v>
      </c>
      <c r="J1913" s="135" t="s">
        <v>1450</v>
      </c>
      <c r="K1913" s="186">
        <v>6</v>
      </c>
      <c r="L1913" s="187" t="s">
        <v>173</v>
      </c>
      <c r="M1913" s="187" t="s">
        <v>175</v>
      </c>
    </row>
    <row r="1914" spans="1:13" s="188" customFormat="1">
      <c r="A1914" s="185" t="s">
        <v>1447</v>
      </c>
      <c r="B1914" s="133" t="s">
        <v>5178</v>
      </c>
      <c r="C1914" s="185" t="s">
        <v>3023</v>
      </c>
      <c r="D1914" s="133" t="s">
        <v>5171</v>
      </c>
      <c r="E1914" s="134">
        <v>1</v>
      </c>
      <c r="F1914" s="135" t="s">
        <v>1449</v>
      </c>
      <c r="G1914" s="185" t="s">
        <v>15</v>
      </c>
      <c r="H1914" s="185" t="s">
        <v>15</v>
      </c>
      <c r="I1914" s="185" t="s">
        <v>15</v>
      </c>
      <c r="J1914" s="135" t="s">
        <v>1450</v>
      </c>
      <c r="K1914" s="186">
        <v>4.5600000000000005</v>
      </c>
      <c r="L1914" s="187" t="s">
        <v>173</v>
      </c>
      <c r="M1914" s="187" t="s">
        <v>175</v>
      </c>
    </row>
    <row r="1915" spans="1:13" s="188" customFormat="1">
      <c r="A1915" s="185" t="s">
        <v>1447</v>
      </c>
      <c r="B1915" s="133" t="s">
        <v>5179</v>
      </c>
      <c r="C1915" s="185" t="s">
        <v>3023</v>
      </c>
      <c r="D1915" s="133" t="s">
        <v>5171</v>
      </c>
      <c r="E1915" s="134">
        <v>1</v>
      </c>
      <c r="F1915" s="135" t="s">
        <v>1449</v>
      </c>
      <c r="G1915" s="185" t="s">
        <v>15</v>
      </c>
      <c r="H1915" s="185" t="s">
        <v>15</v>
      </c>
      <c r="I1915" s="185" t="s">
        <v>15</v>
      </c>
      <c r="J1915" s="135" t="s">
        <v>1450</v>
      </c>
      <c r="K1915" s="186">
        <v>3.96</v>
      </c>
      <c r="L1915" s="187" t="s">
        <v>173</v>
      </c>
      <c r="M1915" s="187" t="s">
        <v>175</v>
      </c>
    </row>
    <row r="1916" spans="1:13" s="188" customFormat="1">
      <c r="A1916" s="185" t="s">
        <v>1447</v>
      </c>
      <c r="B1916" s="133" t="s">
        <v>5180</v>
      </c>
      <c r="C1916" s="185" t="s">
        <v>3023</v>
      </c>
      <c r="D1916" s="133" t="s">
        <v>5181</v>
      </c>
      <c r="E1916" s="134">
        <v>1</v>
      </c>
      <c r="F1916" s="135" t="s">
        <v>1449</v>
      </c>
      <c r="G1916" s="185" t="s">
        <v>15</v>
      </c>
      <c r="H1916" s="185" t="s">
        <v>15</v>
      </c>
      <c r="I1916" s="185" t="s">
        <v>15</v>
      </c>
      <c r="J1916" s="135" t="s">
        <v>1450</v>
      </c>
      <c r="K1916" s="186">
        <v>23.04</v>
      </c>
      <c r="L1916" s="187" t="s">
        <v>173</v>
      </c>
      <c r="M1916" s="187" t="s">
        <v>175</v>
      </c>
    </row>
    <row r="1917" spans="1:13" s="188" customFormat="1">
      <c r="A1917" s="185" t="s">
        <v>1447</v>
      </c>
      <c r="B1917" s="133" t="s">
        <v>5182</v>
      </c>
      <c r="C1917" s="185" t="s">
        <v>3023</v>
      </c>
      <c r="D1917" s="133" t="s">
        <v>5181</v>
      </c>
      <c r="E1917" s="134">
        <v>1</v>
      </c>
      <c r="F1917" s="135" t="s">
        <v>1449</v>
      </c>
      <c r="G1917" s="185" t="s">
        <v>15</v>
      </c>
      <c r="H1917" s="185" t="s">
        <v>15</v>
      </c>
      <c r="I1917" s="185" t="s">
        <v>15</v>
      </c>
      <c r="J1917" s="135" t="s">
        <v>1450</v>
      </c>
      <c r="K1917" s="186">
        <v>14.16</v>
      </c>
      <c r="L1917" s="187" t="s">
        <v>173</v>
      </c>
      <c r="M1917" s="187" t="s">
        <v>175</v>
      </c>
    </row>
    <row r="1918" spans="1:13" s="188" customFormat="1">
      <c r="A1918" s="185" t="s">
        <v>1447</v>
      </c>
      <c r="B1918" s="133" t="s">
        <v>5183</v>
      </c>
      <c r="C1918" s="185" t="s">
        <v>3023</v>
      </c>
      <c r="D1918" s="133" t="s">
        <v>5181</v>
      </c>
      <c r="E1918" s="134">
        <v>1</v>
      </c>
      <c r="F1918" s="135" t="s">
        <v>1449</v>
      </c>
      <c r="G1918" s="185" t="s">
        <v>15</v>
      </c>
      <c r="H1918" s="185" t="s">
        <v>15</v>
      </c>
      <c r="I1918" s="185" t="s">
        <v>15</v>
      </c>
      <c r="J1918" s="135" t="s">
        <v>1450</v>
      </c>
      <c r="K1918" s="186">
        <v>6.6000000000000005</v>
      </c>
      <c r="L1918" s="187" t="s">
        <v>173</v>
      </c>
      <c r="M1918" s="187" t="s">
        <v>175</v>
      </c>
    </row>
    <row r="1919" spans="1:13" s="188" customFormat="1">
      <c r="A1919" s="185" t="s">
        <v>1447</v>
      </c>
      <c r="B1919" s="133" t="s">
        <v>5184</v>
      </c>
      <c r="C1919" s="185" t="s">
        <v>3023</v>
      </c>
      <c r="D1919" s="133" t="s">
        <v>5181</v>
      </c>
      <c r="E1919" s="134">
        <v>1</v>
      </c>
      <c r="F1919" s="135" t="s">
        <v>1449</v>
      </c>
      <c r="G1919" s="185" t="s">
        <v>15</v>
      </c>
      <c r="H1919" s="185" t="s">
        <v>15</v>
      </c>
      <c r="I1919" s="185" t="s">
        <v>15</v>
      </c>
      <c r="J1919" s="135" t="s">
        <v>1450</v>
      </c>
      <c r="K1919" s="186">
        <v>5.5200000000000005</v>
      </c>
      <c r="L1919" s="187" t="s">
        <v>173</v>
      </c>
      <c r="M1919" s="187" t="s">
        <v>175</v>
      </c>
    </row>
    <row r="1920" spans="1:13" s="188" customFormat="1">
      <c r="A1920" s="185" t="s">
        <v>1447</v>
      </c>
      <c r="B1920" s="133" t="s">
        <v>5185</v>
      </c>
      <c r="C1920" s="185" t="s">
        <v>3023</v>
      </c>
      <c r="D1920" s="133" t="s">
        <v>5181</v>
      </c>
      <c r="E1920" s="134">
        <v>1</v>
      </c>
      <c r="F1920" s="135" t="s">
        <v>1449</v>
      </c>
      <c r="G1920" s="185" t="s">
        <v>15</v>
      </c>
      <c r="H1920" s="185" t="s">
        <v>15</v>
      </c>
      <c r="I1920" s="185" t="s">
        <v>15</v>
      </c>
      <c r="J1920" s="135" t="s">
        <v>1450</v>
      </c>
      <c r="K1920" s="186">
        <v>4.08</v>
      </c>
      <c r="L1920" s="187" t="s">
        <v>173</v>
      </c>
      <c r="M1920" s="187" t="s">
        <v>175</v>
      </c>
    </row>
    <row r="1921" spans="1:13" s="188" customFormat="1">
      <c r="A1921" s="185" t="s">
        <v>1447</v>
      </c>
      <c r="B1921" s="133" t="s">
        <v>5186</v>
      </c>
      <c r="C1921" s="185" t="s">
        <v>3023</v>
      </c>
      <c r="D1921" s="133" t="s">
        <v>5181</v>
      </c>
      <c r="E1921" s="134">
        <v>1</v>
      </c>
      <c r="F1921" s="135" t="s">
        <v>1449</v>
      </c>
      <c r="G1921" s="185" t="s">
        <v>15</v>
      </c>
      <c r="H1921" s="185" t="s">
        <v>15</v>
      </c>
      <c r="I1921" s="185" t="s">
        <v>15</v>
      </c>
      <c r="J1921" s="135" t="s">
        <v>1450</v>
      </c>
      <c r="K1921" s="186">
        <v>3.5999999999999996</v>
      </c>
      <c r="L1921" s="187" t="s">
        <v>173</v>
      </c>
      <c r="M1921" s="187" t="s">
        <v>175</v>
      </c>
    </row>
    <row r="1922" spans="1:13" s="188" customFormat="1">
      <c r="A1922" s="185" t="s">
        <v>1447</v>
      </c>
      <c r="B1922" s="133" t="s">
        <v>5187</v>
      </c>
      <c r="C1922" s="185" t="s">
        <v>3023</v>
      </c>
      <c r="D1922" s="133" t="s">
        <v>5181</v>
      </c>
      <c r="E1922" s="134">
        <v>1</v>
      </c>
      <c r="F1922" s="135" t="s">
        <v>1449</v>
      </c>
      <c r="G1922" s="185" t="s">
        <v>15</v>
      </c>
      <c r="H1922" s="185" t="s">
        <v>15</v>
      </c>
      <c r="I1922" s="185" t="s">
        <v>15</v>
      </c>
      <c r="J1922" s="135" t="s">
        <v>1450</v>
      </c>
      <c r="K1922" s="186">
        <v>2.88</v>
      </c>
      <c r="L1922" s="187" t="s">
        <v>173</v>
      </c>
      <c r="M1922" s="187" t="s">
        <v>175</v>
      </c>
    </row>
    <row r="1923" spans="1:13" s="188" customFormat="1">
      <c r="A1923" s="185" t="s">
        <v>1447</v>
      </c>
      <c r="B1923" s="133" t="s">
        <v>5188</v>
      </c>
      <c r="C1923" s="185" t="s">
        <v>3023</v>
      </c>
      <c r="D1923" s="133" t="s">
        <v>5181</v>
      </c>
      <c r="E1923" s="134">
        <v>1</v>
      </c>
      <c r="F1923" s="135" t="s">
        <v>1449</v>
      </c>
      <c r="G1923" s="185" t="s">
        <v>15</v>
      </c>
      <c r="H1923" s="185" t="s">
        <v>15</v>
      </c>
      <c r="I1923" s="185" t="s">
        <v>15</v>
      </c>
      <c r="J1923" s="135" t="s">
        <v>1450</v>
      </c>
      <c r="K1923" s="186">
        <v>2.16</v>
      </c>
      <c r="L1923" s="187" t="s">
        <v>173</v>
      </c>
      <c r="M1923" s="187" t="s">
        <v>175</v>
      </c>
    </row>
    <row r="1924" spans="1:13" s="188" customFormat="1">
      <c r="A1924" s="185" t="s">
        <v>1447</v>
      </c>
      <c r="B1924" s="133" t="s">
        <v>5189</v>
      </c>
      <c r="C1924" s="185" t="s">
        <v>3023</v>
      </c>
      <c r="D1924" s="133" t="s">
        <v>5181</v>
      </c>
      <c r="E1924" s="134">
        <v>1</v>
      </c>
      <c r="F1924" s="135" t="s">
        <v>1449</v>
      </c>
      <c r="G1924" s="185" t="s">
        <v>15</v>
      </c>
      <c r="H1924" s="185" t="s">
        <v>15</v>
      </c>
      <c r="I1924" s="185" t="s">
        <v>15</v>
      </c>
      <c r="J1924" s="135" t="s">
        <v>1450</v>
      </c>
      <c r="K1924" s="186">
        <v>1.92</v>
      </c>
      <c r="L1924" s="187" t="s">
        <v>173</v>
      </c>
      <c r="M1924" s="187" t="s">
        <v>175</v>
      </c>
    </row>
    <row r="1925" spans="1:13" s="188" customFormat="1">
      <c r="A1925" s="185" t="s">
        <v>1447</v>
      </c>
      <c r="B1925" s="133" t="s">
        <v>5190</v>
      </c>
      <c r="C1925" s="185" t="s">
        <v>3023</v>
      </c>
      <c r="D1925" s="133" t="s">
        <v>1635</v>
      </c>
      <c r="E1925" s="134">
        <v>1</v>
      </c>
      <c r="F1925" s="135" t="s">
        <v>1449</v>
      </c>
      <c r="G1925" s="185" t="s">
        <v>15</v>
      </c>
      <c r="H1925" s="185" t="s">
        <v>15</v>
      </c>
      <c r="I1925" s="185" t="s">
        <v>15</v>
      </c>
      <c r="J1925" s="135" t="s">
        <v>1450</v>
      </c>
      <c r="K1925" s="186">
        <v>27.96</v>
      </c>
      <c r="L1925" s="187" t="s">
        <v>173</v>
      </c>
      <c r="M1925" s="187" t="s">
        <v>175</v>
      </c>
    </row>
    <row r="1926" spans="1:13" s="188" customFormat="1">
      <c r="A1926" s="185" t="s">
        <v>1447</v>
      </c>
      <c r="B1926" s="133" t="s">
        <v>5191</v>
      </c>
      <c r="C1926" s="185" t="s">
        <v>3023</v>
      </c>
      <c r="D1926" s="133" t="s">
        <v>1635</v>
      </c>
      <c r="E1926" s="134">
        <v>1</v>
      </c>
      <c r="F1926" s="135" t="s">
        <v>1449</v>
      </c>
      <c r="G1926" s="185" t="s">
        <v>15</v>
      </c>
      <c r="H1926" s="185" t="s">
        <v>15</v>
      </c>
      <c r="I1926" s="185" t="s">
        <v>15</v>
      </c>
      <c r="J1926" s="135" t="s">
        <v>1450</v>
      </c>
      <c r="K1926" s="186">
        <v>24</v>
      </c>
      <c r="L1926" s="187" t="s">
        <v>173</v>
      </c>
      <c r="M1926" s="187" t="s">
        <v>175</v>
      </c>
    </row>
    <row r="1927" spans="1:13" s="188" customFormat="1">
      <c r="A1927" s="185" t="s">
        <v>1447</v>
      </c>
      <c r="B1927" s="133" t="s">
        <v>5192</v>
      </c>
      <c r="C1927" s="185" t="s">
        <v>3023</v>
      </c>
      <c r="D1927" s="133" t="s">
        <v>1635</v>
      </c>
      <c r="E1927" s="134">
        <v>1</v>
      </c>
      <c r="F1927" s="135" t="s">
        <v>1449</v>
      </c>
      <c r="G1927" s="185" t="s">
        <v>15</v>
      </c>
      <c r="H1927" s="185" t="s">
        <v>15</v>
      </c>
      <c r="I1927" s="185" t="s">
        <v>15</v>
      </c>
      <c r="J1927" s="135" t="s">
        <v>1450</v>
      </c>
      <c r="K1927" s="186">
        <v>18.96</v>
      </c>
      <c r="L1927" s="187" t="s">
        <v>173</v>
      </c>
      <c r="M1927" s="187" t="s">
        <v>175</v>
      </c>
    </row>
    <row r="1928" spans="1:13" s="188" customFormat="1">
      <c r="A1928" s="185" t="s">
        <v>1447</v>
      </c>
      <c r="B1928" s="133" t="s">
        <v>5193</v>
      </c>
      <c r="C1928" s="185" t="s">
        <v>3023</v>
      </c>
      <c r="D1928" s="133" t="s">
        <v>1635</v>
      </c>
      <c r="E1928" s="134">
        <v>1</v>
      </c>
      <c r="F1928" s="135" t="s">
        <v>1449</v>
      </c>
      <c r="G1928" s="185" t="s">
        <v>15</v>
      </c>
      <c r="H1928" s="185" t="s">
        <v>15</v>
      </c>
      <c r="I1928" s="185" t="s">
        <v>15</v>
      </c>
      <c r="J1928" s="135" t="s">
        <v>1450</v>
      </c>
      <c r="K1928" s="186">
        <v>18</v>
      </c>
      <c r="L1928" s="187" t="s">
        <v>173</v>
      </c>
      <c r="M1928" s="187" t="s">
        <v>175</v>
      </c>
    </row>
    <row r="1929" spans="1:13" s="188" customFormat="1">
      <c r="A1929" s="185" t="s">
        <v>1447</v>
      </c>
      <c r="B1929" s="133" t="s">
        <v>5194</v>
      </c>
      <c r="C1929" s="185" t="s">
        <v>3023</v>
      </c>
      <c r="D1929" s="133" t="s">
        <v>1635</v>
      </c>
      <c r="E1929" s="134">
        <v>1</v>
      </c>
      <c r="F1929" s="135" t="s">
        <v>1449</v>
      </c>
      <c r="G1929" s="185" t="s">
        <v>15</v>
      </c>
      <c r="H1929" s="185" t="s">
        <v>15</v>
      </c>
      <c r="I1929" s="185" t="s">
        <v>15</v>
      </c>
      <c r="J1929" s="135" t="s">
        <v>1450</v>
      </c>
      <c r="K1929" s="186">
        <v>17.04</v>
      </c>
      <c r="L1929" s="187" t="s">
        <v>173</v>
      </c>
      <c r="M1929" s="187" t="s">
        <v>175</v>
      </c>
    </row>
    <row r="1930" spans="1:13" s="188" customFormat="1">
      <c r="A1930" s="185" t="s">
        <v>1447</v>
      </c>
      <c r="B1930" s="133" t="s">
        <v>5195</v>
      </c>
      <c r="C1930" s="185" t="s">
        <v>3023</v>
      </c>
      <c r="D1930" s="133" t="s">
        <v>1635</v>
      </c>
      <c r="E1930" s="134">
        <v>1</v>
      </c>
      <c r="F1930" s="135" t="s">
        <v>1449</v>
      </c>
      <c r="G1930" s="185" t="s">
        <v>15</v>
      </c>
      <c r="H1930" s="185" t="s">
        <v>15</v>
      </c>
      <c r="I1930" s="185" t="s">
        <v>15</v>
      </c>
      <c r="J1930" s="135" t="s">
        <v>1450</v>
      </c>
      <c r="K1930" s="186">
        <v>15.96</v>
      </c>
      <c r="L1930" s="187" t="s">
        <v>173</v>
      </c>
      <c r="M1930" s="187" t="s">
        <v>175</v>
      </c>
    </row>
    <row r="1931" spans="1:13" s="188" customFormat="1">
      <c r="A1931" s="185" t="s">
        <v>1447</v>
      </c>
      <c r="B1931" s="133" t="s">
        <v>5196</v>
      </c>
      <c r="C1931" s="185" t="s">
        <v>3023</v>
      </c>
      <c r="D1931" s="133" t="s">
        <v>1635</v>
      </c>
      <c r="E1931" s="134">
        <v>1</v>
      </c>
      <c r="F1931" s="135" t="s">
        <v>1449</v>
      </c>
      <c r="G1931" s="185" t="s">
        <v>15</v>
      </c>
      <c r="H1931" s="185" t="s">
        <v>15</v>
      </c>
      <c r="I1931" s="185" t="s">
        <v>15</v>
      </c>
      <c r="J1931" s="135" t="s">
        <v>1450</v>
      </c>
      <c r="K1931" s="186">
        <v>15</v>
      </c>
      <c r="L1931" s="187" t="s">
        <v>173</v>
      </c>
      <c r="M1931" s="187" t="s">
        <v>175</v>
      </c>
    </row>
    <row r="1932" spans="1:13" s="188" customFormat="1">
      <c r="A1932" s="185" t="s">
        <v>1447</v>
      </c>
      <c r="B1932" s="133" t="s">
        <v>5197</v>
      </c>
      <c r="C1932" s="185" t="s">
        <v>3023</v>
      </c>
      <c r="D1932" s="133" t="s">
        <v>1635</v>
      </c>
      <c r="E1932" s="134">
        <v>1</v>
      </c>
      <c r="F1932" s="135" t="s">
        <v>1449</v>
      </c>
      <c r="G1932" s="185" t="s">
        <v>15</v>
      </c>
      <c r="H1932" s="185" t="s">
        <v>15</v>
      </c>
      <c r="I1932" s="185" t="s">
        <v>15</v>
      </c>
      <c r="J1932" s="135" t="s">
        <v>1450</v>
      </c>
      <c r="K1932" s="186">
        <v>14.04</v>
      </c>
      <c r="L1932" s="187" t="s">
        <v>173</v>
      </c>
      <c r="M1932" s="187" t="s">
        <v>175</v>
      </c>
    </row>
    <row r="1933" spans="1:13" s="188" customFormat="1">
      <c r="A1933" s="185" t="s">
        <v>1447</v>
      </c>
      <c r="B1933" s="133" t="s">
        <v>5198</v>
      </c>
      <c r="C1933" s="185" t="s">
        <v>3023</v>
      </c>
      <c r="D1933" s="133" t="s">
        <v>1635</v>
      </c>
      <c r="E1933" s="134">
        <v>1</v>
      </c>
      <c r="F1933" s="135" t="s">
        <v>1449</v>
      </c>
      <c r="G1933" s="185" t="s">
        <v>15</v>
      </c>
      <c r="H1933" s="185" t="s">
        <v>15</v>
      </c>
      <c r="I1933" s="185" t="s">
        <v>15</v>
      </c>
      <c r="J1933" s="135" t="s">
        <v>1450</v>
      </c>
      <c r="K1933" s="186">
        <v>12</v>
      </c>
      <c r="L1933" s="187" t="s">
        <v>173</v>
      </c>
      <c r="M1933" s="187" t="s">
        <v>175</v>
      </c>
    </row>
    <row r="1934" spans="1:13" s="188" customFormat="1">
      <c r="A1934" s="185" t="s">
        <v>1447</v>
      </c>
      <c r="B1934" s="133" t="s">
        <v>5199</v>
      </c>
      <c r="C1934" s="185" t="s">
        <v>3023</v>
      </c>
      <c r="D1934" s="133" t="s">
        <v>5200</v>
      </c>
      <c r="E1934" s="134">
        <v>1</v>
      </c>
      <c r="F1934" s="135" t="s">
        <v>1449</v>
      </c>
      <c r="G1934" s="185" t="s">
        <v>15</v>
      </c>
      <c r="H1934" s="185" t="s">
        <v>15</v>
      </c>
      <c r="I1934" s="185" t="s">
        <v>15</v>
      </c>
      <c r="J1934" s="135" t="s">
        <v>1450</v>
      </c>
      <c r="K1934" s="186">
        <v>725</v>
      </c>
      <c r="L1934" s="187" t="s">
        <v>173</v>
      </c>
      <c r="M1934" s="187" t="s">
        <v>175</v>
      </c>
    </row>
    <row r="1935" spans="1:13" s="188" customFormat="1">
      <c r="A1935" s="185" t="s">
        <v>1447</v>
      </c>
      <c r="B1935" s="133" t="s">
        <v>5201</v>
      </c>
      <c r="C1935" s="185" t="s">
        <v>3023</v>
      </c>
      <c r="D1935" s="133" t="s">
        <v>5200</v>
      </c>
      <c r="E1935" s="134">
        <v>1</v>
      </c>
      <c r="F1935" s="135" t="s">
        <v>1449</v>
      </c>
      <c r="G1935" s="185" t="s">
        <v>15</v>
      </c>
      <c r="H1935" s="185" t="s">
        <v>15</v>
      </c>
      <c r="I1935" s="185" t="s">
        <v>15</v>
      </c>
      <c r="J1935" s="135" t="s">
        <v>1450</v>
      </c>
      <c r="K1935" s="186">
        <v>610</v>
      </c>
      <c r="L1935" s="187" t="s">
        <v>173</v>
      </c>
      <c r="M1935" s="187" t="s">
        <v>175</v>
      </c>
    </row>
    <row r="1936" spans="1:13" s="188" customFormat="1">
      <c r="A1936" s="185" t="s">
        <v>1447</v>
      </c>
      <c r="B1936" s="133" t="s">
        <v>5202</v>
      </c>
      <c r="C1936" s="185" t="s">
        <v>3023</v>
      </c>
      <c r="D1936" s="133" t="s">
        <v>5200</v>
      </c>
      <c r="E1936" s="134">
        <v>1</v>
      </c>
      <c r="F1936" s="135" t="s">
        <v>1449</v>
      </c>
      <c r="G1936" s="185" t="s">
        <v>15</v>
      </c>
      <c r="H1936" s="185" t="s">
        <v>15</v>
      </c>
      <c r="I1936" s="185" t="s">
        <v>15</v>
      </c>
      <c r="J1936" s="135" t="s">
        <v>1450</v>
      </c>
      <c r="K1936" s="186">
        <v>550</v>
      </c>
      <c r="L1936" s="187" t="s">
        <v>173</v>
      </c>
      <c r="M1936" s="187" t="s">
        <v>175</v>
      </c>
    </row>
    <row r="1937" spans="1:13" s="188" customFormat="1">
      <c r="A1937" s="185" t="s">
        <v>1447</v>
      </c>
      <c r="B1937" s="133" t="s">
        <v>5203</v>
      </c>
      <c r="C1937" s="185" t="s">
        <v>3023</v>
      </c>
      <c r="D1937" s="133" t="s">
        <v>5200</v>
      </c>
      <c r="E1937" s="134">
        <v>1</v>
      </c>
      <c r="F1937" s="135" t="s">
        <v>1449</v>
      </c>
      <c r="G1937" s="185" t="s">
        <v>15</v>
      </c>
      <c r="H1937" s="185" t="s">
        <v>15</v>
      </c>
      <c r="I1937" s="185" t="s">
        <v>15</v>
      </c>
      <c r="J1937" s="135" t="s">
        <v>1450</v>
      </c>
      <c r="K1937" s="186">
        <v>500</v>
      </c>
      <c r="L1937" s="187" t="s">
        <v>173</v>
      </c>
      <c r="M1937" s="187" t="s">
        <v>175</v>
      </c>
    </row>
    <row r="1938" spans="1:13" s="188" customFormat="1">
      <c r="A1938" s="185" t="s">
        <v>1447</v>
      </c>
      <c r="B1938" s="133" t="s">
        <v>5204</v>
      </c>
      <c r="C1938" s="185" t="s">
        <v>3023</v>
      </c>
      <c r="D1938" s="133" t="s">
        <v>1636</v>
      </c>
      <c r="E1938" s="134">
        <v>1</v>
      </c>
      <c r="F1938" s="135" t="s">
        <v>1449</v>
      </c>
      <c r="G1938" s="185" t="s">
        <v>15</v>
      </c>
      <c r="H1938" s="185" t="s">
        <v>15</v>
      </c>
      <c r="I1938" s="185" t="s">
        <v>15</v>
      </c>
      <c r="J1938" s="135" t="s">
        <v>1450</v>
      </c>
      <c r="K1938" s="186">
        <v>50.04</v>
      </c>
      <c r="L1938" s="187" t="s">
        <v>173</v>
      </c>
      <c r="M1938" s="187" t="s">
        <v>175</v>
      </c>
    </row>
    <row r="1939" spans="1:13" s="188" customFormat="1">
      <c r="A1939" s="185" t="s">
        <v>1447</v>
      </c>
      <c r="B1939" s="133" t="s">
        <v>5205</v>
      </c>
      <c r="C1939" s="185" t="s">
        <v>3023</v>
      </c>
      <c r="D1939" s="133" t="s">
        <v>1636</v>
      </c>
      <c r="E1939" s="134">
        <v>1</v>
      </c>
      <c r="F1939" s="135" t="s">
        <v>1449</v>
      </c>
      <c r="G1939" s="185" t="s">
        <v>15</v>
      </c>
      <c r="H1939" s="185" t="s">
        <v>15</v>
      </c>
      <c r="I1939" s="185" t="s">
        <v>15</v>
      </c>
      <c r="J1939" s="135" t="s">
        <v>1450</v>
      </c>
      <c r="K1939" s="186">
        <v>42.96</v>
      </c>
      <c r="L1939" s="187" t="s">
        <v>173</v>
      </c>
      <c r="M1939" s="187" t="s">
        <v>175</v>
      </c>
    </row>
    <row r="1940" spans="1:13" s="188" customFormat="1">
      <c r="A1940" s="185" t="s">
        <v>1447</v>
      </c>
      <c r="B1940" s="133" t="s">
        <v>5206</v>
      </c>
      <c r="C1940" s="185" t="s">
        <v>3023</v>
      </c>
      <c r="D1940" s="133" t="s">
        <v>1636</v>
      </c>
      <c r="E1940" s="134">
        <v>1</v>
      </c>
      <c r="F1940" s="135" t="s">
        <v>1449</v>
      </c>
      <c r="G1940" s="185" t="s">
        <v>15</v>
      </c>
      <c r="H1940" s="185" t="s">
        <v>15</v>
      </c>
      <c r="I1940" s="185" t="s">
        <v>15</v>
      </c>
      <c r="J1940" s="135" t="s">
        <v>1450</v>
      </c>
      <c r="K1940" s="186">
        <v>33</v>
      </c>
      <c r="L1940" s="187" t="s">
        <v>173</v>
      </c>
      <c r="M1940" s="187" t="s">
        <v>175</v>
      </c>
    </row>
    <row r="1941" spans="1:13" s="188" customFormat="1">
      <c r="A1941" s="185" t="s">
        <v>1447</v>
      </c>
      <c r="B1941" s="133" t="s">
        <v>5207</v>
      </c>
      <c r="C1941" s="185" t="s">
        <v>3023</v>
      </c>
      <c r="D1941" s="133" t="s">
        <v>1636</v>
      </c>
      <c r="E1941" s="134">
        <v>1</v>
      </c>
      <c r="F1941" s="135" t="s">
        <v>1449</v>
      </c>
      <c r="G1941" s="185" t="s">
        <v>15</v>
      </c>
      <c r="H1941" s="185" t="s">
        <v>15</v>
      </c>
      <c r="I1941" s="185" t="s">
        <v>15</v>
      </c>
      <c r="J1941" s="135" t="s">
        <v>1450</v>
      </c>
      <c r="K1941" s="186">
        <v>30.96</v>
      </c>
      <c r="L1941" s="187" t="s">
        <v>173</v>
      </c>
      <c r="M1941" s="187" t="s">
        <v>175</v>
      </c>
    </row>
    <row r="1942" spans="1:13" s="188" customFormat="1">
      <c r="A1942" s="185" t="s">
        <v>1447</v>
      </c>
      <c r="B1942" s="133" t="s">
        <v>5208</v>
      </c>
      <c r="C1942" s="185" t="s">
        <v>3023</v>
      </c>
      <c r="D1942" s="133" t="s">
        <v>1636</v>
      </c>
      <c r="E1942" s="134">
        <v>1</v>
      </c>
      <c r="F1942" s="135" t="s">
        <v>1449</v>
      </c>
      <c r="G1942" s="185" t="s">
        <v>15</v>
      </c>
      <c r="H1942" s="185" t="s">
        <v>15</v>
      </c>
      <c r="I1942" s="185" t="s">
        <v>15</v>
      </c>
      <c r="J1942" s="135" t="s">
        <v>1450</v>
      </c>
      <c r="K1942" s="186">
        <v>30</v>
      </c>
      <c r="L1942" s="187" t="s">
        <v>173</v>
      </c>
      <c r="M1942" s="187" t="s">
        <v>175</v>
      </c>
    </row>
    <row r="1943" spans="1:13" s="188" customFormat="1">
      <c r="A1943" s="185" t="s">
        <v>1447</v>
      </c>
      <c r="B1943" s="133" t="s">
        <v>5209</v>
      </c>
      <c r="C1943" s="185" t="s">
        <v>3023</v>
      </c>
      <c r="D1943" s="133" t="s">
        <v>1636</v>
      </c>
      <c r="E1943" s="134">
        <v>1</v>
      </c>
      <c r="F1943" s="135" t="s">
        <v>1449</v>
      </c>
      <c r="G1943" s="185" t="s">
        <v>15</v>
      </c>
      <c r="H1943" s="185" t="s">
        <v>15</v>
      </c>
      <c r="I1943" s="185" t="s">
        <v>15</v>
      </c>
      <c r="J1943" s="135" t="s">
        <v>1450</v>
      </c>
      <c r="K1943" s="186">
        <v>29.04</v>
      </c>
      <c r="L1943" s="187" t="s">
        <v>173</v>
      </c>
      <c r="M1943" s="187" t="s">
        <v>175</v>
      </c>
    </row>
    <row r="1944" spans="1:13" s="188" customFormat="1">
      <c r="A1944" s="185" t="s">
        <v>1447</v>
      </c>
      <c r="B1944" s="133" t="s">
        <v>5210</v>
      </c>
      <c r="C1944" s="185" t="s">
        <v>3023</v>
      </c>
      <c r="D1944" s="133" t="s">
        <v>1636</v>
      </c>
      <c r="E1944" s="134">
        <v>1</v>
      </c>
      <c r="F1944" s="135" t="s">
        <v>1449</v>
      </c>
      <c r="G1944" s="185" t="s">
        <v>15</v>
      </c>
      <c r="H1944" s="185" t="s">
        <v>15</v>
      </c>
      <c r="I1944" s="185" t="s">
        <v>15</v>
      </c>
      <c r="J1944" s="135" t="s">
        <v>1450</v>
      </c>
      <c r="K1944" s="186">
        <v>27</v>
      </c>
      <c r="L1944" s="187" t="s">
        <v>173</v>
      </c>
      <c r="M1944" s="187" t="s">
        <v>175</v>
      </c>
    </row>
    <row r="1945" spans="1:13" s="188" customFormat="1">
      <c r="A1945" s="185" t="s">
        <v>1447</v>
      </c>
      <c r="B1945" s="133" t="s">
        <v>5211</v>
      </c>
      <c r="C1945" s="185" t="s">
        <v>3023</v>
      </c>
      <c r="D1945" s="133" t="s">
        <v>1636</v>
      </c>
      <c r="E1945" s="134">
        <v>1</v>
      </c>
      <c r="F1945" s="135" t="s">
        <v>1449</v>
      </c>
      <c r="G1945" s="185" t="s">
        <v>15</v>
      </c>
      <c r="H1945" s="185" t="s">
        <v>15</v>
      </c>
      <c r="I1945" s="185" t="s">
        <v>15</v>
      </c>
      <c r="J1945" s="135" t="s">
        <v>1450</v>
      </c>
      <c r="K1945" s="186">
        <v>24.96</v>
      </c>
      <c r="L1945" s="187" t="s">
        <v>173</v>
      </c>
      <c r="M1945" s="187" t="s">
        <v>175</v>
      </c>
    </row>
    <row r="1946" spans="1:13" s="188" customFormat="1">
      <c r="A1946" s="185" t="s">
        <v>1447</v>
      </c>
      <c r="B1946" s="133" t="s">
        <v>5212</v>
      </c>
      <c r="C1946" s="185" t="s">
        <v>3023</v>
      </c>
      <c r="D1946" s="133" t="s">
        <v>1636</v>
      </c>
      <c r="E1946" s="134">
        <v>1</v>
      </c>
      <c r="F1946" s="135" t="s">
        <v>1449</v>
      </c>
      <c r="G1946" s="185" t="s">
        <v>15</v>
      </c>
      <c r="H1946" s="185" t="s">
        <v>15</v>
      </c>
      <c r="I1946" s="185" t="s">
        <v>15</v>
      </c>
      <c r="J1946" s="135" t="s">
        <v>1450</v>
      </c>
      <c r="K1946" s="186">
        <v>21.96</v>
      </c>
      <c r="L1946" s="187" t="s">
        <v>173</v>
      </c>
      <c r="M1946" s="187" t="s">
        <v>175</v>
      </c>
    </row>
    <row r="1947" spans="1:13" s="188" customFormat="1">
      <c r="A1947" s="185" t="s">
        <v>1447</v>
      </c>
      <c r="B1947" s="133" t="s">
        <v>5213</v>
      </c>
      <c r="C1947" s="185" t="s">
        <v>3023</v>
      </c>
      <c r="D1947" s="133" t="s">
        <v>1637</v>
      </c>
      <c r="E1947" s="134">
        <v>1</v>
      </c>
      <c r="F1947" s="135" t="s">
        <v>1449</v>
      </c>
      <c r="G1947" s="185" t="s">
        <v>15</v>
      </c>
      <c r="H1947" s="185" t="s">
        <v>15</v>
      </c>
      <c r="I1947" s="185" t="s">
        <v>15</v>
      </c>
      <c r="J1947" s="135" t="s">
        <v>1450</v>
      </c>
      <c r="K1947" s="186">
        <v>27.96</v>
      </c>
      <c r="L1947" s="187" t="s">
        <v>173</v>
      </c>
      <c r="M1947" s="187" t="s">
        <v>175</v>
      </c>
    </row>
    <row r="1948" spans="1:13" s="188" customFormat="1">
      <c r="A1948" s="185" t="s">
        <v>1447</v>
      </c>
      <c r="B1948" s="133" t="s">
        <v>5214</v>
      </c>
      <c r="C1948" s="185" t="s">
        <v>3023</v>
      </c>
      <c r="D1948" s="133" t="s">
        <v>1637</v>
      </c>
      <c r="E1948" s="134">
        <v>1</v>
      </c>
      <c r="F1948" s="135" t="s">
        <v>1449</v>
      </c>
      <c r="G1948" s="185" t="s">
        <v>15</v>
      </c>
      <c r="H1948" s="185" t="s">
        <v>15</v>
      </c>
      <c r="I1948" s="185" t="s">
        <v>15</v>
      </c>
      <c r="J1948" s="135" t="s">
        <v>1450</v>
      </c>
      <c r="K1948" s="186">
        <v>24</v>
      </c>
      <c r="L1948" s="187" t="s">
        <v>173</v>
      </c>
      <c r="M1948" s="187" t="s">
        <v>175</v>
      </c>
    </row>
    <row r="1949" spans="1:13" s="188" customFormat="1">
      <c r="A1949" s="185" t="s">
        <v>1447</v>
      </c>
      <c r="B1949" s="133" t="s">
        <v>5215</v>
      </c>
      <c r="C1949" s="185" t="s">
        <v>3023</v>
      </c>
      <c r="D1949" s="133" t="s">
        <v>1637</v>
      </c>
      <c r="E1949" s="134">
        <v>1</v>
      </c>
      <c r="F1949" s="135" t="s">
        <v>1449</v>
      </c>
      <c r="G1949" s="185" t="s">
        <v>15</v>
      </c>
      <c r="H1949" s="185" t="s">
        <v>15</v>
      </c>
      <c r="I1949" s="185" t="s">
        <v>15</v>
      </c>
      <c r="J1949" s="135" t="s">
        <v>1450</v>
      </c>
      <c r="K1949" s="186">
        <v>18.96</v>
      </c>
      <c r="L1949" s="187" t="s">
        <v>173</v>
      </c>
      <c r="M1949" s="187" t="s">
        <v>175</v>
      </c>
    </row>
    <row r="1950" spans="1:13" s="188" customFormat="1">
      <c r="A1950" s="185" t="s">
        <v>1447</v>
      </c>
      <c r="B1950" s="133" t="s">
        <v>5216</v>
      </c>
      <c r="C1950" s="185" t="s">
        <v>3023</v>
      </c>
      <c r="D1950" s="133" t="s">
        <v>1637</v>
      </c>
      <c r="E1950" s="134">
        <v>1</v>
      </c>
      <c r="F1950" s="135" t="s">
        <v>1449</v>
      </c>
      <c r="G1950" s="185" t="s">
        <v>15</v>
      </c>
      <c r="H1950" s="185" t="s">
        <v>15</v>
      </c>
      <c r="I1950" s="185" t="s">
        <v>15</v>
      </c>
      <c r="J1950" s="135" t="s">
        <v>1450</v>
      </c>
      <c r="K1950" s="186">
        <v>18</v>
      </c>
      <c r="L1950" s="187" t="s">
        <v>173</v>
      </c>
      <c r="M1950" s="187" t="s">
        <v>175</v>
      </c>
    </row>
    <row r="1951" spans="1:13" s="188" customFormat="1">
      <c r="A1951" s="185" t="s">
        <v>1447</v>
      </c>
      <c r="B1951" s="133" t="s">
        <v>5217</v>
      </c>
      <c r="C1951" s="185" t="s">
        <v>3023</v>
      </c>
      <c r="D1951" s="133" t="s">
        <v>1637</v>
      </c>
      <c r="E1951" s="134">
        <v>1</v>
      </c>
      <c r="F1951" s="135" t="s">
        <v>1449</v>
      </c>
      <c r="G1951" s="185" t="s">
        <v>15</v>
      </c>
      <c r="H1951" s="185" t="s">
        <v>15</v>
      </c>
      <c r="I1951" s="185" t="s">
        <v>15</v>
      </c>
      <c r="J1951" s="135" t="s">
        <v>1450</v>
      </c>
      <c r="K1951" s="186">
        <v>17.04</v>
      </c>
      <c r="L1951" s="187" t="s">
        <v>173</v>
      </c>
      <c r="M1951" s="187" t="s">
        <v>175</v>
      </c>
    </row>
    <row r="1952" spans="1:13" s="188" customFormat="1">
      <c r="A1952" s="185" t="s">
        <v>1447</v>
      </c>
      <c r="B1952" s="133" t="s">
        <v>5218</v>
      </c>
      <c r="C1952" s="185" t="s">
        <v>3023</v>
      </c>
      <c r="D1952" s="133" t="s">
        <v>1637</v>
      </c>
      <c r="E1952" s="134">
        <v>1</v>
      </c>
      <c r="F1952" s="135" t="s">
        <v>1449</v>
      </c>
      <c r="G1952" s="185" t="s">
        <v>15</v>
      </c>
      <c r="H1952" s="185" t="s">
        <v>15</v>
      </c>
      <c r="I1952" s="185" t="s">
        <v>15</v>
      </c>
      <c r="J1952" s="135" t="s">
        <v>1450</v>
      </c>
      <c r="K1952" s="186">
        <v>15.96</v>
      </c>
      <c r="L1952" s="187" t="s">
        <v>173</v>
      </c>
      <c r="M1952" s="187" t="s">
        <v>175</v>
      </c>
    </row>
    <row r="1953" spans="1:13" s="188" customFormat="1">
      <c r="A1953" s="185" t="s">
        <v>1447</v>
      </c>
      <c r="B1953" s="133" t="s">
        <v>5219</v>
      </c>
      <c r="C1953" s="185" t="s">
        <v>3023</v>
      </c>
      <c r="D1953" s="133" t="s">
        <v>1637</v>
      </c>
      <c r="E1953" s="134">
        <v>1</v>
      </c>
      <c r="F1953" s="135" t="s">
        <v>1449</v>
      </c>
      <c r="G1953" s="185" t="s">
        <v>15</v>
      </c>
      <c r="H1953" s="185" t="s">
        <v>15</v>
      </c>
      <c r="I1953" s="185" t="s">
        <v>15</v>
      </c>
      <c r="J1953" s="135" t="s">
        <v>1450</v>
      </c>
      <c r="K1953" s="186">
        <v>15</v>
      </c>
      <c r="L1953" s="187" t="s">
        <v>173</v>
      </c>
      <c r="M1953" s="187" t="s">
        <v>175</v>
      </c>
    </row>
    <row r="1954" spans="1:13" s="188" customFormat="1">
      <c r="A1954" s="185" t="s">
        <v>1447</v>
      </c>
      <c r="B1954" s="133" t="s">
        <v>5220</v>
      </c>
      <c r="C1954" s="185" t="s">
        <v>3023</v>
      </c>
      <c r="D1954" s="133" t="s">
        <v>1637</v>
      </c>
      <c r="E1954" s="134">
        <v>1</v>
      </c>
      <c r="F1954" s="135" t="s">
        <v>1449</v>
      </c>
      <c r="G1954" s="185" t="s">
        <v>15</v>
      </c>
      <c r="H1954" s="185" t="s">
        <v>15</v>
      </c>
      <c r="I1954" s="185" t="s">
        <v>15</v>
      </c>
      <c r="J1954" s="135" t="s">
        <v>1450</v>
      </c>
      <c r="K1954" s="186">
        <v>14.04</v>
      </c>
      <c r="L1954" s="187" t="s">
        <v>173</v>
      </c>
      <c r="M1954" s="187" t="s">
        <v>175</v>
      </c>
    </row>
    <row r="1955" spans="1:13" s="188" customFormat="1">
      <c r="A1955" s="185" t="s">
        <v>1447</v>
      </c>
      <c r="B1955" s="133" t="s">
        <v>5221</v>
      </c>
      <c r="C1955" s="185" t="s">
        <v>3023</v>
      </c>
      <c r="D1955" s="133" t="s">
        <v>1637</v>
      </c>
      <c r="E1955" s="134">
        <v>1</v>
      </c>
      <c r="F1955" s="135" t="s">
        <v>1449</v>
      </c>
      <c r="G1955" s="185" t="s">
        <v>15</v>
      </c>
      <c r="H1955" s="185" t="s">
        <v>15</v>
      </c>
      <c r="I1955" s="185" t="s">
        <v>15</v>
      </c>
      <c r="J1955" s="135" t="s">
        <v>1450</v>
      </c>
      <c r="K1955" s="186">
        <v>11.040000000000001</v>
      </c>
      <c r="L1955" s="187" t="s">
        <v>173</v>
      </c>
      <c r="M1955" s="187" t="s">
        <v>175</v>
      </c>
    </row>
    <row r="1956" spans="1:13" s="188" customFormat="1">
      <c r="A1956" s="185" t="s">
        <v>1447</v>
      </c>
      <c r="B1956" s="133" t="s">
        <v>5222</v>
      </c>
      <c r="C1956" s="185" t="s">
        <v>3023</v>
      </c>
      <c r="D1956" s="133" t="s">
        <v>1638</v>
      </c>
      <c r="E1956" s="134">
        <v>1</v>
      </c>
      <c r="F1956" s="135" t="s">
        <v>1449</v>
      </c>
      <c r="G1956" s="185" t="s">
        <v>15</v>
      </c>
      <c r="H1956" s="185" t="s">
        <v>15</v>
      </c>
      <c r="I1956" s="185" t="s">
        <v>15</v>
      </c>
      <c r="J1956" s="135" t="s">
        <v>1450</v>
      </c>
      <c r="K1956" s="186">
        <v>27.96</v>
      </c>
      <c r="L1956" s="187" t="s">
        <v>173</v>
      </c>
      <c r="M1956" s="187" t="s">
        <v>175</v>
      </c>
    </row>
    <row r="1957" spans="1:13" s="188" customFormat="1">
      <c r="A1957" s="185" t="s">
        <v>1447</v>
      </c>
      <c r="B1957" s="133" t="s">
        <v>5223</v>
      </c>
      <c r="C1957" s="185" t="s">
        <v>3023</v>
      </c>
      <c r="D1957" s="133" t="s">
        <v>1638</v>
      </c>
      <c r="E1957" s="134">
        <v>1</v>
      </c>
      <c r="F1957" s="135" t="s">
        <v>1449</v>
      </c>
      <c r="G1957" s="185" t="s">
        <v>15</v>
      </c>
      <c r="H1957" s="185" t="s">
        <v>15</v>
      </c>
      <c r="I1957" s="185" t="s">
        <v>15</v>
      </c>
      <c r="J1957" s="135" t="s">
        <v>1450</v>
      </c>
      <c r="K1957" s="186">
        <v>24</v>
      </c>
      <c r="L1957" s="187" t="s">
        <v>173</v>
      </c>
      <c r="M1957" s="187" t="s">
        <v>175</v>
      </c>
    </row>
    <row r="1958" spans="1:13" s="188" customFormat="1">
      <c r="A1958" s="185" t="s">
        <v>1447</v>
      </c>
      <c r="B1958" s="133" t="s">
        <v>5224</v>
      </c>
      <c r="C1958" s="185" t="s">
        <v>3023</v>
      </c>
      <c r="D1958" s="133" t="s">
        <v>1638</v>
      </c>
      <c r="E1958" s="134">
        <v>1</v>
      </c>
      <c r="F1958" s="135" t="s">
        <v>1449</v>
      </c>
      <c r="G1958" s="185" t="s">
        <v>15</v>
      </c>
      <c r="H1958" s="185" t="s">
        <v>15</v>
      </c>
      <c r="I1958" s="185" t="s">
        <v>15</v>
      </c>
      <c r="J1958" s="135" t="s">
        <v>1450</v>
      </c>
      <c r="K1958" s="186">
        <v>18.96</v>
      </c>
      <c r="L1958" s="187" t="s">
        <v>173</v>
      </c>
      <c r="M1958" s="187" t="s">
        <v>175</v>
      </c>
    </row>
    <row r="1959" spans="1:13" s="188" customFormat="1">
      <c r="A1959" s="185" t="s">
        <v>1447</v>
      </c>
      <c r="B1959" s="133" t="s">
        <v>5225</v>
      </c>
      <c r="C1959" s="185" t="s">
        <v>3023</v>
      </c>
      <c r="D1959" s="133" t="s">
        <v>1638</v>
      </c>
      <c r="E1959" s="134">
        <v>1</v>
      </c>
      <c r="F1959" s="135" t="s">
        <v>1449</v>
      </c>
      <c r="G1959" s="185" t="s">
        <v>15</v>
      </c>
      <c r="H1959" s="185" t="s">
        <v>15</v>
      </c>
      <c r="I1959" s="185" t="s">
        <v>15</v>
      </c>
      <c r="J1959" s="135" t="s">
        <v>1450</v>
      </c>
      <c r="K1959" s="186">
        <v>18</v>
      </c>
      <c r="L1959" s="187" t="s">
        <v>173</v>
      </c>
      <c r="M1959" s="187" t="s">
        <v>175</v>
      </c>
    </row>
    <row r="1960" spans="1:13" s="188" customFormat="1">
      <c r="A1960" s="185" t="s">
        <v>1447</v>
      </c>
      <c r="B1960" s="133" t="s">
        <v>5226</v>
      </c>
      <c r="C1960" s="185" t="s">
        <v>3023</v>
      </c>
      <c r="D1960" s="133" t="s">
        <v>1638</v>
      </c>
      <c r="E1960" s="134">
        <v>1</v>
      </c>
      <c r="F1960" s="135" t="s">
        <v>1449</v>
      </c>
      <c r="G1960" s="185" t="s">
        <v>15</v>
      </c>
      <c r="H1960" s="185" t="s">
        <v>15</v>
      </c>
      <c r="I1960" s="185" t="s">
        <v>15</v>
      </c>
      <c r="J1960" s="135" t="s">
        <v>1450</v>
      </c>
      <c r="K1960" s="186">
        <v>17.04</v>
      </c>
      <c r="L1960" s="187" t="s">
        <v>173</v>
      </c>
      <c r="M1960" s="187" t="s">
        <v>175</v>
      </c>
    </row>
    <row r="1961" spans="1:13" s="188" customFormat="1">
      <c r="A1961" s="185" t="s">
        <v>1447</v>
      </c>
      <c r="B1961" s="133" t="s">
        <v>5227</v>
      </c>
      <c r="C1961" s="185" t="s">
        <v>3023</v>
      </c>
      <c r="D1961" s="133" t="s">
        <v>1638</v>
      </c>
      <c r="E1961" s="134">
        <v>1</v>
      </c>
      <c r="F1961" s="135" t="s">
        <v>1449</v>
      </c>
      <c r="G1961" s="185" t="s">
        <v>15</v>
      </c>
      <c r="H1961" s="185" t="s">
        <v>15</v>
      </c>
      <c r="I1961" s="185" t="s">
        <v>15</v>
      </c>
      <c r="J1961" s="135" t="s">
        <v>1450</v>
      </c>
      <c r="K1961" s="186">
        <v>15.96</v>
      </c>
      <c r="L1961" s="187" t="s">
        <v>173</v>
      </c>
      <c r="M1961" s="187" t="s">
        <v>175</v>
      </c>
    </row>
    <row r="1962" spans="1:13" s="188" customFormat="1">
      <c r="A1962" s="185" t="s">
        <v>1447</v>
      </c>
      <c r="B1962" s="133" t="s">
        <v>5228</v>
      </c>
      <c r="C1962" s="185" t="s">
        <v>3023</v>
      </c>
      <c r="D1962" s="133" t="s">
        <v>1638</v>
      </c>
      <c r="E1962" s="134">
        <v>1</v>
      </c>
      <c r="F1962" s="135" t="s">
        <v>1449</v>
      </c>
      <c r="G1962" s="185" t="s">
        <v>15</v>
      </c>
      <c r="H1962" s="185" t="s">
        <v>15</v>
      </c>
      <c r="I1962" s="185" t="s">
        <v>15</v>
      </c>
      <c r="J1962" s="135" t="s">
        <v>1450</v>
      </c>
      <c r="K1962" s="186">
        <v>15</v>
      </c>
      <c r="L1962" s="187" t="s">
        <v>173</v>
      </c>
      <c r="M1962" s="187" t="s">
        <v>175</v>
      </c>
    </row>
    <row r="1963" spans="1:13" s="188" customFormat="1">
      <c r="A1963" s="185" t="s">
        <v>1447</v>
      </c>
      <c r="B1963" s="133" t="s">
        <v>5229</v>
      </c>
      <c r="C1963" s="185" t="s">
        <v>3023</v>
      </c>
      <c r="D1963" s="133" t="s">
        <v>1638</v>
      </c>
      <c r="E1963" s="134">
        <v>1</v>
      </c>
      <c r="F1963" s="135" t="s">
        <v>1449</v>
      </c>
      <c r="G1963" s="185" t="s">
        <v>15</v>
      </c>
      <c r="H1963" s="185" t="s">
        <v>15</v>
      </c>
      <c r="I1963" s="185" t="s">
        <v>15</v>
      </c>
      <c r="J1963" s="135" t="s">
        <v>1450</v>
      </c>
      <c r="K1963" s="186">
        <v>14.04</v>
      </c>
      <c r="L1963" s="187" t="s">
        <v>173</v>
      </c>
      <c r="M1963" s="187" t="s">
        <v>175</v>
      </c>
    </row>
    <row r="1964" spans="1:13" s="188" customFormat="1">
      <c r="A1964" s="185" t="s">
        <v>1447</v>
      </c>
      <c r="B1964" s="133" t="s">
        <v>5230</v>
      </c>
      <c r="C1964" s="185" t="s">
        <v>3023</v>
      </c>
      <c r="D1964" s="133" t="s">
        <v>1638</v>
      </c>
      <c r="E1964" s="134">
        <v>1</v>
      </c>
      <c r="F1964" s="135" t="s">
        <v>1449</v>
      </c>
      <c r="G1964" s="185" t="s">
        <v>15</v>
      </c>
      <c r="H1964" s="185" t="s">
        <v>15</v>
      </c>
      <c r="I1964" s="185" t="s">
        <v>15</v>
      </c>
      <c r="J1964" s="135" t="s">
        <v>1450</v>
      </c>
      <c r="K1964" s="186">
        <v>12</v>
      </c>
      <c r="L1964" s="187" t="s">
        <v>173</v>
      </c>
      <c r="M1964" s="187" t="s">
        <v>175</v>
      </c>
    </row>
    <row r="1965" spans="1:13" s="188" customFormat="1">
      <c r="A1965" s="185" t="s">
        <v>1447</v>
      </c>
      <c r="B1965" s="133" t="s">
        <v>5231</v>
      </c>
      <c r="C1965" s="185" t="s">
        <v>3023</v>
      </c>
      <c r="D1965" s="133" t="s">
        <v>1639</v>
      </c>
      <c r="E1965" s="134">
        <v>1</v>
      </c>
      <c r="F1965" s="135" t="s">
        <v>1449</v>
      </c>
      <c r="G1965" s="185" t="s">
        <v>15</v>
      </c>
      <c r="H1965" s="185" t="s">
        <v>15</v>
      </c>
      <c r="I1965" s="185" t="s">
        <v>15</v>
      </c>
      <c r="J1965" s="135" t="s">
        <v>1450</v>
      </c>
      <c r="K1965" s="186">
        <v>75.599999999999994</v>
      </c>
      <c r="L1965" s="187" t="s">
        <v>173</v>
      </c>
      <c r="M1965" s="187" t="s">
        <v>175</v>
      </c>
    </row>
    <row r="1966" spans="1:13" s="188" customFormat="1">
      <c r="A1966" s="185" t="s">
        <v>1447</v>
      </c>
      <c r="B1966" s="133" t="s">
        <v>5232</v>
      </c>
      <c r="C1966" s="185" t="s">
        <v>3023</v>
      </c>
      <c r="D1966" s="133" t="s">
        <v>1639</v>
      </c>
      <c r="E1966" s="134">
        <v>1</v>
      </c>
      <c r="F1966" s="135" t="s">
        <v>1449</v>
      </c>
      <c r="G1966" s="185" t="s">
        <v>15</v>
      </c>
      <c r="H1966" s="185" t="s">
        <v>15</v>
      </c>
      <c r="I1966" s="185" t="s">
        <v>15</v>
      </c>
      <c r="J1966" s="135" t="s">
        <v>1450</v>
      </c>
      <c r="K1966" s="186">
        <v>67.08</v>
      </c>
      <c r="L1966" s="187" t="s">
        <v>173</v>
      </c>
      <c r="M1966" s="187" t="s">
        <v>175</v>
      </c>
    </row>
    <row r="1967" spans="1:13" s="188" customFormat="1">
      <c r="A1967" s="185" t="s">
        <v>1447</v>
      </c>
      <c r="B1967" s="133" t="s">
        <v>5233</v>
      </c>
      <c r="C1967" s="185" t="s">
        <v>3023</v>
      </c>
      <c r="D1967" s="133" t="s">
        <v>1639</v>
      </c>
      <c r="E1967" s="134">
        <v>1</v>
      </c>
      <c r="F1967" s="135" t="s">
        <v>1449</v>
      </c>
      <c r="G1967" s="185" t="s">
        <v>15</v>
      </c>
      <c r="H1967" s="185" t="s">
        <v>15</v>
      </c>
      <c r="I1967" s="185" t="s">
        <v>15</v>
      </c>
      <c r="J1967" s="135" t="s">
        <v>1450</v>
      </c>
      <c r="K1967" s="186">
        <v>52.44</v>
      </c>
      <c r="L1967" s="187" t="s">
        <v>173</v>
      </c>
      <c r="M1967" s="187" t="s">
        <v>175</v>
      </c>
    </row>
    <row r="1968" spans="1:13" s="188" customFormat="1">
      <c r="A1968" s="185" t="s">
        <v>1447</v>
      </c>
      <c r="B1968" s="133" t="s">
        <v>5234</v>
      </c>
      <c r="C1968" s="185" t="s">
        <v>3023</v>
      </c>
      <c r="D1968" s="133" t="s">
        <v>1639</v>
      </c>
      <c r="E1968" s="134">
        <v>1</v>
      </c>
      <c r="F1968" s="135" t="s">
        <v>1449</v>
      </c>
      <c r="G1968" s="185" t="s">
        <v>15</v>
      </c>
      <c r="H1968" s="185" t="s">
        <v>15</v>
      </c>
      <c r="I1968" s="185" t="s">
        <v>15</v>
      </c>
      <c r="J1968" s="135" t="s">
        <v>1450</v>
      </c>
      <c r="K1968" s="186">
        <v>49.92</v>
      </c>
      <c r="L1968" s="187" t="s">
        <v>173</v>
      </c>
      <c r="M1968" s="187" t="s">
        <v>175</v>
      </c>
    </row>
    <row r="1969" spans="1:13" s="188" customFormat="1">
      <c r="A1969" s="185" t="s">
        <v>1447</v>
      </c>
      <c r="B1969" s="133" t="s">
        <v>5235</v>
      </c>
      <c r="C1969" s="185" t="s">
        <v>3023</v>
      </c>
      <c r="D1969" s="133" t="s">
        <v>1639</v>
      </c>
      <c r="E1969" s="134">
        <v>1</v>
      </c>
      <c r="F1969" s="135" t="s">
        <v>1449</v>
      </c>
      <c r="G1969" s="185" t="s">
        <v>15</v>
      </c>
      <c r="H1969" s="185" t="s">
        <v>15</v>
      </c>
      <c r="I1969" s="185" t="s">
        <v>15</v>
      </c>
      <c r="J1969" s="135" t="s">
        <v>1450</v>
      </c>
      <c r="K1969" s="186">
        <v>47.76</v>
      </c>
      <c r="L1969" s="187" t="s">
        <v>173</v>
      </c>
      <c r="M1969" s="187" t="s">
        <v>175</v>
      </c>
    </row>
    <row r="1970" spans="1:13" s="188" customFormat="1">
      <c r="A1970" s="185" t="s">
        <v>1447</v>
      </c>
      <c r="B1970" s="133" t="s">
        <v>5236</v>
      </c>
      <c r="C1970" s="185" t="s">
        <v>3023</v>
      </c>
      <c r="D1970" s="133" t="s">
        <v>1639</v>
      </c>
      <c r="E1970" s="134">
        <v>1</v>
      </c>
      <c r="F1970" s="135" t="s">
        <v>1449</v>
      </c>
      <c r="G1970" s="185" t="s">
        <v>15</v>
      </c>
      <c r="H1970" s="185" t="s">
        <v>15</v>
      </c>
      <c r="I1970" s="185" t="s">
        <v>15</v>
      </c>
      <c r="J1970" s="135" t="s">
        <v>1450</v>
      </c>
      <c r="K1970" s="186">
        <v>46.44</v>
      </c>
      <c r="L1970" s="187" t="s">
        <v>173</v>
      </c>
      <c r="M1970" s="187" t="s">
        <v>175</v>
      </c>
    </row>
    <row r="1971" spans="1:13" s="188" customFormat="1">
      <c r="A1971" s="185" t="s">
        <v>1447</v>
      </c>
      <c r="B1971" s="133" t="s">
        <v>5237</v>
      </c>
      <c r="C1971" s="185" t="s">
        <v>3023</v>
      </c>
      <c r="D1971" s="133" t="s">
        <v>1639</v>
      </c>
      <c r="E1971" s="134">
        <v>1</v>
      </c>
      <c r="F1971" s="135" t="s">
        <v>1449</v>
      </c>
      <c r="G1971" s="185" t="s">
        <v>15</v>
      </c>
      <c r="H1971" s="185" t="s">
        <v>15</v>
      </c>
      <c r="I1971" s="185" t="s">
        <v>15</v>
      </c>
      <c r="J1971" s="135" t="s">
        <v>1450</v>
      </c>
      <c r="K1971" s="186">
        <v>44.64</v>
      </c>
      <c r="L1971" s="187" t="s">
        <v>173</v>
      </c>
      <c r="M1971" s="187" t="s">
        <v>175</v>
      </c>
    </row>
    <row r="1972" spans="1:13" s="188" customFormat="1">
      <c r="A1972" s="185" t="s">
        <v>1447</v>
      </c>
      <c r="B1972" s="133" t="s">
        <v>5238</v>
      </c>
      <c r="C1972" s="185" t="s">
        <v>3023</v>
      </c>
      <c r="D1972" s="133" t="s">
        <v>1639</v>
      </c>
      <c r="E1972" s="134">
        <v>1</v>
      </c>
      <c r="F1972" s="135" t="s">
        <v>1449</v>
      </c>
      <c r="G1972" s="185" t="s">
        <v>15</v>
      </c>
      <c r="H1972" s="185" t="s">
        <v>15</v>
      </c>
      <c r="I1972" s="185" t="s">
        <v>15</v>
      </c>
      <c r="J1972" s="135" t="s">
        <v>1450</v>
      </c>
      <c r="K1972" s="186">
        <v>39.72</v>
      </c>
      <c r="L1972" s="187" t="s">
        <v>173</v>
      </c>
      <c r="M1972" s="187" t="s">
        <v>175</v>
      </c>
    </row>
    <row r="1973" spans="1:13" s="188" customFormat="1">
      <c r="A1973" s="185" t="s">
        <v>1447</v>
      </c>
      <c r="B1973" s="133" t="s">
        <v>5239</v>
      </c>
      <c r="C1973" s="185" t="s">
        <v>3023</v>
      </c>
      <c r="D1973" s="133" t="s">
        <v>1639</v>
      </c>
      <c r="E1973" s="134">
        <v>1</v>
      </c>
      <c r="F1973" s="135" t="s">
        <v>1449</v>
      </c>
      <c r="G1973" s="185" t="s">
        <v>15</v>
      </c>
      <c r="H1973" s="185" t="s">
        <v>15</v>
      </c>
      <c r="I1973" s="185" t="s">
        <v>15</v>
      </c>
      <c r="J1973" s="135" t="s">
        <v>1450</v>
      </c>
      <c r="K1973" s="186">
        <v>33.72</v>
      </c>
      <c r="L1973" s="187" t="s">
        <v>173</v>
      </c>
      <c r="M1973" s="187" t="s">
        <v>175</v>
      </c>
    </row>
    <row r="1974" spans="1:13" s="188" customFormat="1">
      <c r="A1974" s="185" t="s">
        <v>1447</v>
      </c>
      <c r="B1974" s="133" t="s">
        <v>5240</v>
      </c>
      <c r="C1974" s="185" t="s">
        <v>3023</v>
      </c>
      <c r="D1974" s="133" t="s">
        <v>1640</v>
      </c>
      <c r="E1974" s="134">
        <v>1</v>
      </c>
      <c r="F1974" s="135" t="s">
        <v>1449</v>
      </c>
      <c r="G1974" s="185" t="s">
        <v>15</v>
      </c>
      <c r="H1974" s="185" t="s">
        <v>15</v>
      </c>
      <c r="I1974" s="185" t="s">
        <v>15</v>
      </c>
      <c r="J1974" s="135" t="s">
        <v>1450</v>
      </c>
      <c r="K1974" s="186">
        <v>37.799999999999997</v>
      </c>
      <c r="L1974" s="187" t="s">
        <v>173</v>
      </c>
      <c r="M1974" s="187" t="s">
        <v>175</v>
      </c>
    </row>
    <row r="1975" spans="1:13" s="188" customFormat="1">
      <c r="A1975" s="185" t="s">
        <v>1447</v>
      </c>
      <c r="B1975" s="133" t="s">
        <v>5241</v>
      </c>
      <c r="C1975" s="185" t="s">
        <v>3023</v>
      </c>
      <c r="D1975" s="133" t="s">
        <v>1640</v>
      </c>
      <c r="E1975" s="134">
        <v>1</v>
      </c>
      <c r="F1975" s="135" t="s">
        <v>1449</v>
      </c>
      <c r="G1975" s="185" t="s">
        <v>15</v>
      </c>
      <c r="H1975" s="185" t="s">
        <v>15</v>
      </c>
      <c r="I1975" s="185" t="s">
        <v>15</v>
      </c>
      <c r="J1975" s="135" t="s">
        <v>1450</v>
      </c>
      <c r="K1975" s="186">
        <v>33.480000000000004</v>
      </c>
      <c r="L1975" s="187" t="s">
        <v>173</v>
      </c>
      <c r="M1975" s="187" t="s">
        <v>175</v>
      </c>
    </row>
    <row r="1976" spans="1:13" s="188" customFormat="1">
      <c r="A1976" s="185" t="s">
        <v>1447</v>
      </c>
      <c r="B1976" s="133" t="s">
        <v>5242</v>
      </c>
      <c r="C1976" s="185" t="s">
        <v>3023</v>
      </c>
      <c r="D1976" s="133" t="s">
        <v>1640</v>
      </c>
      <c r="E1976" s="134">
        <v>1</v>
      </c>
      <c r="F1976" s="135" t="s">
        <v>1449</v>
      </c>
      <c r="G1976" s="185" t="s">
        <v>15</v>
      </c>
      <c r="H1976" s="185" t="s">
        <v>15</v>
      </c>
      <c r="I1976" s="185" t="s">
        <v>15</v>
      </c>
      <c r="J1976" s="135" t="s">
        <v>1450</v>
      </c>
      <c r="K1976" s="186">
        <v>26.28</v>
      </c>
      <c r="L1976" s="187" t="s">
        <v>173</v>
      </c>
      <c r="M1976" s="187" t="s">
        <v>175</v>
      </c>
    </row>
    <row r="1977" spans="1:13" s="188" customFormat="1">
      <c r="A1977" s="185" t="s">
        <v>1447</v>
      </c>
      <c r="B1977" s="133" t="s">
        <v>5243</v>
      </c>
      <c r="C1977" s="185" t="s">
        <v>3023</v>
      </c>
      <c r="D1977" s="133" t="s">
        <v>1640</v>
      </c>
      <c r="E1977" s="134">
        <v>1</v>
      </c>
      <c r="F1977" s="135" t="s">
        <v>1449</v>
      </c>
      <c r="G1977" s="185" t="s">
        <v>15</v>
      </c>
      <c r="H1977" s="185" t="s">
        <v>15</v>
      </c>
      <c r="I1977" s="185" t="s">
        <v>15</v>
      </c>
      <c r="J1977" s="135" t="s">
        <v>1450</v>
      </c>
      <c r="K1977" s="186">
        <v>24.96</v>
      </c>
      <c r="L1977" s="187" t="s">
        <v>173</v>
      </c>
      <c r="M1977" s="187" t="s">
        <v>175</v>
      </c>
    </row>
    <row r="1978" spans="1:13" s="188" customFormat="1">
      <c r="A1978" s="185" t="s">
        <v>1447</v>
      </c>
      <c r="B1978" s="133" t="s">
        <v>5244</v>
      </c>
      <c r="C1978" s="185" t="s">
        <v>3023</v>
      </c>
      <c r="D1978" s="133" t="s">
        <v>1640</v>
      </c>
      <c r="E1978" s="134">
        <v>1</v>
      </c>
      <c r="F1978" s="135" t="s">
        <v>1449</v>
      </c>
      <c r="G1978" s="185" t="s">
        <v>15</v>
      </c>
      <c r="H1978" s="185" t="s">
        <v>15</v>
      </c>
      <c r="I1978" s="185" t="s">
        <v>15</v>
      </c>
      <c r="J1978" s="135" t="s">
        <v>1450</v>
      </c>
      <c r="K1978" s="186">
        <v>23.88</v>
      </c>
      <c r="L1978" s="187" t="s">
        <v>173</v>
      </c>
      <c r="M1978" s="187" t="s">
        <v>175</v>
      </c>
    </row>
    <row r="1979" spans="1:13" s="188" customFormat="1">
      <c r="A1979" s="185" t="s">
        <v>1447</v>
      </c>
      <c r="B1979" s="133" t="s">
        <v>5245</v>
      </c>
      <c r="C1979" s="185" t="s">
        <v>3023</v>
      </c>
      <c r="D1979" s="133" t="s">
        <v>1640</v>
      </c>
      <c r="E1979" s="134">
        <v>1</v>
      </c>
      <c r="F1979" s="135" t="s">
        <v>1449</v>
      </c>
      <c r="G1979" s="185" t="s">
        <v>15</v>
      </c>
      <c r="H1979" s="185" t="s">
        <v>15</v>
      </c>
      <c r="I1979" s="185" t="s">
        <v>15</v>
      </c>
      <c r="J1979" s="135" t="s">
        <v>1450</v>
      </c>
      <c r="K1979" s="186">
        <v>23.28</v>
      </c>
      <c r="L1979" s="187" t="s">
        <v>173</v>
      </c>
      <c r="M1979" s="187" t="s">
        <v>175</v>
      </c>
    </row>
    <row r="1980" spans="1:13" s="188" customFormat="1">
      <c r="A1980" s="185" t="s">
        <v>1447</v>
      </c>
      <c r="B1980" s="133" t="s">
        <v>5246</v>
      </c>
      <c r="C1980" s="185" t="s">
        <v>3023</v>
      </c>
      <c r="D1980" s="133" t="s">
        <v>1640</v>
      </c>
      <c r="E1980" s="134">
        <v>1</v>
      </c>
      <c r="F1980" s="135" t="s">
        <v>1449</v>
      </c>
      <c r="G1980" s="185" t="s">
        <v>15</v>
      </c>
      <c r="H1980" s="185" t="s">
        <v>15</v>
      </c>
      <c r="I1980" s="185" t="s">
        <v>15</v>
      </c>
      <c r="J1980" s="135" t="s">
        <v>1450</v>
      </c>
      <c r="K1980" s="186">
        <v>22.32</v>
      </c>
      <c r="L1980" s="187" t="s">
        <v>173</v>
      </c>
      <c r="M1980" s="187" t="s">
        <v>175</v>
      </c>
    </row>
    <row r="1981" spans="1:13" s="188" customFormat="1">
      <c r="A1981" s="185" t="s">
        <v>1447</v>
      </c>
      <c r="B1981" s="133" t="s">
        <v>5247</v>
      </c>
      <c r="C1981" s="185" t="s">
        <v>3023</v>
      </c>
      <c r="D1981" s="133" t="s">
        <v>1640</v>
      </c>
      <c r="E1981" s="134">
        <v>1</v>
      </c>
      <c r="F1981" s="135" t="s">
        <v>1449</v>
      </c>
      <c r="G1981" s="185" t="s">
        <v>15</v>
      </c>
      <c r="H1981" s="185" t="s">
        <v>15</v>
      </c>
      <c r="I1981" s="185" t="s">
        <v>15</v>
      </c>
      <c r="J1981" s="135" t="s">
        <v>1450</v>
      </c>
      <c r="K1981" s="186">
        <v>19.799999999999997</v>
      </c>
      <c r="L1981" s="187" t="s">
        <v>173</v>
      </c>
      <c r="M1981" s="187" t="s">
        <v>175</v>
      </c>
    </row>
    <row r="1982" spans="1:13" s="188" customFormat="1">
      <c r="A1982" s="185" t="s">
        <v>1447</v>
      </c>
      <c r="B1982" s="133" t="s">
        <v>5248</v>
      </c>
      <c r="C1982" s="185" t="s">
        <v>3023</v>
      </c>
      <c r="D1982" s="133" t="s">
        <v>1640</v>
      </c>
      <c r="E1982" s="134">
        <v>1</v>
      </c>
      <c r="F1982" s="135" t="s">
        <v>1449</v>
      </c>
      <c r="G1982" s="185" t="s">
        <v>15</v>
      </c>
      <c r="H1982" s="185" t="s">
        <v>15</v>
      </c>
      <c r="I1982" s="185" t="s">
        <v>15</v>
      </c>
      <c r="J1982" s="135" t="s">
        <v>1450</v>
      </c>
      <c r="K1982" s="186">
        <v>16.919999999999998</v>
      </c>
      <c r="L1982" s="187" t="s">
        <v>173</v>
      </c>
      <c r="M1982" s="187" t="s">
        <v>175</v>
      </c>
    </row>
    <row r="1983" spans="1:13" s="188" customFormat="1">
      <c r="A1983" s="185" t="s">
        <v>1447</v>
      </c>
      <c r="B1983" s="133" t="s">
        <v>5249</v>
      </c>
      <c r="C1983" s="185" t="s">
        <v>3023</v>
      </c>
      <c r="D1983" s="133" t="s">
        <v>1641</v>
      </c>
      <c r="E1983" s="134">
        <v>1</v>
      </c>
      <c r="F1983" s="135" t="s">
        <v>1449</v>
      </c>
      <c r="G1983" s="185" t="s">
        <v>15</v>
      </c>
      <c r="H1983" s="185" t="s">
        <v>15</v>
      </c>
      <c r="I1983" s="185" t="s">
        <v>15</v>
      </c>
      <c r="J1983" s="135" t="s">
        <v>1450</v>
      </c>
      <c r="K1983" s="186">
        <v>74.039999999999992</v>
      </c>
      <c r="L1983" s="187" t="s">
        <v>173</v>
      </c>
      <c r="M1983" s="187" t="s">
        <v>175</v>
      </c>
    </row>
    <row r="1984" spans="1:13" s="188" customFormat="1">
      <c r="A1984" s="185" t="s">
        <v>1447</v>
      </c>
      <c r="B1984" s="133" t="s">
        <v>5250</v>
      </c>
      <c r="C1984" s="185" t="s">
        <v>3023</v>
      </c>
      <c r="D1984" s="133" t="s">
        <v>1641</v>
      </c>
      <c r="E1984" s="134">
        <v>1</v>
      </c>
      <c r="F1984" s="135" t="s">
        <v>1449</v>
      </c>
      <c r="G1984" s="185" t="s">
        <v>15</v>
      </c>
      <c r="H1984" s="185" t="s">
        <v>15</v>
      </c>
      <c r="I1984" s="185" t="s">
        <v>15</v>
      </c>
      <c r="J1984" s="135" t="s">
        <v>1450</v>
      </c>
      <c r="K1984" s="186">
        <v>60</v>
      </c>
      <c r="L1984" s="187" t="s">
        <v>173</v>
      </c>
      <c r="M1984" s="187" t="s">
        <v>175</v>
      </c>
    </row>
    <row r="1985" spans="1:13" s="188" customFormat="1">
      <c r="A1985" s="185" t="s">
        <v>1447</v>
      </c>
      <c r="B1985" s="133" t="s">
        <v>5251</v>
      </c>
      <c r="C1985" s="185" t="s">
        <v>3023</v>
      </c>
      <c r="D1985" s="133" t="s">
        <v>1641</v>
      </c>
      <c r="E1985" s="134">
        <v>1</v>
      </c>
      <c r="F1985" s="135" t="s">
        <v>1449</v>
      </c>
      <c r="G1985" s="185" t="s">
        <v>15</v>
      </c>
      <c r="H1985" s="185" t="s">
        <v>15</v>
      </c>
      <c r="I1985" s="185" t="s">
        <v>15</v>
      </c>
      <c r="J1985" s="135" t="s">
        <v>1450</v>
      </c>
      <c r="K1985" s="186">
        <v>48</v>
      </c>
      <c r="L1985" s="187" t="s">
        <v>173</v>
      </c>
      <c r="M1985" s="187" t="s">
        <v>175</v>
      </c>
    </row>
    <row r="1986" spans="1:13" s="188" customFormat="1">
      <c r="A1986" s="185" t="s">
        <v>1447</v>
      </c>
      <c r="B1986" s="133" t="s">
        <v>5252</v>
      </c>
      <c r="C1986" s="185" t="s">
        <v>3023</v>
      </c>
      <c r="D1986" s="133" t="s">
        <v>1641</v>
      </c>
      <c r="E1986" s="134">
        <v>1</v>
      </c>
      <c r="F1986" s="135" t="s">
        <v>1449</v>
      </c>
      <c r="G1986" s="185" t="s">
        <v>15</v>
      </c>
      <c r="H1986" s="185" t="s">
        <v>15</v>
      </c>
      <c r="I1986" s="185" t="s">
        <v>15</v>
      </c>
      <c r="J1986" s="135" t="s">
        <v>1450</v>
      </c>
      <c r="K1986" s="186">
        <v>41.04</v>
      </c>
      <c r="L1986" s="187" t="s">
        <v>173</v>
      </c>
      <c r="M1986" s="187" t="s">
        <v>175</v>
      </c>
    </row>
    <row r="1987" spans="1:13" s="188" customFormat="1">
      <c r="A1987" s="185" t="s">
        <v>1447</v>
      </c>
      <c r="B1987" s="133" t="s">
        <v>5253</v>
      </c>
      <c r="C1987" s="185" t="s">
        <v>3023</v>
      </c>
      <c r="D1987" s="133" t="s">
        <v>1641</v>
      </c>
      <c r="E1987" s="134">
        <v>1</v>
      </c>
      <c r="F1987" s="135" t="s">
        <v>1449</v>
      </c>
      <c r="G1987" s="185" t="s">
        <v>15</v>
      </c>
      <c r="H1987" s="185" t="s">
        <v>15</v>
      </c>
      <c r="I1987" s="185" t="s">
        <v>15</v>
      </c>
      <c r="J1987" s="135" t="s">
        <v>1450</v>
      </c>
      <c r="K1987" s="186">
        <v>39</v>
      </c>
      <c r="L1987" s="187" t="s">
        <v>173</v>
      </c>
      <c r="M1987" s="187" t="s">
        <v>175</v>
      </c>
    </row>
    <row r="1988" spans="1:13" s="188" customFormat="1">
      <c r="A1988" s="185" t="s">
        <v>1447</v>
      </c>
      <c r="B1988" s="133" t="s">
        <v>5254</v>
      </c>
      <c r="C1988" s="185" t="s">
        <v>3023</v>
      </c>
      <c r="D1988" s="133" t="s">
        <v>1641</v>
      </c>
      <c r="E1988" s="134">
        <v>1</v>
      </c>
      <c r="F1988" s="135" t="s">
        <v>1449</v>
      </c>
      <c r="G1988" s="185" t="s">
        <v>15</v>
      </c>
      <c r="H1988" s="185" t="s">
        <v>15</v>
      </c>
      <c r="I1988" s="185" t="s">
        <v>15</v>
      </c>
      <c r="J1988" s="135" t="s">
        <v>1450</v>
      </c>
      <c r="K1988" s="186">
        <v>36</v>
      </c>
      <c r="L1988" s="187" t="s">
        <v>173</v>
      </c>
      <c r="M1988" s="187" t="s">
        <v>175</v>
      </c>
    </row>
    <row r="1989" spans="1:13" s="188" customFormat="1">
      <c r="A1989" s="185" t="s">
        <v>1447</v>
      </c>
      <c r="B1989" s="133" t="s">
        <v>5255</v>
      </c>
      <c r="C1989" s="185" t="s">
        <v>3023</v>
      </c>
      <c r="D1989" s="133" t="s">
        <v>1641</v>
      </c>
      <c r="E1989" s="134">
        <v>1</v>
      </c>
      <c r="F1989" s="135" t="s">
        <v>1449</v>
      </c>
      <c r="G1989" s="185" t="s">
        <v>15</v>
      </c>
      <c r="H1989" s="185" t="s">
        <v>15</v>
      </c>
      <c r="I1989" s="185" t="s">
        <v>15</v>
      </c>
      <c r="J1989" s="135" t="s">
        <v>1450</v>
      </c>
      <c r="K1989" s="186">
        <v>33</v>
      </c>
      <c r="L1989" s="187" t="s">
        <v>173</v>
      </c>
      <c r="M1989" s="187" t="s">
        <v>175</v>
      </c>
    </row>
    <row r="1990" spans="1:13" s="188" customFormat="1">
      <c r="A1990" s="185" t="s">
        <v>1447</v>
      </c>
      <c r="B1990" s="133" t="s">
        <v>5256</v>
      </c>
      <c r="C1990" s="185" t="s">
        <v>3023</v>
      </c>
      <c r="D1990" s="133" t="s">
        <v>1641</v>
      </c>
      <c r="E1990" s="134">
        <v>1</v>
      </c>
      <c r="F1990" s="135" t="s">
        <v>1449</v>
      </c>
      <c r="G1990" s="185" t="s">
        <v>15</v>
      </c>
      <c r="H1990" s="185" t="s">
        <v>15</v>
      </c>
      <c r="I1990" s="185" t="s">
        <v>15</v>
      </c>
      <c r="J1990" s="135" t="s">
        <v>1450</v>
      </c>
      <c r="K1990" s="186">
        <v>30.96</v>
      </c>
      <c r="L1990" s="187" t="s">
        <v>173</v>
      </c>
      <c r="M1990" s="187" t="s">
        <v>175</v>
      </c>
    </row>
    <row r="1991" spans="1:13" s="188" customFormat="1">
      <c r="A1991" s="185" t="s">
        <v>1447</v>
      </c>
      <c r="B1991" s="133" t="s">
        <v>5257</v>
      </c>
      <c r="C1991" s="185" t="s">
        <v>3023</v>
      </c>
      <c r="D1991" s="133" t="s">
        <v>1641</v>
      </c>
      <c r="E1991" s="134">
        <v>1</v>
      </c>
      <c r="F1991" s="135" t="s">
        <v>1449</v>
      </c>
      <c r="G1991" s="185" t="s">
        <v>15</v>
      </c>
      <c r="H1991" s="185" t="s">
        <v>15</v>
      </c>
      <c r="I1991" s="185" t="s">
        <v>15</v>
      </c>
      <c r="J1991" s="135" t="s">
        <v>1450</v>
      </c>
      <c r="K1991" s="186">
        <v>29.04</v>
      </c>
      <c r="L1991" s="187" t="s">
        <v>173</v>
      </c>
      <c r="M1991" s="187" t="s">
        <v>175</v>
      </c>
    </row>
    <row r="1992" spans="1:13" s="188" customFormat="1">
      <c r="A1992" s="185" t="s">
        <v>1447</v>
      </c>
      <c r="B1992" s="133" t="s">
        <v>5258</v>
      </c>
      <c r="C1992" s="185" t="s">
        <v>3023</v>
      </c>
      <c r="D1992" s="133" t="s">
        <v>1642</v>
      </c>
      <c r="E1992" s="134">
        <v>1</v>
      </c>
      <c r="F1992" s="135" t="s">
        <v>1449</v>
      </c>
      <c r="G1992" s="185" t="s">
        <v>15</v>
      </c>
      <c r="H1992" s="185" t="s">
        <v>15</v>
      </c>
      <c r="I1992" s="185" t="s">
        <v>15</v>
      </c>
      <c r="J1992" s="135" t="s">
        <v>1450</v>
      </c>
      <c r="K1992" s="186">
        <v>12</v>
      </c>
      <c r="L1992" s="187" t="s">
        <v>173</v>
      </c>
      <c r="M1992" s="187" t="s">
        <v>175</v>
      </c>
    </row>
    <row r="1993" spans="1:13" s="188" customFormat="1">
      <c r="A1993" s="185" t="s">
        <v>1447</v>
      </c>
      <c r="B1993" s="133" t="s">
        <v>5259</v>
      </c>
      <c r="C1993" s="185" t="s">
        <v>3023</v>
      </c>
      <c r="D1993" s="133" t="s">
        <v>1642</v>
      </c>
      <c r="E1993" s="134">
        <v>1</v>
      </c>
      <c r="F1993" s="135" t="s">
        <v>1449</v>
      </c>
      <c r="G1993" s="185" t="s">
        <v>15</v>
      </c>
      <c r="H1993" s="185" t="s">
        <v>15</v>
      </c>
      <c r="I1993" s="185" t="s">
        <v>15</v>
      </c>
      <c r="J1993" s="135" t="s">
        <v>1450</v>
      </c>
      <c r="K1993" s="186">
        <v>11.040000000000001</v>
      </c>
      <c r="L1993" s="187" t="s">
        <v>173</v>
      </c>
      <c r="M1993" s="187" t="s">
        <v>175</v>
      </c>
    </row>
    <row r="1994" spans="1:13" s="188" customFormat="1">
      <c r="A1994" s="185" t="s">
        <v>1447</v>
      </c>
      <c r="B1994" s="133" t="s">
        <v>5260</v>
      </c>
      <c r="C1994" s="185" t="s">
        <v>3023</v>
      </c>
      <c r="D1994" s="133" t="s">
        <v>1642</v>
      </c>
      <c r="E1994" s="134">
        <v>1</v>
      </c>
      <c r="F1994" s="135" t="s">
        <v>1449</v>
      </c>
      <c r="G1994" s="185" t="s">
        <v>15</v>
      </c>
      <c r="H1994" s="185" t="s">
        <v>15</v>
      </c>
      <c r="I1994" s="185" t="s">
        <v>15</v>
      </c>
      <c r="J1994" s="135" t="s">
        <v>1450</v>
      </c>
      <c r="K1994" s="186">
        <v>8.0400000000000009</v>
      </c>
      <c r="L1994" s="187" t="s">
        <v>173</v>
      </c>
      <c r="M1994" s="187" t="s">
        <v>175</v>
      </c>
    </row>
    <row r="1995" spans="1:13" s="188" customFormat="1">
      <c r="A1995" s="185" t="s">
        <v>1447</v>
      </c>
      <c r="B1995" s="133" t="s">
        <v>5261</v>
      </c>
      <c r="C1995" s="185" t="s">
        <v>3023</v>
      </c>
      <c r="D1995" s="133" t="s">
        <v>1642</v>
      </c>
      <c r="E1995" s="134">
        <v>1</v>
      </c>
      <c r="F1995" s="135" t="s">
        <v>1449</v>
      </c>
      <c r="G1995" s="185" t="s">
        <v>15</v>
      </c>
      <c r="H1995" s="185" t="s">
        <v>15</v>
      </c>
      <c r="I1995" s="185" t="s">
        <v>15</v>
      </c>
      <c r="J1995" s="135" t="s">
        <v>1450</v>
      </c>
      <c r="K1995" s="186">
        <v>7.5600000000000005</v>
      </c>
      <c r="L1995" s="187" t="s">
        <v>173</v>
      </c>
      <c r="M1995" s="187" t="s">
        <v>175</v>
      </c>
    </row>
    <row r="1996" spans="1:13" s="188" customFormat="1">
      <c r="A1996" s="185" t="s">
        <v>1447</v>
      </c>
      <c r="B1996" s="133" t="s">
        <v>5262</v>
      </c>
      <c r="C1996" s="185" t="s">
        <v>3023</v>
      </c>
      <c r="D1996" s="133" t="s">
        <v>1642</v>
      </c>
      <c r="E1996" s="134">
        <v>1</v>
      </c>
      <c r="F1996" s="135" t="s">
        <v>1449</v>
      </c>
      <c r="G1996" s="185" t="s">
        <v>15</v>
      </c>
      <c r="H1996" s="185" t="s">
        <v>15</v>
      </c>
      <c r="I1996" s="185" t="s">
        <v>15</v>
      </c>
      <c r="J1996" s="135" t="s">
        <v>1450</v>
      </c>
      <c r="K1996" s="186">
        <v>7.08</v>
      </c>
      <c r="L1996" s="187" t="s">
        <v>173</v>
      </c>
      <c r="M1996" s="187" t="s">
        <v>175</v>
      </c>
    </row>
    <row r="1997" spans="1:13" s="188" customFormat="1">
      <c r="A1997" s="185" t="s">
        <v>1447</v>
      </c>
      <c r="B1997" s="133" t="s">
        <v>5263</v>
      </c>
      <c r="C1997" s="185" t="s">
        <v>3023</v>
      </c>
      <c r="D1997" s="133" t="s">
        <v>1642</v>
      </c>
      <c r="E1997" s="134">
        <v>1</v>
      </c>
      <c r="F1997" s="135" t="s">
        <v>1449</v>
      </c>
      <c r="G1997" s="185" t="s">
        <v>15</v>
      </c>
      <c r="H1997" s="185" t="s">
        <v>15</v>
      </c>
      <c r="I1997" s="185" t="s">
        <v>15</v>
      </c>
      <c r="J1997" s="135" t="s">
        <v>1450</v>
      </c>
      <c r="K1997" s="186">
        <v>6.48</v>
      </c>
      <c r="L1997" s="187" t="s">
        <v>173</v>
      </c>
      <c r="M1997" s="187" t="s">
        <v>175</v>
      </c>
    </row>
    <row r="1998" spans="1:13" s="188" customFormat="1">
      <c r="A1998" s="185" t="s">
        <v>1447</v>
      </c>
      <c r="B1998" s="133" t="s">
        <v>5264</v>
      </c>
      <c r="C1998" s="185" t="s">
        <v>3023</v>
      </c>
      <c r="D1998" s="133" t="s">
        <v>1642</v>
      </c>
      <c r="E1998" s="134">
        <v>1</v>
      </c>
      <c r="F1998" s="135" t="s">
        <v>1449</v>
      </c>
      <c r="G1998" s="185" t="s">
        <v>15</v>
      </c>
      <c r="H1998" s="185" t="s">
        <v>15</v>
      </c>
      <c r="I1998" s="185" t="s">
        <v>15</v>
      </c>
      <c r="J1998" s="135" t="s">
        <v>1450</v>
      </c>
      <c r="K1998" s="186">
        <v>6</v>
      </c>
      <c r="L1998" s="187" t="s">
        <v>173</v>
      </c>
      <c r="M1998" s="187" t="s">
        <v>175</v>
      </c>
    </row>
    <row r="1999" spans="1:13" s="188" customFormat="1">
      <c r="A1999" s="185" t="s">
        <v>1447</v>
      </c>
      <c r="B1999" s="133" t="s">
        <v>5265</v>
      </c>
      <c r="C1999" s="185" t="s">
        <v>3023</v>
      </c>
      <c r="D1999" s="133" t="s">
        <v>1642</v>
      </c>
      <c r="E1999" s="134">
        <v>1</v>
      </c>
      <c r="F1999" s="135" t="s">
        <v>1449</v>
      </c>
      <c r="G1999" s="185" t="s">
        <v>15</v>
      </c>
      <c r="H1999" s="185" t="s">
        <v>15</v>
      </c>
      <c r="I1999" s="185" t="s">
        <v>15</v>
      </c>
      <c r="J1999" s="135" t="s">
        <v>1450</v>
      </c>
      <c r="K1999" s="186">
        <v>5.64</v>
      </c>
      <c r="L1999" s="187" t="s">
        <v>173</v>
      </c>
      <c r="M1999" s="187" t="s">
        <v>175</v>
      </c>
    </row>
    <row r="2000" spans="1:13" s="188" customFormat="1">
      <c r="A2000" s="185" t="s">
        <v>1447</v>
      </c>
      <c r="B2000" s="133" t="s">
        <v>5266</v>
      </c>
      <c r="C2000" s="185" t="s">
        <v>3023</v>
      </c>
      <c r="D2000" s="133" t="s">
        <v>1642</v>
      </c>
      <c r="E2000" s="134">
        <v>1</v>
      </c>
      <c r="F2000" s="135" t="s">
        <v>1449</v>
      </c>
      <c r="G2000" s="185" t="s">
        <v>15</v>
      </c>
      <c r="H2000" s="185" t="s">
        <v>15</v>
      </c>
      <c r="I2000" s="185" t="s">
        <v>15</v>
      </c>
      <c r="J2000" s="135" t="s">
        <v>1450</v>
      </c>
      <c r="K2000" s="186">
        <v>5.16</v>
      </c>
      <c r="L2000" s="187" t="s">
        <v>173</v>
      </c>
      <c r="M2000" s="187" t="s">
        <v>175</v>
      </c>
    </row>
    <row r="2001" spans="1:13" s="188" customFormat="1">
      <c r="A2001" s="185" t="s">
        <v>1447</v>
      </c>
      <c r="B2001" s="133" t="s">
        <v>5267</v>
      </c>
      <c r="C2001" s="185" t="s">
        <v>3023</v>
      </c>
      <c r="D2001" s="133" t="s">
        <v>1643</v>
      </c>
      <c r="E2001" s="134">
        <v>1</v>
      </c>
      <c r="F2001" s="135" t="s">
        <v>1449</v>
      </c>
      <c r="G2001" s="185" t="s">
        <v>15</v>
      </c>
      <c r="H2001" s="185" t="s">
        <v>15</v>
      </c>
      <c r="I2001" s="185" t="s">
        <v>15</v>
      </c>
      <c r="J2001" s="135" t="s">
        <v>1450</v>
      </c>
      <c r="K2001" s="186">
        <v>36</v>
      </c>
      <c r="L2001" s="187" t="s">
        <v>173</v>
      </c>
      <c r="M2001" s="187" t="s">
        <v>175</v>
      </c>
    </row>
    <row r="2002" spans="1:13" s="188" customFormat="1">
      <c r="A2002" s="185" t="s">
        <v>1447</v>
      </c>
      <c r="B2002" s="133" t="s">
        <v>5268</v>
      </c>
      <c r="C2002" s="185" t="s">
        <v>3023</v>
      </c>
      <c r="D2002" s="133" t="s">
        <v>1643</v>
      </c>
      <c r="E2002" s="134">
        <v>1</v>
      </c>
      <c r="F2002" s="135" t="s">
        <v>1449</v>
      </c>
      <c r="G2002" s="185" t="s">
        <v>15</v>
      </c>
      <c r="H2002" s="185" t="s">
        <v>15</v>
      </c>
      <c r="I2002" s="185" t="s">
        <v>15</v>
      </c>
      <c r="J2002" s="135" t="s">
        <v>1450</v>
      </c>
      <c r="K2002" s="186">
        <v>33</v>
      </c>
      <c r="L2002" s="187" t="s">
        <v>173</v>
      </c>
      <c r="M2002" s="187" t="s">
        <v>175</v>
      </c>
    </row>
    <row r="2003" spans="1:13" s="188" customFormat="1">
      <c r="A2003" s="185" t="s">
        <v>1447</v>
      </c>
      <c r="B2003" s="133" t="s">
        <v>5269</v>
      </c>
      <c r="C2003" s="185" t="s">
        <v>3023</v>
      </c>
      <c r="D2003" s="133" t="s">
        <v>1643</v>
      </c>
      <c r="E2003" s="134">
        <v>1</v>
      </c>
      <c r="F2003" s="135" t="s">
        <v>1449</v>
      </c>
      <c r="G2003" s="185" t="s">
        <v>15</v>
      </c>
      <c r="H2003" s="185" t="s">
        <v>15</v>
      </c>
      <c r="I2003" s="185" t="s">
        <v>15</v>
      </c>
      <c r="J2003" s="135" t="s">
        <v>1450</v>
      </c>
      <c r="K2003" s="186">
        <v>29.04</v>
      </c>
      <c r="L2003" s="187" t="s">
        <v>173</v>
      </c>
      <c r="M2003" s="187" t="s">
        <v>175</v>
      </c>
    </row>
    <row r="2004" spans="1:13" s="188" customFormat="1">
      <c r="A2004" s="185" t="s">
        <v>1447</v>
      </c>
      <c r="B2004" s="133" t="s">
        <v>5270</v>
      </c>
      <c r="C2004" s="185" t="s">
        <v>3023</v>
      </c>
      <c r="D2004" s="133" t="s">
        <v>1643</v>
      </c>
      <c r="E2004" s="134">
        <v>1</v>
      </c>
      <c r="F2004" s="135" t="s">
        <v>1449</v>
      </c>
      <c r="G2004" s="185" t="s">
        <v>15</v>
      </c>
      <c r="H2004" s="185" t="s">
        <v>15</v>
      </c>
      <c r="I2004" s="185" t="s">
        <v>15</v>
      </c>
      <c r="J2004" s="135" t="s">
        <v>1450</v>
      </c>
      <c r="K2004" s="186">
        <v>24.96</v>
      </c>
      <c r="L2004" s="187" t="s">
        <v>173</v>
      </c>
      <c r="M2004" s="187" t="s">
        <v>175</v>
      </c>
    </row>
    <row r="2005" spans="1:13" s="188" customFormat="1">
      <c r="A2005" s="185" t="s">
        <v>1447</v>
      </c>
      <c r="B2005" s="133" t="s">
        <v>5271</v>
      </c>
      <c r="C2005" s="185" t="s">
        <v>3023</v>
      </c>
      <c r="D2005" s="133" t="s">
        <v>1643</v>
      </c>
      <c r="E2005" s="134">
        <v>1</v>
      </c>
      <c r="F2005" s="135" t="s">
        <v>1449</v>
      </c>
      <c r="G2005" s="185" t="s">
        <v>15</v>
      </c>
      <c r="H2005" s="185" t="s">
        <v>15</v>
      </c>
      <c r="I2005" s="185" t="s">
        <v>15</v>
      </c>
      <c r="J2005" s="135" t="s">
        <v>1450</v>
      </c>
      <c r="K2005" s="186">
        <v>21.96</v>
      </c>
      <c r="L2005" s="187" t="s">
        <v>173</v>
      </c>
      <c r="M2005" s="187" t="s">
        <v>175</v>
      </c>
    </row>
    <row r="2006" spans="1:13" s="188" customFormat="1">
      <c r="A2006" s="185" t="s">
        <v>1447</v>
      </c>
      <c r="B2006" s="133" t="s">
        <v>5272</v>
      </c>
      <c r="C2006" s="185" t="s">
        <v>3023</v>
      </c>
      <c r="D2006" s="133" t="s">
        <v>1643</v>
      </c>
      <c r="E2006" s="134">
        <v>1</v>
      </c>
      <c r="F2006" s="135" t="s">
        <v>1449</v>
      </c>
      <c r="G2006" s="185" t="s">
        <v>15</v>
      </c>
      <c r="H2006" s="185" t="s">
        <v>15</v>
      </c>
      <c r="I2006" s="185" t="s">
        <v>15</v>
      </c>
      <c r="J2006" s="135" t="s">
        <v>1450</v>
      </c>
      <c r="K2006" s="186">
        <v>18</v>
      </c>
      <c r="L2006" s="187" t="s">
        <v>173</v>
      </c>
      <c r="M2006" s="187" t="s">
        <v>175</v>
      </c>
    </row>
    <row r="2007" spans="1:13" s="188" customFormat="1">
      <c r="A2007" s="185" t="s">
        <v>1447</v>
      </c>
      <c r="B2007" s="133" t="s">
        <v>5273</v>
      </c>
      <c r="C2007" s="185" t="s">
        <v>3023</v>
      </c>
      <c r="D2007" s="133" t="s">
        <v>1643</v>
      </c>
      <c r="E2007" s="134">
        <v>1</v>
      </c>
      <c r="F2007" s="135" t="s">
        <v>1449</v>
      </c>
      <c r="G2007" s="185" t="s">
        <v>15</v>
      </c>
      <c r="H2007" s="185" t="s">
        <v>15</v>
      </c>
      <c r="I2007" s="185" t="s">
        <v>15</v>
      </c>
      <c r="J2007" s="135" t="s">
        <v>1450</v>
      </c>
      <c r="K2007" s="186">
        <v>15</v>
      </c>
      <c r="L2007" s="187" t="s">
        <v>173</v>
      </c>
      <c r="M2007" s="187" t="s">
        <v>175</v>
      </c>
    </row>
    <row r="2008" spans="1:13" s="188" customFormat="1">
      <c r="A2008" s="185" t="s">
        <v>1447</v>
      </c>
      <c r="B2008" s="133" t="s">
        <v>5274</v>
      </c>
      <c r="C2008" s="185" t="s">
        <v>3023</v>
      </c>
      <c r="D2008" s="133" t="s">
        <v>1643</v>
      </c>
      <c r="E2008" s="134">
        <v>1</v>
      </c>
      <c r="F2008" s="135" t="s">
        <v>1449</v>
      </c>
      <c r="G2008" s="185" t="s">
        <v>15</v>
      </c>
      <c r="H2008" s="185" t="s">
        <v>15</v>
      </c>
      <c r="I2008" s="185" t="s">
        <v>15</v>
      </c>
      <c r="J2008" s="135" t="s">
        <v>1450</v>
      </c>
      <c r="K2008" s="186">
        <v>14.04</v>
      </c>
      <c r="L2008" s="187" t="s">
        <v>173</v>
      </c>
      <c r="M2008" s="187" t="s">
        <v>175</v>
      </c>
    </row>
    <row r="2009" spans="1:13" s="188" customFormat="1">
      <c r="A2009" s="185" t="s">
        <v>1447</v>
      </c>
      <c r="B2009" s="133" t="s">
        <v>5275</v>
      </c>
      <c r="C2009" s="185" t="s">
        <v>3023</v>
      </c>
      <c r="D2009" s="133" t="s">
        <v>1643</v>
      </c>
      <c r="E2009" s="134">
        <v>1</v>
      </c>
      <c r="F2009" s="135" t="s">
        <v>1449</v>
      </c>
      <c r="G2009" s="185" t="s">
        <v>15</v>
      </c>
      <c r="H2009" s="185" t="s">
        <v>15</v>
      </c>
      <c r="I2009" s="185" t="s">
        <v>15</v>
      </c>
      <c r="J2009" s="135" t="s">
        <v>1450</v>
      </c>
      <c r="K2009" s="186">
        <v>12.96</v>
      </c>
      <c r="L2009" s="187" t="s">
        <v>173</v>
      </c>
      <c r="M2009" s="187" t="s">
        <v>175</v>
      </c>
    </row>
    <row r="2010" spans="1:13" s="188" customFormat="1">
      <c r="A2010" s="185" t="s">
        <v>1447</v>
      </c>
      <c r="B2010" s="133" t="s">
        <v>5276</v>
      </c>
      <c r="C2010" s="185" t="s">
        <v>3023</v>
      </c>
      <c r="D2010" s="133" t="s">
        <v>1644</v>
      </c>
      <c r="E2010" s="134">
        <v>1</v>
      </c>
      <c r="F2010" s="135" t="s">
        <v>1449</v>
      </c>
      <c r="G2010" s="185" t="s">
        <v>15</v>
      </c>
      <c r="H2010" s="185" t="s">
        <v>15</v>
      </c>
      <c r="I2010" s="185" t="s">
        <v>15</v>
      </c>
      <c r="J2010" s="135" t="s">
        <v>1450</v>
      </c>
      <c r="K2010" s="186">
        <v>26.04</v>
      </c>
      <c r="L2010" s="187" t="s">
        <v>173</v>
      </c>
      <c r="M2010" s="187" t="s">
        <v>175</v>
      </c>
    </row>
    <row r="2011" spans="1:13" s="188" customFormat="1">
      <c r="A2011" s="185" t="s">
        <v>1447</v>
      </c>
      <c r="B2011" s="133" t="s">
        <v>5277</v>
      </c>
      <c r="C2011" s="185" t="s">
        <v>3023</v>
      </c>
      <c r="D2011" s="133" t="s">
        <v>1644</v>
      </c>
      <c r="E2011" s="134">
        <v>1</v>
      </c>
      <c r="F2011" s="135" t="s">
        <v>1449</v>
      </c>
      <c r="G2011" s="185" t="s">
        <v>15</v>
      </c>
      <c r="H2011" s="185" t="s">
        <v>15</v>
      </c>
      <c r="I2011" s="185" t="s">
        <v>15</v>
      </c>
      <c r="J2011" s="135" t="s">
        <v>1450</v>
      </c>
      <c r="K2011" s="186">
        <v>24.96</v>
      </c>
      <c r="L2011" s="187" t="s">
        <v>173</v>
      </c>
      <c r="M2011" s="187" t="s">
        <v>175</v>
      </c>
    </row>
    <row r="2012" spans="1:13" s="188" customFormat="1">
      <c r="A2012" s="185" t="s">
        <v>1447</v>
      </c>
      <c r="B2012" s="133" t="s">
        <v>5278</v>
      </c>
      <c r="C2012" s="185" t="s">
        <v>3023</v>
      </c>
      <c r="D2012" s="133" t="s">
        <v>1644</v>
      </c>
      <c r="E2012" s="134">
        <v>1</v>
      </c>
      <c r="F2012" s="135" t="s">
        <v>1449</v>
      </c>
      <c r="G2012" s="185" t="s">
        <v>15</v>
      </c>
      <c r="H2012" s="185" t="s">
        <v>15</v>
      </c>
      <c r="I2012" s="185" t="s">
        <v>15</v>
      </c>
      <c r="J2012" s="135" t="s">
        <v>1450</v>
      </c>
      <c r="K2012" s="186">
        <v>20.04</v>
      </c>
      <c r="L2012" s="187" t="s">
        <v>173</v>
      </c>
      <c r="M2012" s="187" t="s">
        <v>175</v>
      </c>
    </row>
    <row r="2013" spans="1:13" s="188" customFormat="1">
      <c r="A2013" s="185" t="s">
        <v>1447</v>
      </c>
      <c r="B2013" s="133" t="s">
        <v>5279</v>
      </c>
      <c r="C2013" s="185" t="s">
        <v>3023</v>
      </c>
      <c r="D2013" s="133" t="s">
        <v>1644</v>
      </c>
      <c r="E2013" s="134">
        <v>1</v>
      </c>
      <c r="F2013" s="135" t="s">
        <v>1449</v>
      </c>
      <c r="G2013" s="185" t="s">
        <v>15</v>
      </c>
      <c r="H2013" s="185" t="s">
        <v>15</v>
      </c>
      <c r="I2013" s="185" t="s">
        <v>15</v>
      </c>
      <c r="J2013" s="135" t="s">
        <v>1450</v>
      </c>
      <c r="K2013" s="186">
        <v>17.04</v>
      </c>
      <c r="L2013" s="187" t="s">
        <v>173</v>
      </c>
      <c r="M2013" s="187" t="s">
        <v>175</v>
      </c>
    </row>
    <row r="2014" spans="1:13" s="188" customFormat="1">
      <c r="A2014" s="185" t="s">
        <v>1447</v>
      </c>
      <c r="B2014" s="133" t="s">
        <v>5280</v>
      </c>
      <c r="C2014" s="185" t="s">
        <v>3023</v>
      </c>
      <c r="D2014" s="133" t="s">
        <v>1644</v>
      </c>
      <c r="E2014" s="134">
        <v>1</v>
      </c>
      <c r="F2014" s="135" t="s">
        <v>1449</v>
      </c>
      <c r="G2014" s="185" t="s">
        <v>15</v>
      </c>
      <c r="H2014" s="185" t="s">
        <v>15</v>
      </c>
      <c r="I2014" s="185" t="s">
        <v>15</v>
      </c>
      <c r="J2014" s="135" t="s">
        <v>1450</v>
      </c>
      <c r="K2014" s="186">
        <v>14.04</v>
      </c>
      <c r="L2014" s="187" t="s">
        <v>173</v>
      </c>
      <c r="M2014" s="187" t="s">
        <v>175</v>
      </c>
    </row>
    <row r="2015" spans="1:13" s="188" customFormat="1">
      <c r="A2015" s="185" t="s">
        <v>1447</v>
      </c>
      <c r="B2015" s="133" t="s">
        <v>5281</v>
      </c>
      <c r="C2015" s="185" t="s">
        <v>3023</v>
      </c>
      <c r="D2015" s="133" t="s">
        <v>1644</v>
      </c>
      <c r="E2015" s="134">
        <v>1</v>
      </c>
      <c r="F2015" s="135" t="s">
        <v>1449</v>
      </c>
      <c r="G2015" s="185" t="s">
        <v>15</v>
      </c>
      <c r="H2015" s="185" t="s">
        <v>15</v>
      </c>
      <c r="I2015" s="185" t="s">
        <v>15</v>
      </c>
      <c r="J2015" s="135" t="s">
        <v>1450</v>
      </c>
      <c r="K2015" s="186">
        <v>12</v>
      </c>
      <c r="L2015" s="187" t="s">
        <v>173</v>
      </c>
      <c r="M2015" s="187" t="s">
        <v>175</v>
      </c>
    </row>
    <row r="2016" spans="1:13" s="188" customFormat="1">
      <c r="A2016" s="185" t="s">
        <v>1447</v>
      </c>
      <c r="B2016" s="133" t="s">
        <v>5282</v>
      </c>
      <c r="C2016" s="185" t="s">
        <v>3023</v>
      </c>
      <c r="D2016" s="133" t="s">
        <v>1644</v>
      </c>
      <c r="E2016" s="134">
        <v>1</v>
      </c>
      <c r="F2016" s="135" t="s">
        <v>1449</v>
      </c>
      <c r="G2016" s="185" t="s">
        <v>15</v>
      </c>
      <c r="H2016" s="185" t="s">
        <v>15</v>
      </c>
      <c r="I2016" s="185" t="s">
        <v>15</v>
      </c>
      <c r="J2016" s="135" t="s">
        <v>1450</v>
      </c>
      <c r="K2016" s="186">
        <v>11.040000000000001</v>
      </c>
      <c r="L2016" s="187" t="s">
        <v>173</v>
      </c>
      <c r="M2016" s="187" t="s">
        <v>175</v>
      </c>
    </row>
    <row r="2017" spans="1:13" s="188" customFormat="1">
      <c r="A2017" s="185" t="s">
        <v>1447</v>
      </c>
      <c r="B2017" s="133" t="s">
        <v>5283</v>
      </c>
      <c r="C2017" s="185" t="s">
        <v>3023</v>
      </c>
      <c r="D2017" s="133" t="s">
        <v>1644</v>
      </c>
      <c r="E2017" s="134">
        <v>1</v>
      </c>
      <c r="F2017" s="135" t="s">
        <v>1449</v>
      </c>
      <c r="G2017" s="185" t="s">
        <v>15</v>
      </c>
      <c r="H2017" s="185" t="s">
        <v>15</v>
      </c>
      <c r="I2017" s="185" t="s">
        <v>15</v>
      </c>
      <c r="J2017" s="135" t="s">
        <v>1450</v>
      </c>
      <c r="K2017" s="186">
        <v>9.9599999999999991</v>
      </c>
      <c r="L2017" s="187" t="s">
        <v>173</v>
      </c>
      <c r="M2017" s="187" t="s">
        <v>175</v>
      </c>
    </row>
    <row r="2018" spans="1:13" s="188" customFormat="1">
      <c r="A2018" s="185" t="s">
        <v>1447</v>
      </c>
      <c r="B2018" s="133" t="s">
        <v>5284</v>
      </c>
      <c r="C2018" s="185" t="s">
        <v>3023</v>
      </c>
      <c r="D2018" s="133" t="s">
        <v>1644</v>
      </c>
      <c r="E2018" s="134">
        <v>1</v>
      </c>
      <c r="F2018" s="135" t="s">
        <v>1449</v>
      </c>
      <c r="G2018" s="185" t="s">
        <v>15</v>
      </c>
      <c r="H2018" s="185" t="s">
        <v>15</v>
      </c>
      <c r="I2018" s="185" t="s">
        <v>15</v>
      </c>
      <c r="J2018" s="135" t="s">
        <v>1450</v>
      </c>
      <c r="K2018" s="186">
        <v>8.0400000000000009</v>
      </c>
      <c r="L2018" s="187" t="s">
        <v>173</v>
      </c>
      <c r="M2018" s="187" t="s">
        <v>175</v>
      </c>
    </row>
    <row r="2019" spans="1:13" s="188" customFormat="1">
      <c r="A2019" s="185" t="s">
        <v>1447</v>
      </c>
      <c r="B2019" s="133" t="s">
        <v>5285</v>
      </c>
      <c r="C2019" s="185" t="s">
        <v>3023</v>
      </c>
      <c r="D2019" s="133" t="s">
        <v>1645</v>
      </c>
      <c r="E2019" s="134">
        <v>1</v>
      </c>
      <c r="F2019" s="135" t="s">
        <v>1449</v>
      </c>
      <c r="G2019" s="185" t="s">
        <v>15</v>
      </c>
      <c r="H2019" s="185" t="s">
        <v>15</v>
      </c>
      <c r="I2019" s="185" t="s">
        <v>15</v>
      </c>
      <c r="J2019" s="135" t="s">
        <v>1450</v>
      </c>
      <c r="K2019" s="186">
        <v>12.96</v>
      </c>
      <c r="L2019" s="187" t="s">
        <v>173</v>
      </c>
      <c r="M2019" s="187" t="s">
        <v>175</v>
      </c>
    </row>
    <row r="2020" spans="1:13" s="188" customFormat="1">
      <c r="A2020" s="185" t="s">
        <v>1447</v>
      </c>
      <c r="B2020" s="133" t="s">
        <v>5286</v>
      </c>
      <c r="C2020" s="185" t="s">
        <v>3023</v>
      </c>
      <c r="D2020" s="133" t="s">
        <v>1645</v>
      </c>
      <c r="E2020" s="134">
        <v>1</v>
      </c>
      <c r="F2020" s="135" t="s">
        <v>1449</v>
      </c>
      <c r="G2020" s="185" t="s">
        <v>15</v>
      </c>
      <c r="H2020" s="185" t="s">
        <v>15</v>
      </c>
      <c r="I2020" s="185" t="s">
        <v>15</v>
      </c>
      <c r="J2020" s="135" t="s">
        <v>1450</v>
      </c>
      <c r="K2020" s="186">
        <v>12</v>
      </c>
      <c r="L2020" s="187" t="s">
        <v>173</v>
      </c>
      <c r="M2020" s="187" t="s">
        <v>175</v>
      </c>
    </row>
    <row r="2021" spans="1:13" s="188" customFormat="1">
      <c r="A2021" s="185" t="s">
        <v>1447</v>
      </c>
      <c r="B2021" s="133" t="s">
        <v>5287</v>
      </c>
      <c r="C2021" s="185" t="s">
        <v>3023</v>
      </c>
      <c r="D2021" s="133" t="s">
        <v>1645</v>
      </c>
      <c r="E2021" s="134">
        <v>1</v>
      </c>
      <c r="F2021" s="135" t="s">
        <v>1449</v>
      </c>
      <c r="G2021" s="185" t="s">
        <v>15</v>
      </c>
      <c r="H2021" s="185" t="s">
        <v>15</v>
      </c>
      <c r="I2021" s="185" t="s">
        <v>15</v>
      </c>
      <c r="J2021" s="135" t="s">
        <v>1450</v>
      </c>
      <c r="K2021" s="186">
        <v>9.9599999999999991</v>
      </c>
      <c r="L2021" s="187" t="s">
        <v>173</v>
      </c>
      <c r="M2021" s="187" t="s">
        <v>175</v>
      </c>
    </row>
    <row r="2022" spans="1:13" s="188" customFormat="1">
      <c r="A2022" s="185" t="s">
        <v>1447</v>
      </c>
      <c r="B2022" s="133" t="s">
        <v>5288</v>
      </c>
      <c r="C2022" s="185" t="s">
        <v>3023</v>
      </c>
      <c r="D2022" s="133" t="s">
        <v>1645</v>
      </c>
      <c r="E2022" s="134">
        <v>1</v>
      </c>
      <c r="F2022" s="135" t="s">
        <v>1449</v>
      </c>
      <c r="G2022" s="185" t="s">
        <v>15</v>
      </c>
      <c r="H2022" s="185" t="s">
        <v>15</v>
      </c>
      <c r="I2022" s="185" t="s">
        <v>15</v>
      </c>
      <c r="J2022" s="135" t="s">
        <v>1450</v>
      </c>
      <c r="K2022" s="186">
        <v>8.3999999999999986</v>
      </c>
      <c r="L2022" s="187" t="s">
        <v>173</v>
      </c>
      <c r="M2022" s="187" t="s">
        <v>175</v>
      </c>
    </row>
    <row r="2023" spans="1:13" s="188" customFormat="1">
      <c r="A2023" s="185" t="s">
        <v>1447</v>
      </c>
      <c r="B2023" s="133" t="s">
        <v>5289</v>
      </c>
      <c r="C2023" s="185" t="s">
        <v>3023</v>
      </c>
      <c r="D2023" s="133" t="s">
        <v>1645</v>
      </c>
      <c r="E2023" s="134">
        <v>1</v>
      </c>
      <c r="F2023" s="135" t="s">
        <v>1449</v>
      </c>
      <c r="G2023" s="185" t="s">
        <v>15</v>
      </c>
      <c r="H2023" s="185" t="s">
        <v>15</v>
      </c>
      <c r="I2023" s="185" t="s">
        <v>15</v>
      </c>
      <c r="J2023" s="135" t="s">
        <v>1450</v>
      </c>
      <c r="K2023" s="186">
        <v>6.9599999999999991</v>
      </c>
      <c r="L2023" s="187" t="s">
        <v>173</v>
      </c>
      <c r="M2023" s="187" t="s">
        <v>175</v>
      </c>
    </row>
    <row r="2024" spans="1:13" s="188" customFormat="1">
      <c r="A2024" s="185" t="s">
        <v>1447</v>
      </c>
      <c r="B2024" s="133" t="s">
        <v>5290</v>
      </c>
      <c r="C2024" s="185" t="s">
        <v>3023</v>
      </c>
      <c r="D2024" s="133" t="s">
        <v>1645</v>
      </c>
      <c r="E2024" s="134">
        <v>1</v>
      </c>
      <c r="F2024" s="135" t="s">
        <v>1449</v>
      </c>
      <c r="G2024" s="185" t="s">
        <v>15</v>
      </c>
      <c r="H2024" s="185" t="s">
        <v>15</v>
      </c>
      <c r="I2024" s="185" t="s">
        <v>15</v>
      </c>
      <c r="J2024" s="135" t="s">
        <v>1450</v>
      </c>
      <c r="K2024" s="186">
        <v>6</v>
      </c>
      <c r="L2024" s="187" t="s">
        <v>173</v>
      </c>
      <c r="M2024" s="187" t="s">
        <v>175</v>
      </c>
    </row>
    <row r="2025" spans="1:13" s="188" customFormat="1">
      <c r="A2025" s="185" t="s">
        <v>1447</v>
      </c>
      <c r="B2025" s="133" t="s">
        <v>5291</v>
      </c>
      <c r="C2025" s="185" t="s">
        <v>3023</v>
      </c>
      <c r="D2025" s="133" t="s">
        <v>1645</v>
      </c>
      <c r="E2025" s="134">
        <v>1</v>
      </c>
      <c r="F2025" s="135" t="s">
        <v>1449</v>
      </c>
      <c r="G2025" s="185" t="s">
        <v>15</v>
      </c>
      <c r="H2025" s="185" t="s">
        <v>15</v>
      </c>
      <c r="I2025" s="185" t="s">
        <v>15</v>
      </c>
      <c r="J2025" s="135" t="s">
        <v>1450</v>
      </c>
      <c r="K2025" s="186">
        <v>5.64</v>
      </c>
      <c r="L2025" s="187" t="s">
        <v>173</v>
      </c>
      <c r="M2025" s="187" t="s">
        <v>175</v>
      </c>
    </row>
    <row r="2026" spans="1:13" s="188" customFormat="1">
      <c r="A2026" s="185" t="s">
        <v>1447</v>
      </c>
      <c r="B2026" s="133" t="s">
        <v>5292</v>
      </c>
      <c r="C2026" s="185" t="s">
        <v>3023</v>
      </c>
      <c r="D2026" s="133" t="s">
        <v>1645</v>
      </c>
      <c r="E2026" s="134">
        <v>1</v>
      </c>
      <c r="F2026" s="135" t="s">
        <v>1449</v>
      </c>
      <c r="G2026" s="185" t="s">
        <v>15</v>
      </c>
      <c r="H2026" s="185" t="s">
        <v>15</v>
      </c>
      <c r="I2026" s="185" t="s">
        <v>15</v>
      </c>
      <c r="J2026" s="135" t="s">
        <v>1450</v>
      </c>
      <c r="K2026" s="186">
        <v>5.04</v>
      </c>
      <c r="L2026" s="187" t="s">
        <v>173</v>
      </c>
      <c r="M2026" s="187" t="s">
        <v>175</v>
      </c>
    </row>
    <row r="2027" spans="1:13" s="188" customFormat="1">
      <c r="A2027" s="185" t="s">
        <v>1447</v>
      </c>
      <c r="B2027" s="133" t="s">
        <v>5293</v>
      </c>
      <c r="C2027" s="185" t="s">
        <v>3023</v>
      </c>
      <c r="D2027" s="133" t="s">
        <v>1645</v>
      </c>
      <c r="E2027" s="134">
        <v>1</v>
      </c>
      <c r="F2027" s="135" t="s">
        <v>1449</v>
      </c>
      <c r="G2027" s="185" t="s">
        <v>15</v>
      </c>
      <c r="H2027" s="185" t="s">
        <v>15</v>
      </c>
      <c r="I2027" s="185" t="s">
        <v>15</v>
      </c>
      <c r="J2027" s="135" t="s">
        <v>1450</v>
      </c>
      <c r="K2027" s="186">
        <v>4.5600000000000005</v>
      </c>
      <c r="L2027" s="187" t="s">
        <v>173</v>
      </c>
      <c r="M2027" s="187" t="s">
        <v>175</v>
      </c>
    </row>
    <row r="2028" spans="1:13" s="188" customFormat="1">
      <c r="A2028" s="185" t="s">
        <v>1447</v>
      </c>
      <c r="B2028" s="133" t="s">
        <v>5294</v>
      </c>
      <c r="C2028" s="185" t="s">
        <v>3023</v>
      </c>
      <c r="D2028" s="133" t="s">
        <v>1646</v>
      </c>
      <c r="E2028" s="134">
        <v>1</v>
      </c>
      <c r="F2028" s="135" t="s">
        <v>1449</v>
      </c>
      <c r="G2028" s="185" t="s">
        <v>15</v>
      </c>
      <c r="H2028" s="185" t="s">
        <v>15</v>
      </c>
      <c r="I2028" s="185" t="s">
        <v>15</v>
      </c>
      <c r="J2028" s="135" t="s">
        <v>1450</v>
      </c>
      <c r="K2028" s="186">
        <v>32.04</v>
      </c>
      <c r="L2028" s="187" t="s">
        <v>173</v>
      </c>
      <c r="M2028" s="187" t="s">
        <v>175</v>
      </c>
    </row>
    <row r="2029" spans="1:13" s="188" customFormat="1">
      <c r="A2029" s="185" t="s">
        <v>1447</v>
      </c>
      <c r="B2029" s="133" t="s">
        <v>5295</v>
      </c>
      <c r="C2029" s="185" t="s">
        <v>3023</v>
      </c>
      <c r="D2029" s="133" t="s">
        <v>1646</v>
      </c>
      <c r="E2029" s="134">
        <v>1</v>
      </c>
      <c r="F2029" s="135" t="s">
        <v>1449</v>
      </c>
      <c r="G2029" s="185" t="s">
        <v>15</v>
      </c>
      <c r="H2029" s="185" t="s">
        <v>15</v>
      </c>
      <c r="I2029" s="185" t="s">
        <v>15</v>
      </c>
      <c r="J2029" s="135" t="s">
        <v>1450</v>
      </c>
      <c r="K2029" s="186">
        <v>30.96</v>
      </c>
      <c r="L2029" s="187" t="s">
        <v>173</v>
      </c>
      <c r="M2029" s="187" t="s">
        <v>175</v>
      </c>
    </row>
    <row r="2030" spans="1:13" s="188" customFormat="1">
      <c r="A2030" s="185" t="s">
        <v>1447</v>
      </c>
      <c r="B2030" s="133" t="s">
        <v>5296</v>
      </c>
      <c r="C2030" s="185" t="s">
        <v>3023</v>
      </c>
      <c r="D2030" s="133" t="s">
        <v>1646</v>
      </c>
      <c r="E2030" s="134">
        <v>1</v>
      </c>
      <c r="F2030" s="135" t="s">
        <v>1449</v>
      </c>
      <c r="G2030" s="185" t="s">
        <v>15</v>
      </c>
      <c r="H2030" s="185" t="s">
        <v>15</v>
      </c>
      <c r="I2030" s="185" t="s">
        <v>15</v>
      </c>
      <c r="J2030" s="135" t="s">
        <v>1450</v>
      </c>
      <c r="K2030" s="186">
        <v>24</v>
      </c>
      <c r="L2030" s="187" t="s">
        <v>173</v>
      </c>
      <c r="M2030" s="187" t="s">
        <v>175</v>
      </c>
    </row>
    <row r="2031" spans="1:13" s="188" customFormat="1">
      <c r="A2031" s="185" t="s">
        <v>1447</v>
      </c>
      <c r="B2031" s="133" t="s">
        <v>5297</v>
      </c>
      <c r="C2031" s="185" t="s">
        <v>3023</v>
      </c>
      <c r="D2031" s="133" t="s">
        <v>1646</v>
      </c>
      <c r="E2031" s="134">
        <v>1</v>
      </c>
      <c r="F2031" s="135" t="s">
        <v>1449</v>
      </c>
      <c r="G2031" s="185" t="s">
        <v>15</v>
      </c>
      <c r="H2031" s="185" t="s">
        <v>15</v>
      </c>
      <c r="I2031" s="185" t="s">
        <v>15</v>
      </c>
      <c r="J2031" s="135" t="s">
        <v>1450</v>
      </c>
      <c r="K2031" s="186">
        <v>21</v>
      </c>
      <c r="L2031" s="187" t="s">
        <v>173</v>
      </c>
      <c r="M2031" s="187" t="s">
        <v>175</v>
      </c>
    </row>
    <row r="2032" spans="1:13" s="188" customFormat="1">
      <c r="A2032" s="185" t="s">
        <v>1447</v>
      </c>
      <c r="B2032" s="133" t="s">
        <v>5298</v>
      </c>
      <c r="C2032" s="185" t="s">
        <v>3023</v>
      </c>
      <c r="D2032" s="133" t="s">
        <v>1646</v>
      </c>
      <c r="E2032" s="134">
        <v>1</v>
      </c>
      <c r="F2032" s="135" t="s">
        <v>1449</v>
      </c>
      <c r="G2032" s="185" t="s">
        <v>15</v>
      </c>
      <c r="H2032" s="185" t="s">
        <v>15</v>
      </c>
      <c r="I2032" s="185" t="s">
        <v>15</v>
      </c>
      <c r="J2032" s="135" t="s">
        <v>1450</v>
      </c>
      <c r="K2032" s="186">
        <v>17.04</v>
      </c>
      <c r="L2032" s="187" t="s">
        <v>173</v>
      </c>
      <c r="M2032" s="187" t="s">
        <v>175</v>
      </c>
    </row>
    <row r="2033" spans="1:13" s="188" customFormat="1">
      <c r="A2033" s="185" t="s">
        <v>1447</v>
      </c>
      <c r="B2033" s="133" t="s">
        <v>5299</v>
      </c>
      <c r="C2033" s="185" t="s">
        <v>3023</v>
      </c>
      <c r="D2033" s="133" t="s">
        <v>1646</v>
      </c>
      <c r="E2033" s="134">
        <v>1</v>
      </c>
      <c r="F2033" s="135" t="s">
        <v>1449</v>
      </c>
      <c r="G2033" s="185" t="s">
        <v>15</v>
      </c>
      <c r="H2033" s="185" t="s">
        <v>15</v>
      </c>
      <c r="I2033" s="185" t="s">
        <v>15</v>
      </c>
      <c r="J2033" s="135" t="s">
        <v>1450</v>
      </c>
      <c r="K2033" s="186">
        <v>15</v>
      </c>
      <c r="L2033" s="187" t="s">
        <v>173</v>
      </c>
      <c r="M2033" s="187" t="s">
        <v>175</v>
      </c>
    </row>
    <row r="2034" spans="1:13" s="188" customFormat="1">
      <c r="A2034" s="185" t="s">
        <v>1447</v>
      </c>
      <c r="B2034" s="133" t="s">
        <v>5300</v>
      </c>
      <c r="C2034" s="185" t="s">
        <v>3023</v>
      </c>
      <c r="D2034" s="133" t="s">
        <v>1646</v>
      </c>
      <c r="E2034" s="134">
        <v>1</v>
      </c>
      <c r="F2034" s="135" t="s">
        <v>1449</v>
      </c>
      <c r="G2034" s="185" t="s">
        <v>15</v>
      </c>
      <c r="H2034" s="185" t="s">
        <v>15</v>
      </c>
      <c r="I2034" s="185" t="s">
        <v>15</v>
      </c>
      <c r="J2034" s="135" t="s">
        <v>1450</v>
      </c>
      <c r="K2034" s="186">
        <v>14.04</v>
      </c>
      <c r="L2034" s="187" t="s">
        <v>173</v>
      </c>
      <c r="M2034" s="187" t="s">
        <v>175</v>
      </c>
    </row>
    <row r="2035" spans="1:13" s="188" customFormat="1">
      <c r="A2035" s="185" t="s">
        <v>1447</v>
      </c>
      <c r="B2035" s="133" t="s">
        <v>5301</v>
      </c>
      <c r="C2035" s="185" t="s">
        <v>3023</v>
      </c>
      <c r="D2035" s="133" t="s">
        <v>1646</v>
      </c>
      <c r="E2035" s="134">
        <v>1</v>
      </c>
      <c r="F2035" s="135" t="s">
        <v>1449</v>
      </c>
      <c r="G2035" s="185" t="s">
        <v>15</v>
      </c>
      <c r="H2035" s="185" t="s">
        <v>15</v>
      </c>
      <c r="I2035" s="185" t="s">
        <v>15</v>
      </c>
      <c r="J2035" s="135" t="s">
        <v>1450</v>
      </c>
      <c r="K2035" s="186">
        <v>12.96</v>
      </c>
      <c r="L2035" s="187" t="s">
        <v>173</v>
      </c>
      <c r="M2035" s="187" t="s">
        <v>175</v>
      </c>
    </row>
    <row r="2036" spans="1:13" s="188" customFormat="1">
      <c r="A2036" s="185" t="s">
        <v>1447</v>
      </c>
      <c r="B2036" s="133" t="s">
        <v>5302</v>
      </c>
      <c r="C2036" s="185" t="s">
        <v>3023</v>
      </c>
      <c r="D2036" s="133" t="s">
        <v>1646</v>
      </c>
      <c r="E2036" s="134">
        <v>1</v>
      </c>
      <c r="F2036" s="135" t="s">
        <v>1449</v>
      </c>
      <c r="G2036" s="185" t="s">
        <v>15</v>
      </c>
      <c r="H2036" s="185" t="s">
        <v>15</v>
      </c>
      <c r="I2036" s="185" t="s">
        <v>15</v>
      </c>
      <c r="J2036" s="135" t="s">
        <v>1450</v>
      </c>
      <c r="K2036" s="186">
        <v>12</v>
      </c>
      <c r="L2036" s="187" t="s">
        <v>173</v>
      </c>
      <c r="M2036" s="187" t="s">
        <v>175</v>
      </c>
    </row>
    <row r="2037" spans="1:13" s="188" customFormat="1">
      <c r="A2037" s="185" t="s">
        <v>1447</v>
      </c>
      <c r="B2037" s="133" t="s">
        <v>5303</v>
      </c>
      <c r="C2037" s="185" t="s">
        <v>3023</v>
      </c>
      <c r="D2037" s="133" t="s">
        <v>1647</v>
      </c>
      <c r="E2037" s="134">
        <v>1</v>
      </c>
      <c r="F2037" s="135" t="s">
        <v>1449</v>
      </c>
      <c r="G2037" s="185" t="s">
        <v>15</v>
      </c>
      <c r="H2037" s="185" t="s">
        <v>15</v>
      </c>
      <c r="I2037" s="185" t="s">
        <v>15</v>
      </c>
      <c r="J2037" s="135" t="s">
        <v>1450</v>
      </c>
      <c r="K2037" s="186">
        <v>336</v>
      </c>
      <c r="L2037" s="187" t="s">
        <v>173</v>
      </c>
      <c r="M2037" s="187" t="s">
        <v>175</v>
      </c>
    </row>
    <row r="2038" spans="1:13" s="188" customFormat="1">
      <c r="A2038" s="185" t="s">
        <v>1447</v>
      </c>
      <c r="B2038" s="133" t="s">
        <v>5304</v>
      </c>
      <c r="C2038" s="185" t="s">
        <v>3023</v>
      </c>
      <c r="D2038" s="133" t="s">
        <v>1647</v>
      </c>
      <c r="E2038" s="134">
        <v>1</v>
      </c>
      <c r="F2038" s="135" t="s">
        <v>1449</v>
      </c>
      <c r="G2038" s="185" t="s">
        <v>15</v>
      </c>
      <c r="H2038" s="185" t="s">
        <v>15</v>
      </c>
      <c r="I2038" s="185" t="s">
        <v>15</v>
      </c>
      <c r="J2038" s="135" t="s">
        <v>1450</v>
      </c>
      <c r="K2038" s="186">
        <v>276</v>
      </c>
      <c r="L2038" s="187" t="s">
        <v>173</v>
      </c>
      <c r="M2038" s="187" t="s">
        <v>175</v>
      </c>
    </row>
    <row r="2039" spans="1:13" s="188" customFormat="1">
      <c r="A2039" s="185" t="s">
        <v>1447</v>
      </c>
      <c r="B2039" s="133" t="s">
        <v>5305</v>
      </c>
      <c r="C2039" s="185" t="s">
        <v>3023</v>
      </c>
      <c r="D2039" s="133" t="s">
        <v>1647</v>
      </c>
      <c r="E2039" s="134">
        <v>1</v>
      </c>
      <c r="F2039" s="135" t="s">
        <v>1449</v>
      </c>
      <c r="G2039" s="185" t="s">
        <v>15</v>
      </c>
      <c r="H2039" s="185" t="s">
        <v>15</v>
      </c>
      <c r="I2039" s="185" t="s">
        <v>15</v>
      </c>
      <c r="J2039" s="135" t="s">
        <v>1450</v>
      </c>
      <c r="K2039" s="186">
        <v>216</v>
      </c>
      <c r="L2039" s="187" t="s">
        <v>173</v>
      </c>
      <c r="M2039" s="187" t="s">
        <v>175</v>
      </c>
    </row>
    <row r="2040" spans="1:13" s="188" customFormat="1">
      <c r="A2040" s="185" t="s">
        <v>1447</v>
      </c>
      <c r="B2040" s="133" t="s">
        <v>5306</v>
      </c>
      <c r="C2040" s="185" t="s">
        <v>3023</v>
      </c>
      <c r="D2040" s="133" t="s">
        <v>1647</v>
      </c>
      <c r="E2040" s="134">
        <v>1</v>
      </c>
      <c r="F2040" s="135" t="s">
        <v>1449</v>
      </c>
      <c r="G2040" s="185" t="s">
        <v>15</v>
      </c>
      <c r="H2040" s="185" t="s">
        <v>15</v>
      </c>
      <c r="I2040" s="185" t="s">
        <v>15</v>
      </c>
      <c r="J2040" s="135" t="s">
        <v>1450</v>
      </c>
      <c r="K2040" s="186">
        <v>204</v>
      </c>
      <c r="L2040" s="187" t="s">
        <v>173</v>
      </c>
      <c r="M2040" s="187" t="s">
        <v>175</v>
      </c>
    </row>
    <row r="2041" spans="1:13" s="188" customFormat="1">
      <c r="A2041" s="185" t="s">
        <v>1447</v>
      </c>
      <c r="B2041" s="133" t="s">
        <v>5307</v>
      </c>
      <c r="C2041" s="185" t="s">
        <v>3023</v>
      </c>
      <c r="D2041" s="133" t="s">
        <v>1647</v>
      </c>
      <c r="E2041" s="134">
        <v>1</v>
      </c>
      <c r="F2041" s="135" t="s">
        <v>1449</v>
      </c>
      <c r="G2041" s="185" t="s">
        <v>15</v>
      </c>
      <c r="H2041" s="185" t="s">
        <v>15</v>
      </c>
      <c r="I2041" s="185" t="s">
        <v>15</v>
      </c>
      <c r="J2041" s="135" t="s">
        <v>1450</v>
      </c>
      <c r="K2041" s="186">
        <v>192</v>
      </c>
      <c r="L2041" s="187" t="s">
        <v>173</v>
      </c>
      <c r="M2041" s="187" t="s">
        <v>175</v>
      </c>
    </row>
    <row r="2042" spans="1:13" s="188" customFormat="1">
      <c r="A2042" s="185" t="s">
        <v>1447</v>
      </c>
      <c r="B2042" s="133" t="s">
        <v>5308</v>
      </c>
      <c r="C2042" s="185" t="s">
        <v>3023</v>
      </c>
      <c r="D2042" s="133" t="s">
        <v>1647</v>
      </c>
      <c r="E2042" s="134">
        <v>1</v>
      </c>
      <c r="F2042" s="135" t="s">
        <v>1449</v>
      </c>
      <c r="G2042" s="185" t="s">
        <v>15</v>
      </c>
      <c r="H2042" s="185" t="s">
        <v>15</v>
      </c>
      <c r="I2042" s="185" t="s">
        <v>15</v>
      </c>
      <c r="J2042" s="135" t="s">
        <v>1450</v>
      </c>
      <c r="K2042" s="186">
        <v>180</v>
      </c>
      <c r="L2042" s="187" t="s">
        <v>173</v>
      </c>
      <c r="M2042" s="187" t="s">
        <v>175</v>
      </c>
    </row>
    <row r="2043" spans="1:13" s="188" customFormat="1">
      <c r="A2043" s="185" t="s">
        <v>1447</v>
      </c>
      <c r="B2043" s="133" t="s">
        <v>5309</v>
      </c>
      <c r="C2043" s="185" t="s">
        <v>3023</v>
      </c>
      <c r="D2043" s="133" t="s">
        <v>1647</v>
      </c>
      <c r="E2043" s="134">
        <v>1</v>
      </c>
      <c r="F2043" s="135" t="s">
        <v>1449</v>
      </c>
      <c r="G2043" s="185" t="s">
        <v>15</v>
      </c>
      <c r="H2043" s="185" t="s">
        <v>15</v>
      </c>
      <c r="I2043" s="185" t="s">
        <v>15</v>
      </c>
      <c r="J2043" s="135" t="s">
        <v>1450</v>
      </c>
      <c r="K2043" s="186">
        <v>156</v>
      </c>
      <c r="L2043" s="187" t="s">
        <v>173</v>
      </c>
      <c r="M2043" s="187" t="s">
        <v>175</v>
      </c>
    </row>
    <row r="2044" spans="1:13" s="188" customFormat="1">
      <c r="A2044" s="185" t="s">
        <v>1447</v>
      </c>
      <c r="B2044" s="133" t="s">
        <v>5310</v>
      </c>
      <c r="C2044" s="185" t="s">
        <v>3023</v>
      </c>
      <c r="D2044" s="133" t="s">
        <v>1647</v>
      </c>
      <c r="E2044" s="134">
        <v>1</v>
      </c>
      <c r="F2044" s="135" t="s">
        <v>1449</v>
      </c>
      <c r="G2044" s="185" t="s">
        <v>15</v>
      </c>
      <c r="H2044" s="185" t="s">
        <v>15</v>
      </c>
      <c r="I2044" s="185" t="s">
        <v>15</v>
      </c>
      <c r="J2044" s="135" t="s">
        <v>1450</v>
      </c>
      <c r="K2044" s="186">
        <v>144</v>
      </c>
      <c r="L2044" s="187" t="s">
        <v>173</v>
      </c>
      <c r="M2044" s="187" t="s">
        <v>175</v>
      </c>
    </row>
    <row r="2045" spans="1:13" s="188" customFormat="1">
      <c r="A2045" s="185" t="s">
        <v>1447</v>
      </c>
      <c r="B2045" s="133" t="s">
        <v>5311</v>
      </c>
      <c r="C2045" s="185" t="s">
        <v>3023</v>
      </c>
      <c r="D2045" s="133" t="s">
        <v>1647</v>
      </c>
      <c r="E2045" s="134">
        <v>1</v>
      </c>
      <c r="F2045" s="135" t="s">
        <v>1449</v>
      </c>
      <c r="G2045" s="185" t="s">
        <v>15</v>
      </c>
      <c r="H2045" s="185" t="s">
        <v>15</v>
      </c>
      <c r="I2045" s="185" t="s">
        <v>15</v>
      </c>
      <c r="J2045" s="135" t="s">
        <v>1450</v>
      </c>
      <c r="K2045" s="186">
        <v>132</v>
      </c>
      <c r="L2045" s="187" t="s">
        <v>173</v>
      </c>
      <c r="M2045" s="187" t="s">
        <v>175</v>
      </c>
    </row>
    <row r="2046" spans="1:13" s="188" customFormat="1">
      <c r="A2046" s="185" t="s">
        <v>1447</v>
      </c>
      <c r="B2046" s="133" t="s">
        <v>5312</v>
      </c>
      <c r="C2046" s="185" t="s">
        <v>3023</v>
      </c>
      <c r="D2046" s="133" t="s">
        <v>1648</v>
      </c>
      <c r="E2046" s="134">
        <v>1</v>
      </c>
      <c r="F2046" s="135" t="s">
        <v>1449</v>
      </c>
      <c r="G2046" s="185" t="s">
        <v>15</v>
      </c>
      <c r="H2046" s="185" t="s">
        <v>15</v>
      </c>
      <c r="I2046" s="185" t="s">
        <v>15</v>
      </c>
      <c r="J2046" s="135" t="s">
        <v>1450</v>
      </c>
      <c r="K2046" s="186">
        <v>84.24</v>
      </c>
      <c r="L2046" s="187" t="s">
        <v>173</v>
      </c>
      <c r="M2046" s="187" t="s">
        <v>175</v>
      </c>
    </row>
    <row r="2047" spans="1:13" s="188" customFormat="1">
      <c r="A2047" s="185" t="s">
        <v>1447</v>
      </c>
      <c r="B2047" s="133" t="s">
        <v>5313</v>
      </c>
      <c r="C2047" s="185" t="s">
        <v>3023</v>
      </c>
      <c r="D2047" s="133" t="s">
        <v>1648</v>
      </c>
      <c r="E2047" s="134">
        <v>1</v>
      </c>
      <c r="F2047" s="135" t="s">
        <v>1449</v>
      </c>
      <c r="G2047" s="185" t="s">
        <v>15</v>
      </c>
      <c r="H2047" s="185" t="s">
        <v>15</v>
      </c>
      <c r="I2047" s="185" t="s">
        <v>15</v>
      </c>
      <c r="J2047" s="135" t="s">
        <v>1450</v>
      </c>
      <c r="K2047" s="186">
        <v>71.16</v>
      </c>
      <c r="L2047" s="187" t="s">
        <v>173</v>
      </c>
      <c r="M2047" s="187" t="s">
        <v>175</v>
      </c>
    </row>
    <row r="2048" spans="1:13" s="188" customFormat="1">
      <c r="A2048" s="185" t="s">
        <v>1447</v>
      </c>
      <c r="B2048" s="133" t="s">
        <v>5314</v>
      </c>
      <c r="C2048" s="185" t="s">
        <v>3023</v>
      </c>
      <c r="D2048" s="133" t="s">
        <v>1648</v>
      </c>
      <c r="E2048" s="134">
        <v>1</v>
      </c>
      <c r="F2048" s="135" t="s">
        <v>1449</v>
      </c>
      <c r="G2048" s="185" t="s">
        <v>15</v>
      </c>
      <c r="H2048" s="185" t="s">
        <v>15</v>
      </c>
      <c r="I2048" s="185" t="s">
        <v>15</v>
      </c>
      <c r="J2048" s="135" t="s">
        <v>1450</v>
      </c>
      <c r="K2048" s="186">
        <v>56.16</v>
      </c>
      <c r="L2048" s="187" t="s">
        <v>173</v>
      </c>
      <c r="M2048" s="187" t="s">
        <v>175</v>
      </c>
    </row>
    <row r="2049" spans="1:13" s="188" customFormat="1">
      <c r="A2049" s="185" t="s">
        <v>1447</v>
      </c>
      <c r="B2049" s="133" t="s">
        <v>5315</v>
      </c>
      <c r="C2049" s="185" t="s">
        <v>3023</v>
      </c>
      <c r="D2049" s="133" t="s">
        <v>1648</v>
      </c>
      <c r="E2049" s="134">
        <v>1</v>
      </c>
      <c r="F2049" s="135" t="s">
        <v>1449</v>
      </c>
      <c r="G2049" s="185" t="s">
        <v>15</v>
      </c>
      <c r="H2049" s="185" t="s">
        <v>15</v>
      </c>
      <c r="I2049" s="185" t="s">
        <v>15</v>
      </c>
      <c r="J2049" s="135" t="s">
        <v>1450</v>
      </c>
      <c r="K2049" s="186">
        <v>52.199999999999996</v>
      </c>
      <c r="L2049" s="187" t="s">
        <v>173</v>
      </c>
      <c r="M2049" s="187" t="s">
        <v>175</v>
      </c>
    </row>
    <row r="2050" spans="1:13" s="188" customFormat="1">
      <c r="A2050" s="185" t="s">
        <v>1447</v>
      </c>
      <c r="B2050" s="133" t="s">
        <v>5316</v>
      </c>
      <c r="C2050" s="185" t="s">
        <v>3023</v>
      </c>
      <c r="D2050" s="133" t="s">
        <v>1648</v>
      </c>
      <c r="E2050" s="134">
        <v>1</v>
      </c>
      <c r="F2050" s="135" t="s">
        <v>1449</v>
      </c>
      <c r="G2050" s="185" t="s">
        <v>15</v>
      </c>
      <c r="H2050" s="185" t="s">
        <v>15</v>
      </c>
      <c r="I2050" s="185" t="s">
        <v>15</v>
      </c>
      <c r="J2050" s="135" t="s">
        <v>1450</v>
      </c>
      <c r="K2050" s="186">
        <v>49.199999999999996</v>
      </c>
      <c r="L2050" s="187" t="s">
        <v>173</v>
      </c>
      <c r="M2050" s="187" t="s">
        <v>175</v>
      </c>
    </row>
    <row r="2051" spans="1:13" s="188" customFormat="1">
      <c r="A2051" s="185" t="s">
        <v>1447</v>
      </c>
      <c r="B2051" s="133" t="s">
        <v>5317</v>
      </c>
      <c r="C2051" s="185" t="s">
        <v>3023</v>
      </c>
      <c r="D2051" s="133" t="s">
        <v>1648</v>
      </c>
      <c r="E2051" s="134">
        <v>1</v>
      </c>
      <c r="F2051" s="135" t="s">
        <v>1449</v>
      </c>
      <c r="G2051" s="185" t="s">
        <v>15</v>
      </c>
      <c r="H2051" s="185" t="s">
        <v>15</v>
      </c>
      <c r="I2051" s="185" t="s">
        <v>15</v>
      </c>
      <c r="J2051" s="135" t="s">
        <v>1450</v>
      </c>
      <c r="K2051" s="186">
        <v>47.160000000000004</v>
      </c>
      <c r="L2051" s="187" t="s">
        <v>173</v>
      </c>
      <c r="M2051" s="187" t="s">
        <v>175</v>
      </c>
    </row>
    <row r="2052" spans="1:13" s="188" customFormat="1">
      <c r="A2052" s="185" t="s">
        <v>1447</v>
      </c>
      <c r="B2052" s="133" t="s">
        <v>5318</v>
      </c>
      <c r="C2052" s="185" t="s">
        <v>3023</v>
      </c>
      <c r="D2052" s="133" t="s">
        <v>1648</v>
      </c>
      <c r="E2052" s="134">
        <v>1</v>
      </c>
      <c r="F2052" s="135" t="s">
        <v>1449</v>
      </c>
      <c r="G2052" s="185" t="s">
        <v>15</v>
      </c>
      <c r="H2052" s="185" t="s">
        <v>15</v>
      </c>
      <c r="I2052" s="185" t="s">
        <v>15</v>
      </c>
      <c r="J2052" s="135" t="s">
        <v>1450</v>
      </c>
      <c r="K2052" s="186">
        <v>44.76</v>
      </c>
      <c r="L2052" s="187" t="s">
        <v>173</v>
      </c>
      <c r="M2052" s="187" t="s">
        <v>175</v>
      </c>
    </row>
    <row r="2053" spans="1:13" s="188" customFormat="1">
      <c r="A2053" s="185" t="s">
        <v>1447</v>
      </c>
      <c r="B2053" s="133" t="s">
        <v>5319</v>
      </c>
      <c r="C2053" s="185" t="s">
        <v>3023</v>
      </c>
      <c r="D2053" s="133" t="s">
        <v>1648</v>
      </c>
      <c r="E2053" s="134">
        <v>1</v>
      </c>
      <c r="F2053" s="135" t="s">
        <v>1449</v>
      </c>
      <c r="G2053" s="185" t="s">
        <v>15</v>
      </c>
      <c r="H2053" s="185" t="s">
        <v>15</v>
      </c>
      <c r="I2053" s="185" t="s">
        <v>15</v>
      </c>
      <c r="J2053" s="135" t="s">
        <v>1450</v>
      </c>
      <c r="K2053" s="186">
        <v>40.08</v>
      </c>
      <c r="L2053" s="187" t="s">
        <v>173</v>
      </c>
      <c r="M2053" s="187" t="s">
        <v>175</v>
      </c>
    </row>
    <row r="2054" spans="1:13" s="188" customFormat="1">
      <c r="A2054" s="185" t="s">
        <v>1447</v>
      </c>
      <c r="B2054" s="133" t="s">
        <v>5320</v>
      </c>
      <c r="C2054" s="185" t="s">
        <v>3023</v>
      </c>
      <c r="D2054" s="133" t="s">
        <v>1648</v>
      </c>
      <c r="E2054" s="134">
        <v>1</v>
      </c>
      <c r="F2054" s="135" t="s">
        <v>1449</v>
      </c>
      <c r="G2054" s="185" t="s">
        <v>15</v>
      </c>
      <c r="H2054" s="185" t="s">
        <v>15</v>
      </c>
      <c r="I2054" s="185" t="s">
        <v>15</v>
      </c>
      <c r="J2054" s="135" t="s">
        <v>1450</v>
      </c>
      <c r="K2054" s="186">
        <v>34.32</v>
      </c>
      <c r="L2054" s="187" t="s">
        <v>173</v>
      </c>
      <c r="M2054" s="187" t="s">
        <v>175</v>
      </c>
    </row>
    <row r="2055" spans="1:13" s="188" customFormat="1">
      <c r="A2055" s="185" t="s">
        <v>1447</v>
      </c>
      <c r="B2055" s="133" t="s">
        <v>5321</v>
      </c>
      <c r="C2055" s="185" t="s">
        <v>3023</v>
      </c>
      <c r="D2055" s="133" t="s">
        <v>5322</v>
      </c>
      <c r="E2055" s="134">
        <v>1</v>
      </c>
      <c r="F2055" s="135" t="s">
        <v>1449</v>
      </c>
      <c r="G2055" s="185" t="s">
        <v>15</v>
      </c>
      <c r="H2055" s="185" t="s">
        <v>15</v>
      </c>
      <c r="I2055" s="185" t="s">
        <v>15</v>
      </c>
      <c r="J2055" s="135" t="s">
        <v>1450</v>
      </c>
      <c r="K2055" s="186">
        <v>103.68</v>
      </c>
      <c r="L2055" s="187" t="s">
        <v>173</v>
      </c>
      <c r="M2055" s="187" t="s">
        <v>175</v>
      </c>
    </row>
    <row r="2056" spans="1:13" s="188" customFormat="1">
      <c r="A2056" s="185" t="s">
        <v>1447</v>
      </c>
      <c r="B2056" s="133" t="s">
        <v>5323</v>
      </c>
      <c r="C2056" s="185" t="s">
        <v>3023</v>
      </c>
      <c r="D2056" s="133" t="s">
        <v>5322</v>
      </c>
      <c r="E2056" s="134">
        <v>1</v>
      </c>
      <c r="F2056" s="135" t="s">
        <v>1449</v>
      </c>
      <c r="G2056" s="185" t="s">
        <v>15</v>
      </c>
      <c r="H2056" s="185" t="s">
        <v>15</v>
      </c>
      <c r="I2056" s="185" t="s">
        <v>15</v>
      </c>
      <c r="J2056" s="135" t="s">
        <v>1450</v>
      </c>
      <c r="K2056" s="186">
        <v>87.960000000000008</v>
      </c>
      <c r="L2056" s="187" t="s">
        <v>173</v>
      </c>
      <c r="M2056" s="187" t="s">
        <v>175</v>
      </c>
    </row>
    <row r="2057" spans="1:13" s="188" customFormat="1">
      <c r="A2057" s="185" t="s">
        <v>1447</v>
      </c>
      <c r="B2057" s="133" t="s">
        <v>5324</v>
      </c>
      <c r="C2057" s="185" t="s">
        <v>3023</v>
      </c>
      <c r="D2057" s="133" t="s">
        <v>5322</v>
      </c>
      <c r="E2057" s="134">
        <v>1</v>
      </c>
      <c r="F2057" s="135" t="s">
        <v>1449</v>
      </c>
      <c r="G2057" s="185" t="s">
        <v>15</v>
      </c>
      <c r="H2057" s="185" t="s">
        <v>15</v>
      </c>
      <c r="I2057" s="185" t="s">
        <v>15</v>
      </c>
      <c r="J2057" s="135" t="s">
        <v>1450</v>
      </c>
      <c r="K2057" s="186">
        <v>72</v>
      </c>
      <c r="L2057" s="187" t="s">
        <v>173</v>
      </c>
      <c r="M2057" s="187" t="s">
        <v>175</v>
      </c>
    </row>
    <row r="2058" spans="1:13" s="188" customFormat="1">
      <c r="A2058" s="185" t="s">
        <v>1447</v>
      </c>
      <c r="B2058" s="133" t="s">
        <v>5325</v>
      </c>
      <c r="C2058" s="185" t="s">
        <v>3023</v>
      </c>
      <c r="D2058" s="133" t="s">
        <v>5322</v>
      </c>
      <c r="E2058" s="134">
        <v>1</v>
      </c>
      <c r="F2058" s="135" t="s">
        <v>1449</v>
      </c>
      <c r="G2058" s="185" t="s">
        <v>15</v>
      </c>
      <c r="H2058" s="185" t="s">
        <v>15</v>
      </c>
      <c r="I2058" s="185" t="s">
        <v>15</v>
      </c>
      <c r="J2058" s="135" t="s">
        <v>1450</v>
      </c>
      <c r="K2058" s="186">
        <v>55.800000000000004</v>
      </c>
      <c r="L2058" s="187" t="s">
        <v>173</v>
      </c>
      <c r="M2058" s="187" t="s">
        <v>175</v>
      </c>
    </row>
    <row r="2059" spans="1:13" s="188" customFormat="1">
      <c r="A2059" s="185" t="s">
        <v>1447</v>
      </c>
      <c r="B2059" s="133" t="s">
        <v>5326</v>
      </c>
      <c r="C2059" s="185" t="s">
        <v>3023</v>
      </c>
      <c r="D2059" s="133" t="s">
        <v>5322</v>
      </c>
      <c r="E2059" s="134">
        <v>1</v>
      </c>
      <c r="F2059" s="135" t="s">
        <v>1449</v>
      </c>
      <c r="G2059" s="185" t="s">
        <v>15</v>
      </c>
      <c r="H2059" s="185" t="s">
        <v>15</v>
      </c>
      <c r="I2059" s="185" t="s">
        <v>15</v>
      </c>
      <c r="J2059" s="135" t="s">
        <v>1450</v>
      </c>
      <c r="K2059" s="186">
        <v>48</v>
      </c>
      <c r="L2059" s="187" t="s">
        <v>173</v>
      </c>
      <c r="M2059" s="187" t="s">
        <v>175</v>
      </c>
    </row>
    <row r="2060" spans="1:13" s="188" customFormat="1">
      <c r="A2060" s="185" t="s">
        <v>1447</v>
      </c>
      <c r="B2060" s="133" t="s">
        <v>5327</v>
      </c>
      <c r="C2060" s="185" t="s">
        <v>3023</v>
      </c>
      <c r="D2060" s="133" t="s">
        <v>5322</v>
      </c>
      <c r="E2060" s="134">
        <v>1</v>
      </c>
      <c r="F2060" s="135" t="s">
        <v>1449</v>
      </c>
      <c r="G2060" s="185" t="s">
        <v>15</v>
      </c>
      <c r="H2060" s="185" t="s">
        <v>15</v>
      </c>
      <c r="I2060" s="185" t="s">
        <v>15</v>
      </c>
      <c r="J2060" s="135" t="s">
        <v>1450</v>
      </c>
      <c r="K2060" s="186">
        <v>40.32</v>
      </c>
      <c r="L2060" s="187" t="s">
        <v>173</v>
      </c>
      <c r="M2060" s="187" t="s">
        <v>175</v>
      </c>
    </row>
    <row r="2061" spans="1:13" s="188" customFormat="1">
      <c r="A2061" s="185" t="s">
        <v>1447</v>
      </c>
      <c r="B2061" s="133" t="s">
        <v>5328</v>
      </c>
      <c r="C2061" s="185" t="s">
        <v>3023</v>
      </c>
      <c r="D2061" s="133" t="s">
        <v>5322</v>
      </c>
      <c r="E2061" s="134">
        <v>1</v>
      </c>
      <c r="F2061" s="135" t="s">
        <v>1449</v>
      </c>
      <c r="G2061" s="185" t="s">
        <v>15</v>
      </c>
      <c r="H2061" s="185" t="s">
        <v>15</v>
      </c>
      <c r="I2061" s="185" t="s">
        <v>15</v>
      </c>
      <c r="J2061" s="135" t="s">
        <v>1450</v>
      </c>
      <c r="K2061" s="186">
        <v>31.68</v>
      </c>
      <c r="L2061" s="187" t="s">
        <v>173</v>
      </c>
      <c r="M2061" s="187" t="s">
        <v>175</v>
      </c>
    </row>
    <row r="2062" spans="1:13" s="188" customFormat="1">
      <c r="A2062" s="185" t="s">
        <v>1447</v>
      </c>
      <c r="B2062" s="133" t="s">
        <v>5329</v>
      </c>
      <c r="C2062" s="185" t="s">
        <v>3023</v>
      </c>
      <c r="D2062" s="133" t="s">
        <v>5322</v>
      </c>
      <c r="E2062" s="134">
        <v>1</v>
      </c>
      <c r="F2062" s="135" t="s">
        <v>1449</v>
      </c>
      <c r="G2062" s="185" t="s">
        <v>15</v>
      </c>
      <c r="H2062" s="185" t="s">
        <v>15</v>
      </c>
      <c r="I2062" s="185" t="s">
        <v>15</v>
      </c>
      <c r="J2062" s="135" t="s">
        <v>1450</v>
      </c>
      <c r="K2062" s="186">
        <v>27.839999999999996</v>
      </c>
      <c r="L2062" s="187" t="s">
        <v>173</v>
      </c>
      <c r="M2062" s="187" t="s">
        <v>175</v>
      </c>
    </row>
    <row r="2063" spans="1:13" s="188" customFormat="1">
      <c r="A2063" s="185" t="s">
        <v>1447</v>
      </c>
      <c r="B2063" s="133" t="s">
        <v>5330</v>
      </c>
      <c r="C2063" s="185" t="s">
        <v>3023</v>
      </c>
      <c r="D2063" s="133" t="s">
        <v>5322</v>
      </c>
      <c r="E2063" s="134">
        <v>1</v>
      </c>
      <c r="F2063" s="135" t="s">
        <v>1449</v>
      </c>
      <c r="G2063" s="185" t="s">
        <v>15</v>
      </c>
      <c r="H2063" s="185" t="s">
        <v>15</v>
      </c>
      <c r="I2063" s="185" t="s">
        <v>15</v>
      </c>
      <c r="J2063" s="135" t="s">
        <v>1450</v>
      </c>
      <c r="K2063" s="186">
        <v>25.92</v>
      </c>
      <c r="L2063" s="187" t="s">
        <v>173</v>
      </c>
      <c r="M2063" s="187" t="s">
        <v>175</v>
      </c>
    </row>
    <row r="2064" spans="1:13" s="188" customFormat="1">
      <c r="A2064" s="185" t="s">
        <v>1447</v>
      </c>
      <c r="B2064" s="133" t="s">
        <v>5331</v>
      </c>
      <c r="C2064" s="185" t="s">
        <v>3023</v>
      </c>
      <c r="D2064" s="133" t="s">
        <v>5332</v>
      </c>
      <c r="E2064" s="134">
        <v>1</v>
      </c>
      <c r="F2064" s="135" t="s">
        <v>1449</v>
      </c>
      <c r="G2064" s="185" t="s">
        <v>15</v>
      </c>
      <c r="H2064" s="185" t="s">
        <v>15</v>
      </c>
      <c r="I2064" s="185" t="s">
        <v>15</v>
      </c>
      <c r="J2064" s="135" t="s">
        <v>1450</v>
      </c>
      <c r="K2064" s="186">
        <v>60</v>
      </c>
      <c r="L2064" s="187" t="s">
        <v>173</v>
      </c>
      <c r="M2064" s="187" t="s">
        <v>175</v>
      </c>
    </row>
    <row r="2065" spans="1:13" s="188" customFormat="1">
      <c r="A2065" s="185" t="s">
        <v>1447</v>
      </c>
      <c r="B2065" s="133" t="s">
        <v>5333</v>
      </c>
      <c r="C2065" s="185" t="s">
        <v>3023</v>
      </c>
      <c r="D2065" s="133" t="s">
        <v>5332</v>
      </c>
      <c r="E2065" s="134">
        <v>1</v>
      </c>
      <c r="F2065" s="135" t="s">
        <v>1449</v>
      </c>
      <c r="G2065" s="185" t="s">
        <v>15</v>
      </c>
      <c r="H2065" s="185" t="s">
        <v>15</v>
      </c>
      <c r="I2065" s="185" t="s">
        <v>15</v>
      </c>
      <c r="J2065" s="135" t="s">
        <v>1450</v>
      </c>
      <c r="K2065" s="186">
        <v>38.400000000000006</v>
      </c>
      <c r="L2065" s="187" t="s">
        <v>173</v>
      </c>
      <c r="M2065" s="187" t="s">
        <v>175</v>
      </c>
    </row>
    <row r="2066" spans="1:13" s="188" customFormat="1">
      <c r="A2066" s="185" t="s">
        <v>1447</v>
      </c>
      <c r="B2066" s="133" t="s">
        <v>5334</v>
      </c>
      <c r="C2066" s="185" t="s">
        <v>3023</v>
      </c>
      <c r="D2066" s="133" t="s">
        <v>5332</v>
      </c>
      <c r="E2066" s="134">
        <v>1</v>
      </c>
      <c r="F2066" s="135" t="s">
        <v>1449</v>
      </c>
      <c r="G2066" s="185" t="s">
        <v>15</v>
      </c>
      <c r="H2066" s="185" t="s">
        <v>15</v>
      </c>
      <c r="I2066" s="185" t="s">
        <v>15</v>
      </c>
      <c r="J2066" s="135" t="s">
        <v>1450</v>
      </c>
      <c r="K2066" s="186">
        <v>35.04</v>
      </c>
      <c r="L2066" s="187" t="s">
        <v>173</v>
      </c>
      <c r="M2066" s="187" t="s">
        <v>175</v>
      </c>
    </row>
    <row r="2067" spans="1:13" s="188" customFormat="1">
      <c r="A2067" s="185" t="s">
        <v>1447</v>
      </c>
      <c r="B2067" s="133" t="s">
        <v>5335</v>
      </c>
      <c r="C2067" s="185" t="s">
        <v>3023</v>
      </c>
      <c r="D2067" s="133" t="s">
        <v>5332</v>
      </c>
      <c r="E2067" s="134">
        <v>1</v>
      </c>
      <c r="F2067" s="135" t="s">
        <v>1449</v>
      </c>
      <c r="G2067" s="185" t="s">
        <v>15</v>
      </c>
      <c r="H2067" s="185" t="s">
        <v>15</v>
      </c>
      <c r="I2067" s="185" t="s">
        <v>15</v>
      </c>
      <c r="J2067" s="135" t="s">
        <v>1450</v>
      </c>
      <c r="K2067" s="186">
        <v>31.68</v>
      </c>
      <c r="L2067" s="187" t="s">
        <v>173</v>
      </c>
      <c r="M2067" s="187" t="s">
        <v>175</v>
      </c>
    </row>
    <row r="2068" spans="1:13" s="188" customFormat="1">
      <c r="A2068" s="185" t="s">
        <v>1447</v>
      </c>
      <c r="B2068" s="133" t="s">
        <v>5336</v>
      </c>
      <c r="C2068" s="185" t="s">
        <v>3023</v>
      </c>
      <c r="D2068" s="133" t="s">
        <v>5332</v>
      </c>
      <c r="E2068" s="134">
        <v>1</v>
      </c>
      <c r="F2068" s="135" t="s">
        <v>1449</v>
      </c>
      <c r="G2068" s="185" t="s">
        <v>15</v>
      </c>
      <c r="H2068" s="185" t="s">
        <v>15</v>
      </c>
      <c r="I2068" s="185" t="s">
        <v>15</v>
      </c>
      <c r="J2068" s="135" t="s">
        <v>1450</v>
      </c>
      <c r="K2068" s="186">
        <v>29.759999999999998</v>
      </c>
      <c r="L2068" s="187" t="s">
        <v>173</v>
      </c>
      <c r="M2068" s="187" t="s">
        <v>175</v>
      </c>
    </row>
    <row r="2069" spans="1:13" s="188" customFormat="1">
      <c r="A2069" s="185" t="s">
        <v>1447</v>
      </c>
      <c r="B2069" s="133" t="s">
        <v>5337</v>
      </c>
      <c r="C2069" s="185" t="s">
        <v>3023</v>
      </c>
      <c r="D2069" s="133" t="s">
        <v>5332</v>
      </c>
      <c r="E2069" s="134">
        <v>1</v>
      </c>
      <c r="F2069" s="135" t="s">
        <v>1449</v>
      </c>
      <c r="G2069" s="185" t="s">
        <v>15</v>
      </c>
      <c r="H2069" s="185" t="s">
        <v>15</v>
      </c>
      <c r="I2069" s="185" t="s">
        <v>15</v>
      </c>
      <c r="J2069" s="135" t="s">
        <v>1450</v>
      </c>
      <c r="K2069" s="186">
        <v>24</v>
      </c>
      <c r="L2069" s="187" t="s">
        <v>173</v>
      </c>
      <c r="M2069" s="187" t="s">
        <v>175</v>
      </c>
    </row>
    <row r="2070" spans="1:13" s="188" customFormat="1">
      <c r="A2070" s="185" t="s">
        <v>1447</v>
      </c>
      <c r="B2070" s="133" t="s">
        <v>5338</v>
      </c>
      <c r="C2070" s="185" t="s">
        <v>3023</v>
      </c>
      <c r="D2070" s="133" t="s">
        <v>5332</v>
      </c>
      <c r="E2070" s="134">
        <v>1</v>
      </c>
      <c r="F2070" s="135" t="s">
        <v>1449</v>
      </c>
      <c r="G2070" s="185" t="s">
        <v>15</v>
      </c>
      <c r="H2070" s="185" t="s">
        <v>15</v>
      </c>
      <c r="I2070" s="185" t="s">
        <v>15</v>
      </c>
      <c r="J2070" s="135" t="s">
        <v>1450</v>
      </c>
      <c r="K2070" s="186">
        <v>20.16</v>
      </c>
      <c r="L2070" s="187" t="s">
        <v>173</v>
      </c>
      <c r="M2070" s="187" t="s">
        <v>175</v>
      </c>
    </row>
    <row r="2071" spans="1:13" s="188" customFormat="1">
      <c r="A2071" s="185" t="s">
        <v>1447</v>
      </c>
      <c r="B2071" s="133" t="s">
        <v>5339</v>
      </c>
      <c r="C2071" s="185" t="s">
        <v>3023</v>
      </c>
      <c r="D2071" s="133" t="s">
        <v>5332</v>
      </c>
      <c r="E2071" s="134">
        <v>1</v>
      </c>
      <c r="F2071" s="135" t="s">
        <v>1449</v>
      </c>
      <c r="G2071" s="185" t="s">
        <v>15</v>
      </c>
      <c r="H2071" s="185" t="s">
        <v>15</v>
      </c>
      <c r="I2071" s="185" t="s">
        <v>15</v>
      </c>
      <c r="J2071" s="135" t="s">
        <v>1450</v>
      </c>
      <c r="K2071" s="186">
        <v>18.240000000000002</v>
      </c>
      <c r="L2071" s="187" t="s">
        <v>173</v>
      </c>
      <c r="M2071" s="187" t="s">
        <v>175</v>
      </c>
    </row>
    <row r="2072" spans="1:13" s="188" customFormat="1">
      <c r="A2072" s="185" t="s">
        <v>1447</v>
      </c>
      <c r="B2072" s="133" t="s">
        <v>5340</v>
      </c>
      <c r="C2072" s="185" t="s">
        <v>3023</v>
      </c>
      <c r="D2072" s="133" t="s">
        <v>5332</v>
      </c>
      <c r="E2072" s="134">
        <v>1</v>
      </c>
      <c r="F2072" s="135" t="s">
        <v>1449</v>
      </c>
      <c r="G2072" s="185" t="s">
        <v>15</v>
      </c>
      <c r="H2072" s="185" t="s">
        <v>15</v>
      </c>
      <c r="I2072" s="185" t="s">
        <v>15</v>
      </c>
      <c r="J2072" s="135" t="s">
        <v>1450</v>
      </c>
      <c r="K2072" s="186">
        <v>15.84</v>
      </c>
      <c r="L2072" s="187" t="s">
        <v>173</v>
      </c>
      <c r="M2072" s="187" t="s">
        <v>175</v>
      </c>
    </row>
    <row r="2073" spans="1:13" s="188" customFormat="1">
      <c r="A2073" s="185" t="s">
        <v>1447</v>
      </c>
      <c r="B2073" s="133" t="s">
        <v>5341</v>
      </c>
      <c r="C2073" s="185" t="s">
        <v>3023</v>
      </c>
      <c r="D2073" s="133" t="s">
        <v>5342</v>
      </c>
      <c r="E2073" s="134">
        <v>1</v>
      </c>
      <c r="F2073" s="135" t="s">
        <v>1449</v>
      </c>
      <c r="G2073" s="185" t="s">
        <v>15</v>
      </c>
      <c r="H2073" s="185" t="s">
        <v>15</v>
      </c>
      <c r="I2073" s="185" t="s">
        <v>15</v>
      </c>
      <c r="J2073" s="135" t="s">
        <v>1450</v>
      </c>
      <c r="K2073" s="186">
        <v>4584</v>
      </c>
      <c r="L2073" s="187" t="s">
        <v>173</v>
      </c>
      <c r="M2073" s="187" t="s">
        <v>175</v>
      </c>
    </row>
    <row r="2074" spans="1:13" s="188" customFormat="1">
      <c r="A2074" s="185" t="s">
        <v>1447</v>
      </c>
      <c r="B2074" s="133" t="s">
        <v>5343</v>
      </c>
      <c r="C2074" s="185" t="s">
        <v>3023</v>
      </c>
      <c r="D2074" s="133" t="s">
        <v>5342</v>
      </c>
      <c r="E2074" s="134">
        <v>1</v>
      </c>
      <c r="F2074" s="135" t="s">
        <v>1449</v>
      </c>
      <c r="G2074" s="185" t="s">
        <v>15</v>
      </c>
      <c r="H2074" s="185" t="s">
        <v>15</v>
      </c>
      <c r="I2074" s="185" t="s">
        <v>15</v>
      </c>
      <c r="J2074" s="135" t="s">
        <v>1450</v>
      </c>
      <c r="K2074" s="186">
        <v>4380</v>
      </c>
      <c r="L2074" s="187" t="s">
        <v>173</v>
      </c>
      <c r="M2074" s="187" t="s">
        <v>175</v>
      </c>
    </row>
    <row r="2075" spans="1:13" s="188" customFormat="1">
      <c r="A2075" s="185" t="s">
        <v>1447</v>
      </c>
      <c r="B2075" s="133" t="s">
        <v>5344</v>
      </c>
      <c r="C2075" s="185" t="s">
        <v>3023</v>
      </c>
      <c r="D2075" s="133" t="s">
        <v>5342</v>
      </c>
      <c r="E2075" s="134">
        <v>1</v>
      </c>
      <c r="F2075" s="135" t="s">
        <v>1449</v>
      </c>
      <c r="G2075" s="185" t="s">
        <v>15</v>
      </c>
      <c r="H2075" s="185" t="s">
        <v>15</v>
      </c>
      <c r="I2075" s="185" t="s">
        <v>15</v>
      </c>
      <c r="J2075" s="135" t="s">
        <v>1450</v>
      </c>
      <c r="K2075" s="186">
        <v>4188</v>
      </c>
      <c r="L2075" s="187" t="s">
        <v>173</v>
      </c>
      <c r="M2075" s="187" t="s">
        <v>175</v>
      </c>
    </row>
    <row r="2076" spans="1:13" s="188" customFormat="1">
      <c r="A2076" s="185" t="s">
        <v>1447</v>
      </c>
      <c r="B2076" s="133" t="s">
        <v>5345</v>
      </c>
      <c r="C2076" s="185" t="s">
        <v>3023</v>
      </c>
      <c r="D2076" s="133" t="s">
        <v>5342</v>
      </c>
      <c r="E2076" s="134">
        <v>1</v>
      </c>
      <c r="F2076" s="135" t="s">
        <v>1449</v>
      </c>
      <c r="G2076" s="185" t="s">
        <v>15</v>
      </c>
      <c r="H2076" s="185" t="s">
        <v>15</v>
      </c>
      <c r="I2076" s="185" t="s">
        <v>15</v>
      </c>
      <c r="J2076" s="135" t="s">
        <v>1450</v>
      </c>
      <c r="K2076" s="186">
        <v>3984</v>
      </c>
      <c r="L2076" s="187" t="s">
        <v>173</v>
      </c>
      <c r="M2076" s="187" t="s">
        <v>175</v>
      </c>
    </row>
    <row r="2077" spans="1:13" s="188" customFormat="1">
      <c r="A2077" s="185" t="s">
        <v>1447</v>
      </c>
      <c r="B2077" s="133" t="s">
        <v>5346</v>
      </c>
      <c r="C2077" s="185" t="s">
        <v>3023</v>
      </c>
      <c r="D2077" s="133" t="s">
        <v>5342</v>
      </c>
      <c r="E2077" s="134">
        <v>1</v>
      </c>
      <c r="F2077" s="135" t="s">
        <v>1449</v>
      </c>
      <c r="G2077" s="185" t="s">
        <v>15</v>
      </c>
      <c r="H2077" s="185" t="s">
        <v>15</v>
      </c>
      <c r="I2077" s="185" t="s">
        <v>15</v>
      </c>
      <c r="J2077" s="135" t="s">
        <v>1450</v>
      </c>
      <c r="K2077" s="186">
        <v>3828</v>
      </c>
      <c r="L2077" s="187" t="s">
        <v>173</v>
      </c>
      <c r="M2077" s="187" t="s">
        <v>175</v>
      </c>
    </row>
    <row r="2078" spans="1:13" s="188" customFormat="1">
      <c r="A2078" s="185" t="s">
        <v>1447</v>
      </c>
      <c r="B2078" s="133" t="s">
        <v>5347</v>
      </c>
      <c r="C2078" s="185" t="s">
        <v>3023</v>
      </c>
      <c r="D2078" s="133" t="s">
        <v>5342</v>
      </c>
      <c r="E2078" s="134">
        <v>1</v>
      </c>
      <c r="F2078" s="135" t="s">
        <v>1449</v>
      </c>
      <c r="G2078" s="185" t="s">
        <v>15</v>
      </c>
      <c r="H2078" s="185" t="s">
        <v>15</v>
      </c>
      <c r="I2078" s="185" t="s">
        <v>15</v>
      </c>
      <c r="J2078" s="135" t="s">
        <v>1450</v>
      </c>
      <c r="K2078" s="186">
        <v>3708</v>
      </c>
      <c r="L2078" s="187" t="s">
        <v>173</v>
      </c>
      <c r="M2078" s="187" t="s">
        <v>175</v>
      </c>
    </row>
    <row r="2079" spans="1:13" s="188" customFormat="1">
      <c r="A2079" s="185" t="s">
        <v>1447</v>
      </c>
      <c r="B2079" s="133" t="s">
        <v>5348</v>
      </c>
      <c r="C2079" s="185" t="s">
        <v>3023</v>
      </c>
      <c r="D2079" s="133" t="s">
        <v>5342</v>
      </c>
      <c r="E2079" s="134">
        <v>1</v>
      </c>
      <c r="F2079" s="135" t="s">
        <v>1449</v>
      </c>
      <c r="G2079" s="185" t="s">
        <v>15</v>
      </c>
      <c r="H2079" s="185" t="s">
        <v>15</v>
      </c>
      <c r="I2079" s="185" t="s">
        <v>15</v>
      </c>
      <c r="J2079" s="135" t="s">
        <v>1450</v>
      </c>
      <c r="K2079" s="186">
        <v>3612</v>
      </c>
      <c r="L2079" s="187" t="s">
        <v>173</v>
      </c>
      <c r="M2079" s="187" t="s">
        <v>175</v>
      </c>
    </row>
    <row r="2080" spans="1:13" s="188" customFormat="1">
      <c r="A2080" s="185" t="s">
        <v>1447</v>
      </c>
      <c r="B2080" s="133" t="s">
        <v>5349</v>
      </c>
      <c r="C2080" s="185" t="s">
        <v>3023</v>
      </c>
      <c r="D2080" s="133" t="s">
        <v>5350</v>
      </c>
      <c r="E2080" s="134">
        <v>1</v>
      </c>
      <c r="F2080" s="135" t="s">
        <v>1449</v>
      </c>
      <c r="G2080" s="185" t="s">
        <v>15</v>
      </c>
      <c r="H2080" s="185" t="s">
        <v>15</v>
      </c>
      <c r="I2080" s="185" t="s">
        <v>15</v>
      </c>
      <c r="J2080" s="135" t="s">
        <v>1450</v>
      </c>
      <c r="K2080" s="186">
        <v>99612</v>
      </c>
      <c r="L2080" s="187" t="s">
        <v>173</v>
      </c>
      <c r="M2080" s="187" t="s">
        <v>175</v>
      </c>
    </row>
    <row r="2081" spans="1:13" s="188" customFormat="1">
      <c r="A2081" s="185" t="s">
        <v>1447</v>
      </c>
      <c r="B2081" s="133" t="s">
        <v>5351</v>
      </c>
      <c r="C2081" s="185" t="s">
        <v>3023</v>
      </c>
      <c r="D2081" s="133" t="s">
        <v>5352</v>
      </c>
      <c r="E2081" s="134">
        <v>1</v>
      </c>
      <c r="F2081" s="135" t="s">
        <v>1449</v>
      </c>
      <c r="G2081" s="185" t="s">
        <v>15</v>
      </c>
      <c r="H2081" s="185" t="s">
        <v>15</v>
      </c>
      <c r="I2081" s="185" t="s">
        <v>15</v>
      </c>
      <c r="J2081" s="135" t="s">
        <v>1450</v>
      </c>
      <c r="K2081" s="186">
        <v>17436</v>
      </c>
      <c r="L2081" s="187" t="s">
        <v>173</v>
      </c>
      <c r="M2081" s="187" t="s">
        <v>175</v>
      </c>
    </row>
    <row r="2082" spans="1:13" s="188" customFormat="1">
      <c r="A2082" s="185" t="s">
        <v>1447</v>
      </c>
      <c r="B2082" s="133" t="s">
        <v>5353</v>
      </c>
      <c r="C2082" s="185" t="s">
        <v>3023</v>
      </c>
      <c r="D2082" s="133" t="s">
        <v>5354</v>
      </c>
      <c r="E2082" s="134">
        <v>1</v>
      </c>
      <c r="F2082" s="135" t="s">
        <v>1449</v>
      </c>
      <c r="G2082" s="185" t="s">
        <v>15</v>
      </c>
      <c r="H2082" s="185" t="s">
        <v>15</v>
      </c>
      <c r="I2082" s="185" t="s">
        <v>15</v>
      </c>
      <c r="J2082" s="135" t="s">
        <v>1450</v>
      </c>
      <c r="K2082" s="186">
        <v>112056</v>
      </c>
      <c r="L2082" s="187" t="s">
        <v>173</v>
      </c>
      <c r="M2082" s="187" t="s">
        <v>175</v>
      </c>
    </row>
    <row r="2083" spans="1:13" s="188" customFormat="1">
      <c r="A2083" s="185" t="s">
        <v>1447</v>
      </c>
      <c r="B2083" s="133" t="s">
        <v>5355</v>
      </c>
      <c r="C2083" s="185" t="s">
        <v>3023</v>
      </c>
      <c r="D2083" s="133" t="s">
        <v>5356</v>
      </c>
      <c r="E2083" s="134">
        <v>1</v>
      </c>
      <c r="F2083" s="135" t="s">
        <v>1449</v>
      </c>
      <c r="G2083" s="185" t="s">
        <v>15</v>
      </c>
      <c r="H2083" s="185" t="s">
        <v>15</v>
      </c>
      <c r="I2083" s="185" t="s">
        <v>15</v>
      </c>
      <c r="J2083" s="135" t="s">
        <v>1450</v>
      </c>
      <c r="K2083" s="186">
        <v>99612</v>
      </c>
      <c r="L2083" s="187" t="s">
        <v>173</v>
      </c>
      <c r="M2083" s="187" t="s">
        <v>175</v>
      </c>
    </row>
    <row r="2084" spans="1:13" s="188" customFormat="1">
      <c r="A2084" s="185" t="s">
        <v>1447</v>
      </c>
      <c r="B2084" s="133" t="s">
        <v>5357</v>
      </c>
      <c r="C2084" s="185" t="s">
        <v>3023</v>
      </c>
      <c r="D2084" s="133" t="s">
        <v>5358</v>
      </c>
      <c r="E2084" s="134">
        <v>1</v>
      </c>
      <c r="F2084" s="135" t="s">
        <v>1449</v>
      </c>
      <c r="G2084" s="185" t="s">
        <v>15</v>
      </c>
      <c r="H2084" s="185" t="s">
        <v>15</v>
      </c>
      <c r="I2084" s="185" t="s">
        <v>15</v>
      </c>
      <c r="J2084" s="135" t="s">
        <v>1450</v>
      </c>
      <c r="K2084" s="186">
        <v>112056</v>
      </c>
      <c r="L2084" s="187" t="s">
        <v>173</v>
      </c>
      <c r="M2084" s="187" t="s">
        <v>175</v>
      </c>
    </row>
    <row r="2085" spans="1:13" s="188" customFormat="1">
      <c r="A2085" s="185" t="s">
        <v>1447</v>
      </c>
      <c r="B2085" s="133" t="s">
        <v>5359</v>
      </c>
      <c r="C2085" s="185" t="s">
        <v>3023</v>
      </c>
      <c r="D2085" s="133" t="s">
        <v>1649</v>
      </c>
      <c r="E2085" s="134">
        <v>1</v>
      </c>
      <c r="F2085" s="135" t="s">
        <v>1449</v>
      </c>
      <c r="G2085" s="185" t="s">
        <v>15</v>
      </c>
      <c r="H2085" s="185" t="s">
        <v>15</v>
      </c>
      <c r="I2085" s="185" t="s">
        <v>15</v>
      </c>
      <c r="J2085" s="135" t="s">
        <v>1450</v>
      </c>
      <c r="K2085" s="186">
        <v>25932</v>
      </c>
      <c r="L2085" s="187" t="s">
        <v>173</v>
      </c>
      <c r="M2085" s="187" t="s">
        <v>175</v>
      </c>
    </row>
    <row r="2086" spans="1:13" s="188" customFormat="1">
      <c r="A2086" s="185" t="s">
        <v>1447</v>
      </c>
      <c r="B2086" s="133" t="s">
        <v>5360</v>
      </c>
      <c r="C2086" s="185" t="s">
        <v>3023</v>
      </c>
      <c r="D2086" s="133" t="s">
        <v>1650</v>
      </c>
      <c r="E2086" s="134">
        <v>1</v>
      </c>
      <c r="F2086" s="135" t="s">
        <v>1449</v>
      </c>
      <c r="G2086" s="185" t="s">
        <v>15</v>
      </c>
      <c r="H2086" s="185" t="s">
        <v>15</v>
      </c>
      <c r="I2086" s="185" t="s">
        <v>15</v>
      </c>
      <c r="J2086" s="135" t="s">
        <v>1450</v>
      </c>
      <c r="K2086" s="186">
        <v>2.16</v>
      </c>
      <c r="L2086" s="187" t="s">
        <v>173</v>
      </c>
      <c r="M2086" s="187" t="s">
        <v>175</v>
      </c>
    </row>
    <row r="2087" spans="1:13" s="188" customFormat="1">
      <c r="A2087" s="185" t="s">
        <v>1447</v>
      </c>
      <c r="B2087" s="133" t="s">
        <v>5361</v>
      </c>
      <c r="C2087" s="185" t="s">
        <v>3023</v>
      </c>
      <c r="D2087" s="133" t="s">
        <v>1651</v>
      </c>
      <c r="E2087" s="134">
        <v>1</v>
      </c>
      <c r="F2087" s="135" t="s">
        <v>1449</v>
      </c>
      <c r="G2087" s="185" t="s">
        <v>15</v>
      </c>
      <c r="H2087" s="185" t="s">
        <v>15</v>
      </c>
      <c r="I2087" s="185" t="s">
        <v>15</v>
      </c>
      <c r="J2087" s="135" t="s">
        <v>1450</v>
      </c>
      <c r="K2087" s="186">
        <v>7788</v>
      </c>
      <c r="L2087" s="187" t="s">
        <v>173</v>
      </c>
      <c r="M2087" s="187" t="s">
        <v>175</v>
      </c>
    </row>
    <row r="2088" spans="1:13" s="188" customFormat="1">
      <c r="A2088" s="185" t="s">
        <v>1447</v>
      </c>
      <c r="B2088" s="133" t="s">
        <v>5362</v>
      </c>
      <c r="C2088" s="185" t="s">
        <v>3023</v>
      </c>
      <c r="D2088" s="133" t="s">
        <v>1651</v>
      </c>
      <c r="E2088" s="134">
        <v>1</v>
      </c>
      <c r="F2088" s="135" t="s">
        <v>1449</v>
      </c>
      <c r="G2088" s="185" t="s">
        <v>15</v>
      </c>
      <c r="H2088" s="185" t="s">
        <v>15</v>
      </c>
      <c r="I2088" s="185" t="s">
        <v>15</v>
      </c>
      <c r="J2088" s="135" t="s">
        <v>1450</v>
      </c>
      <c r="K2088" s="186">
        <v>6720</v>
      </c>
      <c r="L2088" s="187" t="s">
        <v>173</v>
      </c>
      <c r="M2088" s="187" t="s">
        <v>175</v>
      </c>
    </row>
    <row r="2089" spans="1:13" s="188" customFormat="1">
      <c r="A2089" s="185" t="s">
        <v>1447</v>
      </c>
      <c r="B2089" s="133" t="s">
        <v>5363</v>
      </c>
      <c r="C2089" s="185" t="s">
        <v>3023</v>
      </c>
      <c r="D2089" s="133" t="s">
        <v>1651</v>
      </c>
      <c r="E2089" s="134">
        <v>1</v>
      </c>
      <c r="F2089" s="135" t="s">
        <v>1449</v>
      </c>
      <c r="G2089" s="185" t="s">
        <v>15</v>
      </c>
      <c r="H2089" s="185" t="s">
        <v>15</v>
      </c>
      <c r="I2089" s="185" t="s">
        <v>15</v>
      </c>
      <c r="J2089" s="135" t="s">
        <v>1450</v>
      </c>
      <c r="K2089" s="186">
        <v>5724</v>
      </c>
      <c r="L2089" s="187" t="s">
        <v>173</v>
      </c>
      <c r="M2089" s="187" t="s">
        <v>175</v>
      </c>
    </row>
    <row r="2090" spans="1:13" s="188" customFormat="1">
      <c r="A2090" s="185" t="s">
        <v>1447</v>
      </c>
      <c r="B2090" s="133" t="s">
        <v>5364</v>
      </c>
      <c r="C2090" s="185" t="s">
        <v>3023</v>
      </c>
      <c r="D2090" s="133" t="s">
        <v>1651</v>
      </c>
      <c r="E2090" s="134">
        <v>1</v>
      </c>
      <c r="F2090" s="135" t="s">
        <v>1449</v>
      </c>
      <c r="G2090" s="185" t="s">
        <v>15</v>
      </c>
      <c r="H2090" s="185" t="s">
        <v>15</v>
      </c>
      <c r="I2090" s="185" t="s">
        <v>15</v>
      </c>
      <c r="J2090" s="135" t="s">
        <v>1450</v>
      </c>
      <c r="K2090" s="186">
        <v>4728</v>
      </c>
      <c r="L2090" s="187" t="s">
        <v>173</v>
      </c>
      <c r="M2090" s="187" t="s">
        <v>175</v>
      </c>
    </row>
    <row r="2091" spans="1:13" s="188" customFormat="1">
      <c r="A2091" s="185" t="s">
        <v>1447</v>
      </c>
      <c r="B2091" s="133" t="s">
        <v>5365</v>
      </c>
      <c r="C2091" s="185" t="s">
        <v>3023</v>
      </c>
      <c r="D2091" s="133" t="s">
        <v>1651</v>
      </c>
      <c r="E2091" s="134">
        <v>1</v>
      </c>
      <c r="F2091" s="135" t="s">
        <v>1449</v>
      </c>
      <c r="G2091" s="185" t="s">
        <v>15</v>
      </c>
      <c r="H2091" s="185" t="s">
        <v>15</v>
      </c>
      <c r="I2091" s="185" t="s">
        <v>15</v>
      </c>
      <c r="J2091" s="135" t="s">
        <v>1450</v>
      </c>
      <c r="K2091" s="186">
        <v>3732</v>
      </c>
      <c r="L2091" s="187" t="s">
        <v>173</v>
      </c>
      <c r="M2091" s="187" t="s">
        <v>175</v>
      </c>
    </row>
    <row r="2092" spans="1:13" s="188" customFormat="1">
      <c r="A2092" s="185" t="s">
        <v>1447</v>
      </c>
      <c r="B2092" s="133" t="s">
        <v>5366</v>
      </c>
      <c r="C2092" s="185" t="s">
        <v>3023</v>
      </c>
      <c r="D2092" s="133" t="s">
        <v>1652</v>
      </c>
      <c r="E2092" s="134">
        <v>1</v>
      </c>
      <c r="F2092" s="135" t="s">
        <v>1449</v>
      </c>
      <c r="G2092" s="185" t="s">
        <v>15</v>
      </c>
      <c r="H2092" s="185" t="s">
        <v>15</v>
      </c>
      <c r="I2092" s="185" t="s">
        <v>15</v>
      </c>
      <c r="J2092" s="135" t="s">
        <v>1450</v>
      </c>
      <c r="K2092" s="186">
        <v>2076</v>
      </c>
      <c r="L2092" s="187" t="s">
        <v>173</v>
      </c>
      <c r="M2092" s="187" t="s">
        <v>175</v>
      </c>
    </row>
    <row r="2093" spans="1:13" s="188" customFormat="1">
      <c r="A2093" s="185" t="s">
        <v>1447</v>
      </c>
      <c r="B2093" s="133" t="s">
        <v>5367</v>
      </c>
      <c r="C2093" s="185" t="s">
        <v>3023</v>
      </c>
      <c r="D2093" s="133" t="s">
        <v>1652</v>
      </c>
      <c r="E2093" s="134">
        <v>1</v>
      </c>
      <c r="F2093" s="135" t="s">
        <v>1449</v>
      </c>
      <c r="G2093" s="185" t="s">
        <v>15</v>
      </c>
      <c r="H2093" s="185" t="s">
        <v>15</v>
      </c>
      <c r="I2093" s="185" t="s">
        <v>15</v>
      </c>
      <c r="J2093" s="135" t="s">
        <v>1450</v>
      </c>
      <c r="K2093" s="186">
        <v>1644</v>
      </c>
      <c r="L2093" s="187" t="s">
        <v>173</v>
      </c>
      <c r="M2093" s="187" t="s">
        <v>175</v>
      </c>
    </row>
    <row r="2094" spans="1:13" s="188" customFormat="1">
      <c r="A2094" s="185" t="s">
        <v>1447</v>
      </c>
      <c r="B2094" s="133" t="s">
        <v>5368</v>
      </c>
      <c r="C2094" s="185" t="s">
        <v>3023</v>
      </c>
      <c r="D2094" s="133" t="s">
        <v>1652</v>
      </c>
      <c r="E2094" s="134">
        <v>1</v>
      </c>
      <c r="F2094" s="135" t="s">
        <v>1449</v>
      </c>
      <c r="G2094" s="185" t="s">
        <v>15</v>
      </c>
      <c r="H2094" s="185" t="s">
        <v>15</v>
      </c>
      <c r="I2094" s="185" t="s">
        <v>15</v>
      </c>
      <c r="J2094" s="135" t="s">
        <v>1450</v>
      </c>
      <c r="K2094" s="186">
        <v>1308</v>
      </c>
      <c r="L2094" s="187" t="s">
        <v>173</v>
      </c>
      <c r="M2094" s="187" t="s">
        <v>175</v>
      </c>
    </row>
    <row r="2095" spans="1:13" s="188" customFormat="1">
      <c r="A2095" s="185" t="s">
        <v>1447</v>
      </c>
      <c r="B2095" s="133" t="s">
        <v>5369</v>
      </c>
      <c r="C2095" s="185" t="s">
        <v>3023</v>
      </c>
      <c r="D2095" s="133" t="s">
        <v>1652</v>
      </c>
      <c r="E2095" s="134">
        <v>1</v>
      </c>
      <c r="F2095" s="135" t="s">
        <v>1449</v>
      </c>
      <c r="G2095" s="185" t="s">
        <v>15</v>
      </c>
      <c r="H2095" s="185" t="s">
        <v>15</v>
      </c>
      <c r="I2095" s="185" t="s">
        <v>15</v>
      </c>
      <c r="J2095" s="135" t="s">
        <v>1450</v>
      </c>
      <c r="K2095" s="186">
        <v>1116</v>
      </c>
      <c r="L2095" s="187" t="s">
        <v>173</v>
      </c>
      <c r="M2095" s="187" t="s">
        <v>175</v>
      </c>
    </row>
    <row r="2096" spans="1:13" s="188" customFormat="1">
      <c r="A2096" s="185" t="s">
        <v>1447</v>
      </c>
      <c r="B2096" s="133" t="s">
        <v>5370</v>
      </c>
      <c r="C2096" s="185" t="s">
        <v>3023</v>
      </c>
      <c r="D2096" s="133" t="s">
        <v>1652</v>
      </c>
      <c r="E2096" s="134">
        <v>1</v>
      </c>
      <c r="F2096" s="135" t="s">
        <v>1449</v>
      </c>
      <c r="G2096" s="185" t="s">
        <v>15</v>
      </c>
      <c r="H2096" s="185" t="s">
        <v>15</v>
      </c>
      <c r="I2096" s="185" t="s">
        <v>15</v>
      </c>
      <c r="J2096" s="135" t="s">
        <v>1450</v>
      </c>
      <c r="K2096" s="186">
        <v>876</v>
      </c>
      <c r="L2096" s="187" t="s">
        <v>173</v>
      </c>
      <c r="M2096" s="187" t="s">
        <v>175</v>
      </c>
    </row>
    <row r="2097" spans="1:13" s="188" customFormat="1">
      <c r="A2097" s="185" t="s">
        <v>1447</v>
      </c>
      <c r="B2097" s="133" t="s">
        <v>5371</v>
      </c>
      <c r="C2097" s="185" t="s">
        <v>3023</v>
      </c>
      <c r="D2097" s="133" t="s">
        <v>1653</v>
      </c>
      <c r="E2097" s="134">
        <v>1</v>
      </c>
      <c r="F2097" s="135" t="s">
        <v>1449</v>
      </c>
      <c r="G2097" s="185" t="s">
        <v>15</v>
      </c>
      <c r="H2097" s="185" t="s">
        <v>15</v>
      </c>
      <c r="I2097" s="185" t="s">
        <v>15</v>
      </c>
      <c r="J2097" s="135" t="s">
        <v>1450</v>
      </c>
      <c r="K2097" s="186">
        <v>49800</v>
      </c>
      <c r="L2097" s="187" t="s">
        <v>173</v>
      </c>
      <c r="M2097" s="187" t="s">
        <v>175</v>
      </c>
    </row>
    <row r="2098" spans="1:13" s="188" customFormat="1">
      <c r="A2098" s="185" t="s">
        <v>1447</v>
      </c>
      <c r="B2098" s="133" t="s">
        <v>5372</v>
      </c>
      <c r="C2098" s="185" t="s">
        <v>3023</v>
      </c>
      <c r="D2098" s="133" t="s">
        <v>1653</v>
      </c>
      <c r="E2098" s="134">
        <v>1</v>
      </c>
      <c r="F2098" s="135" t="s">
        <v>1449</v>
      </c>
      <c r="G2098" s="185" t="s">
        <v>15</v>
      </c>
      <c r="H2098" s="185" t="s">
        <v>15</v>
      </c>
      <c r="I2098" s="185" t="s">
        <v>15</v>
      </c>
      <c r="J2098" s="135" t="s">
        <v>1450</v>
      </c>
      <c r="K2098" s="186">
        <v>37356</v>
      </c>
      <c r="L2098" s="187" t="s">
        <v>173</v>
      </c>
      <c r="M2098" s="187" t="s">
        <v>175</v>
      </c>
    </row>
    <row r="2099" spans="1:13" s="188" customFormat="1">
      <c r="A2099" s="185" t="s">
        <v>1447</v>
      </c>
      <c r="B2099" s="133" t="s">
        <v>5373</v>
      </c>
      <c r="C2099" s="185" t="s">
        <v>3023</v>
      </c>
      <c r="D2099" s="133" t="s">
        <v>1653</v>
      </c>
      <c r="E2099" s="134">
        <v>1</v>
      </c>
      <c r="F2099" s="135" t="s">
        <v>1449</v>
      </c>
      <c r="G2099" s="185" t="s">
        <v>15</v>
      </c>
      <c r="H2099" s="185" t="s">
        <v>15</v>
      </c>
      <c r="I2099" s="185" t="s">
        <v>15</v>
      </c>
      <c r="J2099" s="135" t="s">
        <v>1450</v>
      </c>
      <c r="K2099" s="186">
        <v>33624</v>
      </c>
      <c r="L2099" s="187" t="s">
        <v>173</v>
      </c>
      <c r="M2099" s="187" t="s">
        <v>175</v>
      </c>
    </row>
    <row r="2100" spans="1:13" s="188" customFormat="1">
      <c r="A2100" s="185" t="s">
        <v>1447</v>
      </c>
      <c r="B2100" s="133" t="s">
        <v>5374</v>
      </c>
      <c r="C2100" s="185" t="s">
        <v>3023</v>
      </c>
      <c r="D2100" s="133" t="s">
        <v>1653</v>
      </c>
      <c r="E2100" s="134">
        <v>1</v>
      </c>
      <c r="F2100" s="135" t="s">
        <v>1449</v>
      </c>
      <c r="G2100" s="185" t="s">
        <v>15</v>
      </c>
      <c r="H2100" s="185" t="s">
        <v>15</v>
      </c>
      <c r="I2100" s="185" t="s">
        <v>15</v>
      </c>
      <c r="J2100" s="135" t="s">
        <v>1450</v>
      </c>
      <c r="K2100" s="186">
        <v>29880</v>
      </c>
      <c r="L2100" s="187" t="s">
        <v>173</v>
      </c>
      <c r="M2100" s="187" t="s">
        <v>175</v>
      </c>
    </row>
    <row r="2101" spans="1:13" s="188" customFormat="1">
      <c r="A2101" s="185" t="s">
        <v>1447</v>
      </c>
      <c r="B2101" s="133" t="s">
        <v>5375</v>
      </c>
      <c r="C2101" s="185" t="s">
        <v>3023</v>
      </c>
      <c r="D2101" s="133" t="s">
        <v>1654</v>
      </c>
      <c r="E2101" s="134">
        <v>1</v>
      </c>
      <c r="F2101" s="135" t="s">
        <v>1449</v>
      </c>
      <c r="G2101" s="185" t="s">
        <v>15</v>
      </c>
      <c r="H2101" s="185" t="s">
        <v>15</v>
      </c>
      <c r="I2101" s="185" t="s">
        <v>15</v>
      </c>
      <c r="J2101" s="135" t="s">
        <v>1450</v>
      </c>
      <c r="K2101" s="186">
        <v>156</v>
      </c>
      <c r="L2101" s="187" t="s">
        <v>173</v>
      </c>
      <c r="M2101" s="187" t="s">
        <v>175</v>
      </c>
    </row>
    <row r="2102" spans="1:13" s="188" customFormat="1">
      <c r="A2102" s="185" t="s">
        <v>1447</v>
      </c>
      <c r="B2102" s="133" t="s">
        <v>5376</v>
      </c>
      <c r="C2102" s="185" t="s">
        <v>3023</v>
      </c>
      <c r="D2102" s="133" t="s">
        <v>1654</v>
      </c>
      <c r="E2102" s="134">
        <v>1</v>
      </c>
      <c r="F2102" s="135" t="s">
        <v>1449</v>
      </c>
      <c r="G2102" s="185" t="s">
        <v>15</v>
      </c>
      <c r="H2102" s="185" t="s">
        <v>15</v>
      </c>
      <c r="I2102" s="185" t="s">
        <v>15</v>
      </c>
      <c r="J2102" s="135" t="s">
        <v>1450</v>
      </c>
      <c r="K2102" s="186">
        <v>132</v>
      </c>
      <c r="L2102" s="187" t="s">
        <v>173</v>
      </c>
      <c r="M2102" s="187" t="s">
        <v>175</v>
      </c>
    </row>
    <row r="2103" spans="1:13" s="188" customFormat="1">
      <c r="A2103" s="185" t="s">
        <v>1447</v>
      </c>
      <c r="B2103" s="133" t="s">
        <v>5377</v>
      </c>
      <c r="C2103" s="185" t="s">
        <v>3023</v>
      </c>
      <c r="D2103" s="133" t="s">
        <v>1654</v>
      </c>
      <c r="E2103" s="134">
        <v>1</v>
      </c>
      <c r="F2103" s="135" t="s">
        <v>1449</v>
      </c>
      <c r="G2103" s="185" t="s">
        <v>15</v>
      </c>
      <c r="H2103" s="185" t="s">
        <v>15</v>
      </c>
      <c r="I2103" s="185" t="s">
        <v>15</v>
      </c>
      <c r="J2103" s="135" t="s">
        <v>1450</v>
      </c>
      <c r="K2103" s="186">
        <v>99.600000000000009</v>
      </c>
      <c r="L2103" s="187" t="s">
        <v>173</v>
      </c>
      <c r="M2103" s="187" t="s">
        <v>175</v>
      </c>
    </row>
    <row r="2104" spans="1:13" s="188" customFormat="1">
      <c r="A2104" s="185" t="s">
        <v>1447</v>
      </c>
      <c r="B2104" s="133" t="s">
        <v>5378</v>
      </c>
      <c r="C2104" s="185" t="s">
        <v>3023</v>
      </c>
      <c r="D2104" s="133" t="s">
        <v>1654</v>
      </c>
      <c r="E2104" s="134">
        <v>1</v>
      </c>
      <c r="F2104" s="135" t="s">
        <v>1449</v>
      </c>
      <c r="G2104" s="185" t="s">
        <v>15</v>
      </c>
      <c r="H2104" s="185" t="s">
        <v>15</v>
      </c>
      <c r="I2104" s="185" t="s">
        <v>15</v>
      </c>
      <c r="J2104" s="135" t="s">
        <v>1450</v>
      </c>
      <c r="K2104" s="186">
        <v>74.760000000000005</v>
      </c>
      <c r="L2104" s="187" t="s">
        <v>173</v>
      </c>
      <c r="M2104" s="187" t="s">
        <v>175</v>
      </c>
    </row>
    <row r="2105" spans="1:13" s="188" customFormat="1">
      <c r="A2105" s="185" t="s">
        <v>1447</v>
      </c>
      <c r="B2105" s="133" t="s">
        <v>5379</v>
      </c>
      <c r="C2105" s="185" t="s">
        <v>3023</v>
      </c>
      <c r="D2105" s="133" t="s">
        <v>1654</v>
      </c>
      <c r="E2105" s="134">
        <v>1</v>
      </c>
      <c r="F2105" s="135" t="s">
        <v>1449</v>
      </c>
      <c r="G2105" s="185" t="s">
        <v>15</v>
      </c>
      <c r="H2105" s="185" t="s">
        <v>15</v>
      </c>
      <c r="I2105" s="185" t="s">
        <v>15</v>
      </c>
      <c r="J2105" s="135" t="s">
        <v>1450</v>
      </c>
      <c r="K2105" s="186">
        <v>49.800000000000004</v>
      </c>
      <c r="L2105" s="187" t="s">
        <v>173</v>
      </c>
      <c r="M2105" s="187" t="s">
        <v>175</v>
      </c>
    </row>
    <row r="2106" spans="1:13" s="188" customFormat="1">
      <c r="A2106" s="185" t="s">
        <v>1447</v>
      </c>
      <c r="B2106" s="133" t="s">
        <v>5380</v>
      </c>
      <c r="C2106" s="185" t="s">
        <v>3023</v>
      </c>
      <c r="D2106" s="133" t="s">
        <v>5381</v>
      </c>
      <c r="E2106" s="134">
        <v>1</v>
      </c>
      <c r="F2106" s="135" t="s">
        <v>1449</v>
      </c>
      <c r="G2106" s="185" t="s">
        <v>15</v>
      </c>
      <c r="H2106" s="185" t="s">
        <v>15</v>
      </c>
      <c r="I2106" s="185" t="s">
        <v>15</v>
      </c>
      <c r="J2106" s="135" t="s">
        <v>1450</v>
      </c>
      <c r="K2106" s="186">
        <v>102744</v>
      </c>
      <c r="L2106" s="187" t="s">
        <v>173</v>
      </c>
      <c r="M2106" s="187" t="s">
        <v>175</v>
      </c>
    </row>
    <row r="2107" spans="1:13" s="188" customFormat="1">
      <c r="A2107" s="185" t="s">
        <v>1447</v>
      </c>
      <c r="B2107" s="133" t="s">
        <v>5382</v>
      </c>
      <c r="C2107" s="185" t="s">
        <v>3023</v>
      </c>
      <c r="D2107" s="133" t="s">
        <v>1656</v>
      </c>
      <c r="E2107" s="134">
        <v>1</v>
      </c>
      <c r="F2107" s="135" t="s">
        <v>1449</v>
      </c>
      <c r="G2107" s="185" t="s">
        <v>15</v>
      </c>
      <c r="H2107" s="185" t="s">
        <v>15</v>
      </c>
      <c r="I2107" s="185" t="s">
        <v>15</v>
      </c>
      <c r="J2107" s="135" t="s">
        <v>1450</v>
      </c>
      <c r="K2107" s="186">
        <v>16296</v>
      </c>
      <c r="L2107" s="187" t="s">
        <v>173</v>
      </c>
      <c r="M2107" s="187" t="s">
        <v>175</v>
      </c>
    </row>
    <row r="2108" spans="1:13" s="188" customFormat="1">
      <c r="A2108" s="185" t="s">
        <v>1447</v>
      </c>
      <c r="B2108" s="133" t="s">
        <v>5383</v>
      </c>
      <c r="C2108" s="185" t="s">
        <v>3023</v>
      </c>
      <c r="D2108" s="133" t="s">
        <v>1657</v>
      </c>
      <c r="E2108" s="134">
        <v>1</v>
      </c>
      <c r="F2108" s="135" t="s">
        <v>1449</v>
      </c>
      <c r="G2108" s="185" t="s">
        <v>15</v>
      </c>
      <c r="H2108" s="185" t="s">
        <v>15</v>
      </c>
      <c r="I2108" s="185" t="s">
        <v>15</v>
      </c>
      <c r="J2108" s="135" t="s">
        <v>1450</v>
      </c>
      <c r="K2108" s="186">
        <v>149412</v>
      </c>
      <c r="L2108" s="187" t="s">
        <v>173</v>
      </c>
      <c r="M2108" s="187" t="s">
        <v>175</v>
      </c>
    </row>
    <row r="2109" spans="1:13" s="188" customFormat="1">
      <c r="A2109" s="185" t="s">
        <v>1447</v>
      </c>
      <c r="B2109" s="133" t="s">
        <v>5384</v>
      </c>
      <c r="C2109" s="185" t="s">
        <v>3023</v>
      </c>
      <c r="D2109" s="133" t="s">
        <v>1657</v>
      </c>
      <c r="E2109" s="134">
        <v>1</v>
      </c>
      <c r="F2109" s="135" t="s">
        <v>1449</v>
      </c>
      <c r="G2109" s="185" t="s">
        <v>15</v>
      </c>
      <c r="H2109" s="185" t="s">
        <v>15</v>
      </c>
      <c r="I2109" s="185" t="s">
        <v>15</v>
      </c>
      <c r="J2109" s="135" t="s">
        <v>1450</v>
      </c>
      <c r="K2109" s="186">
        <v>99612</v>
      </c>
      <c r="L2109" s="187" t="s">
        <v>173</v>
      </c>
      <c r="M2109" s="187" t="s">
        <v>175</v>
      </c>
    </row>
    <row r="2110" spans="1:13" s="188" customFormat="1">
      <c r="A2110" s="185" t="s">
        <v>1447</v>
      </c>
      <c r="B2110" s="133" t="s">
        <v>5385</v>
      </c>
      <c r="C2110" s="185" t="s">
        <v>3023</v>
      </c>
      <c r="D2110" s="133" t="s">
        <v>1657</v>
      </c>
      <c r="E2110" s="134">
        <v>1</v>
      </c>
      <c r="F2110" s="135" t="s">
        <v>1449</v>
      </c>
      <c r="G2110" s="185" t="s">
        <v>15</v>
      </c>
      <c r="H2110" s="185" t="s">
        <v>15</v>
      </c>
      <c r="I2110" s="185" t="s">
        <v>15</v>
      </c>
      <c r="J2110" s="135" t="s">
        <v>1450</v>
      </c>
      <c r="K2110" s="186">
        <v>74712</v>
      </c>
      <c r="L2110" s="187" t="s">
        <v>173</v>
      </c>
      <c r="M2110" s="187" t="s">
        <v>175</v>
      </c>
    </row>
    <row r="2111" spans="1:13" s="188" customFormat="1">
      <c r="A2111" s="185" t="s">
        <v>1447</v>
      </c>
      <c r="B2111" s="133" t="s">
        <v>5386</v>
      </c>
      <c r="C2111" s="185" t="s">
        <v>3023</v>
      </c>
      <c r="D2111" s="133" t="s">
        <v>1657</v>
      </c>
      <c r="E2111" s="134">
        <v>1</v>
      </c>
      <c r="F2111" s="135" t="s">
        <v>1449</v>
      </c>
      <c r="G2111" s="185" t="s">
        <v>15</v>
      </c>
      <c r="H2111" s="185" t="s">
        <v>15</v>
      </c>
      <c r="I2111" s="185" t="s">
        <v>15</v>
      </c>
      <c r="J2111" s="135" t="s">
        <v>1450</v>
      </c>
      <c r="K2111" s="186">
        <v>56028</v>
      </c>
      <c r="L2111" s="187" t="s">
        <v>173</v>
      </c>
      <c r="M2111" s="187" t="s">
        <v>175</v>
      </c>
    </row>
    <row r="2112" spans="1:13" s="188" customFormat="1">
      <c r="A2112" s="185" t="s">
        <v>1447</v>
      </c>
      <c r="B2112" s="133" t="s">
        <v>5387</v>
      </c>
      <c r="C2112" s="185" t="s">
        <v>3023</v>
      </c>
      <c r="D2112" s="133" t="s">
        <v>1657</v>
      </c>
      <c r="E2112" s="134">
        <v>1</v>
      </c>
      <c r="F2112" s="135" t="s">
        <v>1449</v>
      </c>
      <c r="G2112" s="185" t="s">
        <v>15</v>
      </c>
      <c r="H2112" s="185" t="s">
        <v>15</v>
      </c>
      <c r="I2112" s="185" t="s">
        <v>15</v>
      </c>
      <c r="J2112" s="135" t="s">
        <v>1450</v>
      </c>
      <c r="K2112" s="186">
        <v>43584</v>
      </c>
      <c r="L2112" s="187" t="s">
        <v>173</v>
      </c>
      <c r="M2112" s="187" t="s">
        <v>175</v>
      </c>
    </row>
    <row r="2113" spans="1:13" s="188" customFormat="1">
      <c r="A2113" s="185" t="s">
        <v>1447</v>
      </c>
      <c r="B2113" s="133" t="s">
        <v>5388</v>
      </c>
      <c r="C2113" s="185" t="s">
        <v>3023</v>
      </c>
      <c r="D2113" s="133" t="s">
        <v>1657</v>
      </c>
      <c r="E2113" s="134">
        <v>1</v>
      </c>
      <c r="F2113" s="135" t="s">
        <v>1449</v>
      </c>
      <c r="G2113" s="185" t="s">
        <v>15</v>
      </c>
      <c r="H2113" s="185" t="s">
        <v>15</v>
      </c>
      <c r="I2113" s="185" t="s">
        <v>15</v>
      </c>
      <c r="J2113" s="135" t="s">
        <v>1450</v>
      </c>
      <c r="K2113" s="186">
        <v>21792</v>
      </c>
      <c r="L2113" s="187" t="s">
        <v>173</v>
      </c>
      <c r="M2113" s="187" t="s">
        <v>175</v>
      </c>
    </row>
    <row r="2114" spans="1:13" s="188" customFormat="1">
      <c r="A2114" s="185" t="s">
        <v>1447</v>
      </c>
      <c r="B2114" s="133" t="s">
        <v>5389</v>
      </c>
      <c r="C2114" s="185" t="s">
        <v>3023</v>
      </c>
      <c r="D2114" s="133" t="s">
        <v>1658</v>
      </c>
      <c r="E2114" s="134">
        <v>1</v>
      </c>
      <c r="F2114" s="135" t="s">
        <v>1449</v>
      </c>
      <c r="G2114" s="185" t="s">
        <v>15</v>
      </c>
      <c r="H2114" s="185" t="s">
        <v>15</v>
      </c>
      <c r="I2114" s="185" t="s">
        <v>15</v>
      </c>
      <c r="J2114" s="135" t="s">
        <v>1450</v>
      </c>
      <c r="K2114" s="186">
        <v>186768</v>
      </c>
      <c r="L2114" s="187" t="s">
        <v>173</v>
      </c>
      <c r="M2114" s="187" t="s">
        <v>175</v>
      </c>
    </row>
    <row r="2115" spans="1:13" s="188" customFormat="1">
      <c r="A2115" s="185" t="s">
        <v>1447</v>
      </c>
      <c r="B2115" s="133" t="s">
        <v>5390</v>
      </c>
      <c r="C2115" s="185" t="s">
        <v>3023</v>
      </c>
      <c r="D2115" s="133" t="s">
        <v>1659</v>
      </c>
      <c r="E2115" s="134">
        <v>1</v>
      </c>
      <c r="F2115" s="135" t="s">
        <v>1449</v>
      </c>
      <c r="G2115" s="185" t="s">
        <v>15</v>
      </c>
      <c r="H2115" s="185" t="s">
        <v>15</v>
      </c>
      <c r="I2115" s="185" t="s">
        <v>15</v>
      </c>
      <c r="J2115" s="135" t="s">
        <v>1450</v>
      </c>
      <c r="K2115" s="186">
        <v>8400</v>
      </c>
      <c r="L2115" s="187" t="s">
        <v>173</v>
      </c>
      <c r="M2115" s="187" t="s">
        <v>175</v>
      </c>
    </row>
    <row r="2116" spans="1:13" s="188" customFormat="1">
      <c r="A2116" s="185" t="s">
        <v>1447</v>
      </c>
      <c r="B2116" s="133" t="s">
        <v>5391</v>
      </c>
      <c r="C2116" s="185" t="s">
        <v>3023</v>
      </c>
      <c r="D2116" s="133" t="s">
        <v>1659</v>
      </c>
      <c r="E2116" s="134">
        <v>1</v>
      </c>
      <c r="F2116" s="135" t="s">
        <v>1449</v>
      </c>
      <c r="G2116" s="185" t="s">
        <v>15</v>
      </c>
      <c r="H2116" s="185" t="s">
        <v>15</v>
      </c>
      <c r="I2116" s="185" t="s">
        <v>15</v>
      </c>
      <c r="J2116" s="135" t="s">
        <v>1450</v>
      </c>
      <c r="K2116" s="186">
        <v>6384</v>
      </c>
      <c r="L2116" s="187" t="s">
        <v>173</v>
      </c>
      <c r="M2116" s="187" t="s">
        <v>175</v>
      </c>
    </row>
    <row r="2117" spans="1:13" s="188" customFormat="1">
      <c r="A2117" s="185" t="s">
        <v>1447</v>
      </c>
      <c r="B2117" s="133" t="s">
        <v>5392</v>
      </c>
      <c r="C2117" s="185" t="s">
        <v>3023</v>
      </c>
      <c r="D2117" s="133" t="s">
        <v>1659</v>
      </c>
      <c r="E2117" s="134">
        <v>1</v>
      </c>
      <c r="F2117" s="135" t="s">
        <v>1449</v>
      </c>
      <c r="G2117" s="185" t="s">
        <v>15</v>
      </c>
      <c r="H2117" s="185" t="s">
        <v>15</v>
      </c>
      <c r="I2117" s="185" t="s">
        <v>15</v>
      </c>
      <c r="J2117" s="135" t="s">
        <v>1450</v>
      </c>
      <c r="K2117" s="186">
        <v>4836</v>
      </c>
      <c r="L2117" s="187" t="s">
        <v>173</v>
      </c>
      <c r="M2117" s="187" t="s">
        <v>175</v>
      </c>
    </row>
    <row r="2118" spans="1:13" s="188" customFormat="1">
      <c r="A2118" s="185" t="s">
        <v>1447</v>
      </c>
      <c r="B2118" s="133" t="s">
        <v>5393</v>
      </c>
      <c r="C2118" s="185" t="s">
        <v>3023</v>
      </c>
      <c r="D2118" s="133" t="s">
        <v>1659</v>
      </c>
      <c r="E2118" s="134">
        <v>1</v>
      </c>
      <c r="F2118" s="135" t="s">
        <v>1449</v>
      </c>
      <c r="G2118" s="185" t="s">
        <v>15</v>
      </c>
      <c r="H2118" s="185" t="s">
        <v>15</v>
      </c>
      <c r="I2118" s="185" t="s">
        <v>15</v>
      </c>
      <c r="J2118" s="135" t="s">
        <v>1450</v>
      </c>
      <c r="K2118" s="186">
        <v>3360</v>
      </c>
      <c r="L2118" s="187" t="s">
        <v>173</v>
      </c>
      <c r="M2118" s="187" t="s">
        <v>175</v>
      </c>
    </row>
    <row r="2119" spans="1:13" s="188" customFormat="1">
      <c r="A2119" s="185" t="s">
        <v>1447</v>
      </c>
      <c r="B2119" s="133" t="s">
        <v>5394</v>
      </c>
      <c r="C2119" s="185" t="s">
        <v>3023</v>
      </c>
      <c r="D2119" s="133" t="s">
        <v>1659</v>
      </c>
      <c r="E2119" s="134">
        <v>1</v>
      </c>
      <c r="F2119" s="135" t="s">
        <v>1449</v>
      </c>
      <c r="G2119" s="185" t="s">
        <v>15</v>
      </c>
      <c r="H2119" s="185" t="s">
        <v>15</v>
      </c>
      <c r="I2119" s="185" t="s">
        <v>15</v>
      </c>
      <c r="J2119" s="135" t="s">
        <v>1450</v>
      </c>
      <c r="K2119" s="186">
        <v>2124</v>
      </c>
      <c r="L2119" s="187" t="s">
        <v>173</v>
      </c>
      <c r="M2119" s="187" t="s">
        <v>175</v>
      </c>
    </row>
    <row r="2120" spans="1:13" s="188" customFormat="1">
      <c r="A2120" s="185" t="s">
        <v>1447</v>
      </c>
      <c r="B2120" s="133" t="s">
        <v>5395</v>
      </c>
      <c r="C2120" s="185" t="s">
        <v>3023</v>
      </c>
      <c r="D2120" s="133" t="s">
        <v>1659</v>
      </c>
      <c r="E2120" s="134">
        <v>1</v>
      </c>
      <c r="F2120" s="135" t="s">
        <v>1449</v>
      </c>
      <c r="G2120" s="185" t="s">
        <v>15</v>
      </c>
      <c r="H2120" s="185" t="s">
        <v>15</v>
      </c>
      <c r="I2120" s="185" t="s">
        <v>15</v>
      </c>
      <c r="J2120" s="135" t="s">
        <v>1450</v>
      </c>
      <c r="K2120" s="186">
        <v>1452</v>
      </c>
      <c r="L2120" s="187" t="s">
        <v>173</v>
      </c>
      <c r="M2120" s="187" t="s">
        <v>175</v>
      </c>
    </row>
    <row r="2121" spans="1:13" s="188" customFormat="1">
      <c r="A2121" s="185" t="s">
        <v>1447</v>
      </c>
      <c r="B2121" s="133" t="s">
        <v>5396</v>
      </c>
      <c r="C2121" s="185" t="s">
        <v>3023</v>
      </c>
      <c r="D2121" s="133" t="s">
        <v>1661</v>
      </c>
      <c r="E2121" s="134">
        <v>1</v>
      </c>
      <c r="F2121" s="135" t="s">
        <v>1449</v>
      </c>
      <c r="G2121" s="185" t="s">
        <v>15</v>
      </c>
      <c r="H2121" s="185" t="s">
        <v>15</v>
      </c>
      <c r="I2121" s="185" t="s">
        <v>15</v>
      </c>
      <c r="J2121" s="135" t="s">
        <v>1450</v>
      </c>
      <c r="K2121" s="186">
        <v>19920</v>
      </c>
      <c r="L2121" s="187" t="s">
        <v>173</v>
      </c>
      <c r="M2121" s="187" t="s">
        <v>175</v>
      </c>
    </row>
    <row r="2122" spans="1:13" s="188" customFormat="1">
      <c r="A2122" s="185" t="s">
        <v>1447</v>
      </c>
      <c r="B2122" s="133" t="s">
        <v>5397</v>
      </c>
      <c r="C2122" s="185" t="s">
        <v>3023</v>
      </c>
      <c r="D2122" s="133" t="s">
        <v>1661</v>
      </c>
      <c r="E2122" s="134">
        <v>1</v>
      </c>
      <c r="F2122" s="135" t="s">
        <v>1449</v>
      </c>
      <c r="G2122" s="185" t="s">
        <v>15</v>
      </c>
      <c r="H2122" s="185" t="s">
        <v>15</v>
      </c>
      <c r="I2122" s="185" t="s">
        <v>15</v>
      </c>
      <c r="J2122" s="135" t="s">
        <v>1450</v>
      </c>
      <c r="K2122" s="186">
        <v>13068</v>
      </c>
      <c r="L2122" s="187" t="s">
        <v>173</v>
      </c>
      <c r="M2122" s="187" t="s">
        <v>175</v>
      </c>
    </row>
    <row r="2123" spans="1:13" s="188" customFormat="1">
      <c r="A2123" s="185" t="s">
        <v>1447</v>
      </c>
      <c r="B2123" s="133" t="s">
        <v>5398</v>
      </c>
      <c r="C2123" s="185" t="s">
        <v>3023</v>
      </c>
      <c r="D2123" s="133" t="s">
        <v>1661</v>
      </c>
      <c r="E2123" s="134">
        <v>1</v>
      </c>
      <c r="F2123" s="135" t="s">
        <v>1449</v>
      </c>
      <c r="G2123" s="185" t="s">
        <v>15</v>
      </c>
      <c r="H2123" s="185" t="s">
        <v>15</v>
      </c>
      <c r="I2123" s="185" t="s">
        <v>15</v>
      </c>
      <c r="J2123" s="135" t="s">
        <v>1450</v>
      </c>
      <c r="K2123" s="186">
        <v>9336</v>
      </c>
      <c r="L2123" s="187" t="s">
        <v>173</v>
      </c>
      <c r="M2123" s="187" t="s">
        <v>175</v>
      </c>
    </row>
    <row r="2124" spans="1:13" s="188" customFormat="1">
      <c r="A2124" s="185" t="s">
        <v>1447</v>
      </c>
      <c r="B2124" s="133" t="s">
        <v>5399</v>
      </c>
      <c r="C2124" s="185" t="s">
        <v>3023</v>
      </c>
      <c r="D2124" s="133" t="s">
        <v>1661</v>
      </c>
      <c r="E2124" s="134">
        <v>1</v>
      </c>
      <c r="F2124" s="135" t="s">
        <v>1449</v>
      </c>
      <c r="G2124" s="185" t="s">
        <v>15</v>
      </c>
      <c r="H2124" s="185" t="s">
        <v>15</v>
      </c>
      <c r="I2124" s="185" t="s">
        <v>15</v>
      </c>
      <c r="J2124" s="135" t="s">
        <v>1450</v>
      </c>
      <c r="K2124" s="186">
        <v>7092</v>
      </c>
      <c r="L2124" s="187" t="s">
        <v>173</v>
      </c>
      <c r="M2124" s="187" t="s">
        <v>175</v>
      </c>
    </row>
    <row r="2125" spans="1:13" s="188" customFormat="1">
      <c r="A2125" s="185" t="s">
        <v>1447</v>
      </c>
      <c r="B2125" s="133" t="s">
        <v>5400</v>
      </c>
      <c r="C2125" s="185" t="s">
        <v>3023</v>
      </c>
      <c r="D2125" s="133" t="s">
        <v>1661</v>
      </c>
      <c r="E2125" s="134">
        <v>1</v>
      </c>
      <c r="F2125" s="135" t="s">
        <v>1449</v>
      </c>
      <c r="G2125" s="185" t="s">
        <v>15</v>
      </c>
      <c r="H2125" s="185" t="s">
        <v>15</v>
      </c>
      <c r="I2125" s="185" t="s">
        <v>15</v>
      </c>
      <c r="J2125" s="135" t="s">
        <v>1450</v>
      </c>
      <c r="K2125" s="186">
        <v>5604</v>
      </c>
      <c r="L2125" s="187" t="s">
        <v>173</v>
      </c>
      <c r="M2125" s="187" t="s">
        <v>175</v>
      </c>
    </row>
    <row r="2126" spans="1:13" s="188" customFormat="1">
      <c r="A2126" s="185" t="s">
        <v>1447</v>
      </c>
      <c r="B2126" s="133" t="s">
        <v>5401</v>
      </c>
      <c r="C2126" s="185" t="s">
        <v>3023</v>
      </c>
      <c r="D2126" s="133" t="s">
        <v>1662</v>
      </c>
      <c r="E2126" s="134">
        <v>1</v>
      </c>
      <c r="F2126" s="135" t="s">
        <v>1449</v>
      </c>
      <c r="G2126" s="185" t="s">
        <v>15</v>
      </c>
      <c r="H2126" s="185" t="s">
        <v>15</v>
      </c>
      <c r="I2126" s="185" t="s">
        <v>15</v>
      </c>
      <c r="J2126" s="135" t="s">
        <v>1450</v>
      </c>
      <c r="K2126" s="186">
        <v>9708</v>
      </c>
      <c r="L2126" s="187" t="s">
        <v>173</v>
      </c>
      <c r="M2126" s="187" t="s">
        <v>175</v>
      </c>
    </row>
    <row r="2127" spans="1:13" s="188" customFormat="1">
      <c r="A2127" s="185" t="s">
        <v>1447</v>
      </c>
      <c r="B2127" s="133" t="s">
        <v>5402</v>
      </c>
      <c r="C2127" s="185" t="s">
        <v>3023</v>
      </c>
      <c r="D2127" s="133" t="s">
        <v>1662</v>
      </c>
      <c r="E2127" s="134">
        <v>1</v>
      </c>
      <c r="F2127" s="135" t="s">
        <v>1449</v>
      </c>
      <c r="G2127" s="185" t="s">
        <v>15</v>
      </c>
      <c r="H2127" s="185" t="s">
        <v>15</v>
      </c>
      <c r="I2127" s="185" t="s">
        <v>15</v>
      </c>
      <c r="J2127" s="135" t="s">
        <v>1450</v>
      </c>
      <c r="K2127" s="186">
        <v>7848</v>
      </c>
      <c r="L2127" s="187" t="s">
        <v>173</v>
      </c>
      <c r="M2127" s="187" t="s">
        <v>175</v>
      </c>
    </row>
    <row r="2128" spans="1:13" s="188" customFormat="1">
      <c r="A2128" s="185" t="s">
        <v>1447</v>
      </c>
      <c r="B2128" s="133" t="s">
        <v>5403</v>
      </c>
      <c r="C2128" s="185" t="s">
        <v>3023</v>
      </c>
      <c r="D2128" s="133" t="s">
        <v>1662</v>
      </c>
      <c r="E2128" s="134">
        <v>1</v>
      </c>
      <c r="F2128" s="135" t="s">
        <v>1449</v>
      </c>
      <c r="G2128" s="185" t="s">
        <v>15</v>
      </c>
      <c r="H2128" s="185" t="s">
        <v>15</v>
      </c>
      <c r="I2128" s="185" t="s">
        <v>15</v>
      </c>
      <c r="J2128" s="135" t="s">
        <v>1450</v>
      </c>
      <c r="K2128" s="186">
        <v>5916</v>
      </c>
      <c r="L2128" s="187" t="s">
        <v>173</v>
      </c>
      <c r="M2128" s="187" t="s">
        <v>175</v>
      </c>
    </row>
    <row r="2129" spans="1:13" s="188" customFormat="1">
      <c r="A2129" s="185" t="s">
        <v>1447</v>
      </c>
      <c r="B2129" s="133" t="s">
        <v>5404</v>
      </c>
      <c r="C2129" s="185" t="s">
        <v>3023</v>
      </c>
      <c r="D2129" s="133" t="s">
        <v>1662</v>
      </c>
      <c r="E2129" s="134">
        <v>1</v>
      </c>
      <c r="F2129" s="135" t="s">
        <v>1449</v>
      </c>
      <c r="G2129" s="185" t="s">
        <v>15</v>
      </c>
      <c r="H2129" s="185" t="s">
        <v>15</v>
      </c>
      <c r="I2129" s="185" t="s">
        <v>15</v>
      </c>
      <c r="J2129" s="135" t="s">
        <v>1450</v>
      </c>
      <c r="K2129" s="186">
        <v>4728</v>
      </c>
      <c r="L2129" s="187" t="s">
        <v>173</v>
      </c>
      <c r="M2129" s="187" t="s">
        <v>175</v>
      </c>
    </row>
    <row r="2130" spans="1:13" s="188" customFormat="1">
      <c r="A2130" s="185" t="s">
        <v>1447</v>
      </c>
      <c r="B2130" s="133" t="s">
        <v>5405</v>
      </c>
      <c r="C2130" s="185" t="s">
        <v>3023</v>
      </c>
      <c r="D2130" s="133" t="s">
        <v>1662</v>
      </c>
      <c r="E2130" s="134">
        <v>1</v>
      </c>
      <c r="F2130" s="135" t="s">
        <v>1449</v>
      </c>
      <c r="G2130" s="185" t="s">
        <v>15</v>
      </c>
      <c r="H2130" s="185" t="s">
        <v>15</v>
      </c>
      <c r="I2130" s="185" t="s">
        <v>15</v>
      </c>
      <c r="J2130" s="135" t="s">
        <v>1450</v>
      </c>
      <c r="K2130" s="186">
        <v>3732</v>
      </c>
      <c r="L2130" s="187" t="s">
        <v>173</v>
      </c>
      <c r="M2130" s="187" t="s">
        <v>175</v>
      </c>
    </row>
    <row r="2131" spans="1:13" s="188" customFormat="1">
      <c r="A2131" s="185" t="s">
        <v>1447</v>
      </c>
      <c r="B2131" s="133" t="s">
        <v>5406</v>
      </c>
      <c r="C2131" s="185" t="s">
        <v>3023</v>
      </c>
      <c r="D2131" s="133" t="s">
        <v>5407</v>
      </c>
      <c r="E2131" s="134">
        <v>1</v>
      </c>
      <c r="F2131" s="135" t="s">
        <v>1449</v>
      </c>
      <c r="G2131" s="185" t="s">
        <v>15</v>
      </c>
      <c r="H2131" s="185" t="s">
        <v>15</v>
      </c>
      <c r="I2131" s="185" t="s">
        <v>15</v>
      </c>
      <c r="J2131" s="135" t="s">
        <v>1450</v>
      </c>
      <c r="K2131" s="186">
        <v>10332</v>
      </c>
      <c r="L2131" s="187" t="s">
        <v>173</v>
      </c>
      <c r="M2131" s="187" t="s">
        <v>175</v>
      </c>
    </row>
    <row r="2132" spans="1:13" s="188" customFormat="1">
      <c r="A2132" s="185" t="s">
        <v>1447</v>
      </c>
      <c r="B2132" s="133" t="s">
        <v>5408</v>
      </c>
      <c r="C2132" s="185" t="s">
        <v>3023</v>
      </c>
      <c r="D2132" s="133" t="s">
        <v>5407</v>
      </c>
      <c r="E2132" s="134">
        <v>1</v>
      </c>
      <c r="F2132" s="135" t="s">
        <v>1449</v>
      </c>
      <c r="G2132" s="185" t="s">
        <v>15</v>
      </c>
      <c r="H2132" s="185" t="s">
        <v>15</v>
      </c>
      <c r="I2132" s="185" t="s">
        <v>15</v>
      </c>
      <c r="J2132" s="135" t="s">
        <v>1450</v>
      </c>
      <c r="K2132" s="186">
        <v>8592</v>
      </c>
      <c r="L2132" s="187" t="s">
        <v>173</v>
      </c>
      <c r="M2132" s="187" t="s">
        <v>175</v>
      </c>
    </row>
    <row r="2133" spans="1:13" s="188" customFormat="1">
      <c r="A2133" s="185" t="s">
        <v>1447</v>
      </c>
      <c r="B2133" s="133" t="s">
        <v>5409</v>
      </c>
      <c r="C2133" s="185" t="s">
        <v>3023</v>
      </c>
      <c r="D2133" s="133" t="s">
        <v>5407</v>
      </c>
      <c r="E2133" s="134">
        <v>1</v>
      </c>
      <c r="F2133" s="135" t="s">
        <v>1449</v>
      </c>
      <c r="G2133" s="185" t="s">
        <v>15</v>
      </c>
      <c r="H2133" s="185" t="s">
        <v>15</v>
      </c>
      <c r="I2133" s="185" t="s">
        <v>15</v>
      </c>
      <c r="J2133" s="135" t="s">
        <v>1450</v>
      </c>
      <c r="K2133" s="186">
        <v>7716</v>
      </c>
      <c r="L2133" s="187" t="s">
        <v>173</v>
      </c>
      <c r="M2133" s="187" t="s">
        <v>175</v>
      </c>
    </row>
    <row r="2134" spans="1:13" s="188" customFormat="1">
      <c r="A2134" s="185" t="s">
        <v>1447</v>
      </c>
      <c r="B2134" s="133" t="s">
        <v>5410</v>
      </c>
      <c r="C2134" s="185" t="s">
        <v>3023</v>
      </c>
      <c r="D2134" s="133" t="s">
        <v>5407</v>
      </c>
      <c r="E2134" s="134">
        <v>1</v>
      </c>
      <c r="F2134" s="135" t="s">
        <v>1449</v>
      </c>
      <c r="G2134" s="185" t="s">
        <v>15</v>
      </c>
      <c r="H2134" s="185" t="s">
        <v>15</v>
      </c>
      <c r="I2134" s="185" t="s">
        <v>15</v>
      </c>
      <c r="J2134" s="135" t="s">
        <v>1450</v>
      </c>
      <c r="K2134" s="186">
        <v>5484</v>
      </c>
      <c r="L2134" s="187" t="s">
        <v>173</v>
      </c>
      <c r="M2134" s="187" t="s">
        <v>175</v>
      </c>
    </row>
    <row r="2135" spans="1:13" s="188" customFormat="1">
      <c r="A2135" s="185" t="s">
        <v>1447</v>
      </c>
      <c r="B2135" s="133" t="s">
        <v>5411</v>
      </c>
      <c r="C2135" s="185" t="s">
        <v>3023</v>
      </c>
      <c r="D2135" s="133" t="s">
        <v>5407</v>
      </c>
      <c r="E2135" s="134">
        <v>1</v>
      </c>
      <c r="F2135" s="135" t="s">
        <v>1449</v>
      </c>
      <c r="G2135" s="185" t="s">
        <v>15</v>
      </c>
      <c r="H2135" s="185" t="s">
        <v>15</v>
      </c>
      <c r="I2135" s="185" t="s">
        <v>15</v>
      </c>
      <c r="J2135" s="135" t="s">
        <v>1450</v>
      </c>
      <c r="K2135" s="186">
        <v>4488</v>
      </c>
      <c r="L2135" s="187" t="s">
        <v>173</v>
      </c>
      <c r="M2135" s="187" t="s">
        <v>175</v>
      </c>
    </row>
    <row r="2136" spans="1:13" s="188" customFormat="1">
      <c r="A2136" s="185" t="s">
        <v>1447</v>
      </c>
      <c r="B2136" s="133" t="s">
        <v>5412</v>
      </c>
      <c r="C2136" s="185" t="s">
        <v>3023</v>
      </c>
      <c r="D2136" s="133" t="s">
        <v>5413</v>
      </c>
      <c r="E2136" s="134">
        <v>1</v>
      </c>
      <c r="F2136" s="135" t="s">
        <v>1449</v>
      </c>
      <c r="G2136" s="185" t="s">
        <v>15</v>
      </c>
      <c r="H2136" s="185" t="s">
        <v>15</v>
      </c>
      <c r="I2136" s="185" t="s">
        <v>15</v>
      </c>
      <c r="J2136" s="135" t="s">
        <v>1450</v>
      </c>
      <c r="K2136" s="186">
        <v>4104</v>
      </c>
      <c r="L2136" s="187" t="s">
        <v>173</v>
      </c>
      <c r="M2136" s="187" t="s">
        <v>175</v>
      </c>
    </row>
    <row r="2137" spans="1:13" s="188" customFormat="1">
      <c r="A2137" s="185" t="s">
        <v>1447</v>
      </c>
      <c r="B2137" s="133" t="s">
        <v>5414</v>
      </c>
      <c r="C2137" s="185" t="s">
        <v>3023</v>
      </c>
      <c r="D2137" s="133" t="s">
        <v>5413</v>
      </c>
      <c r="E2137" s="134">
        <v>1</v>
      </c>
      <c r="F2137" s="135" t="s">
        <v>1449</v>
      </c>
      <c r="G2137" s="185" t="s">
        <v>15</v>
      </c>
      <c r="H2137" s="185" t="s">
        <v>15</v>
      </c>
      <c r="I2137" s="185" t="s">
        <v>15</v>
      </c>
      <c r="J2137" s="135" t="s">
        <v>1450</v>
      </c>
      <c r="K2137" s="186">
        <v>3420</v>
      </c>
      <c r="L2137" s="187" t="s">
        <v>173</v>
      </c>
      <c r="M2137" s="187" t="s">
        <v>175</v>
      </c>
    </row>
    <row r="2138" spans="1:13" s="188" customFormat="1">
      <c r="A2138" s="185" t="s">
        <v>1447</v>
      </c>
      <c r="B2138" s="133" t="s">
        <v>5415</v>
      </c>
      <c r="C2138" s="185" t="s">
        <v>3023</v>
      </c>
      <c r="D2138" s="133" t="s">
        <v>5413</v>
      </c>
      <c r="E2138" s="134">
        <v>1</v>
      </c>
      <c r="F2138" s="135" t="s">
        <v>1449</v>
      </c>
      <c r="G2138" s="185" t="s">
        <v>15</v>
      </c>
      <c r="H2138" s="185" t="s">
        <v>15</v>
      </c>
      <c r="I2138" s="185" t="s">
        <v>15</v>
      </c>
      <c r="J2138" s="135" t="s">
        <v>1450</v>
      </c>
      <c r="K2138" s="186">
        <v>3108</v>
      </c>
      <c r="L2138" s="187" t="s">
        <v>173</v>
      </c>
      <c r="M2138" s="187" t="s">
        <v>175</v>
      </c>
    </row>
    <row r="2139" spans="1:13" s="188" customFormat="1">
      <c r="A2139" s="185" t="s">
        <v>1447</v>
      </c>
      <c r="B2139" s="133" t="s">
        <v>5416</v>
      </c>
      <c r="C2139" s="185" t="s">
        <v>3023</v>
      </c>
      <c r="D2139" s="133" t="s">
        <v>5413</v>
      </c>
      <c r="E2139" s="134">
        <v>1</v>
      </c>
      <c r="F2139" s="135" t="s">
        <v>1449</v>
      </c>
      <c r="G2139" s="185" t="s">
        <v>15</v>
      </c>
      <c r="H2139" s="185" t="s">
        <v>15</v>
      </c>
      <c r="I2139" s="185" t="s">
        <v>15</v>
      </c>
      <c r="J2139" s="135" t="s">
        <v>1450</v>
      </c>
      <c r="K2139" s="186">
        <v>2184</v>
      </c>
      <c r="L2139" s="187" t="s">
        <v>173</v>
      </c>
      <c r="M2139" s="187" t="s">
        <v>175</v>
      </c>
    </row>
    <row r="2140" spans="1:13" s="188" customFormat="1">
      <c r="A2140" s="185" t="s">
        <v>1447</v>
      </c>
      <c r="B2140" s="133" t="s">
        <v>5417</v>
      </c>
      <c r="C2140" s="185" t="s">
        <v>3023</v>
      </c>
      <c r="D2140" s="133" t="s">
        <v>5413</v>
      </c>
      <c r="E2140" s="134">
        <v>1</v>
      </c>
      <c r="F2140" s="135" t="s">
        <v>1449</v>
      </c>
      <c r="G2140" s="185" t="s">
        <v>15</v>
      </c>
      <c r="H2140" s="185" t="s">
        <v>15</v>
      </c>
      <c r="I2140" s="185" t="s">
        <v>15</v>
      </c>
      <c r="J2140" s="135" t="s">
        <v>1450</v>
      </c>
      <c r="K2140" s="186">
        <v>1560</v>
      </c>
      <c r="L2140" s="187" t="s">
        <v>173</v>
      </c>
      <c r="M2140" s="187" t="s">
        <v>175</v>
      </c>
    </row>
    <row r="2141" spans="1:13" s="188" customFormat="1">
      <c r="A2141" s="185" t="s">
        <v>1447</v>
      </c>
      <c r="B2141" s="133" t="s">
        <v>5418</v>
      </c>
      <c r="C2141" s="185" t="s">
        <v>3023</v>
      </c>
      <c r="D2141" s="133" t="s">
        <v>5413</v>
      </c>
      <c r="E2141" s="134">
        <v>1</v>
      </c>
      <c r="F2141" s="135" t="s">
        <v>1449</v>
      </c>
      <c r="G2141" s="185" t="s">
        <v>15</v>
      </c>
      <c r="H2141" s="185" t="s">
        <v>15</v>
      </c>
      <c r="I2141" s="185" t="s">
        <v>15</v>
      </c>
      <c r="J2141" s="135" t="s">
        <v>1450</v>
      </c>
      <c r="K2141" s="186">
        <v>1248</v>
      </c>
      <c r="L2141" s="187" t="s">
        <v>173</v>
      </c>
      <c r="M2141" s="187" t="s">
        <v>175</v>
      </c>
    </row>
    <row r="2142" spans="1:13" s="188" customFormat="1">
      <c r="A2142" s="185" t="s">
        <v>1447</v>
      </c>
      <c r="B2142" s="133" t="s">
        <v>5419</v>
      </c>
      <c r="C2142" s="185" t="s">
        <v>3023</v>
      </c>
      <c r="D2142" s="133" t="s">
        <v>1663</v>
      </c>
      <c r="E2142" s="134">
        <v>1</v>
      </c>
      <c r="F2142" s="135" t="s">
        <v>1449</v>
      </c>
      <c r="G2142" s="185" t="s">
        <v>15</v>
      </c>
      <c r="H2142" s="185" t="s">
        <v>15</v>
      </c>
      <c r="I2142" s="185" t="s">
        <v>15</v>
      </c>
      <c r="J2142" s="135" t="s">
        <v>1450</v>
      </c>
      <c r="K2142" s="186">
        <v>4980</v>
      </c>
      <c r="L2142" s="187" t="s">
        <v>173</v>
      </c>
      <c r="M2142" s="187" t="s">
        <v>175</v>
      </c>
    </row>
    <row r="2143" spans="1:13" s="188" customFormat="1">
      <c r="A2143" s="185" t="s">
        <v>1447</v>
      </c>
      <c r="B2143" s="133" t="s">
        <v>5420</v>
      </c>
      <c r="C2143" s="185" t="s">
        <v>3023</v>
      </c>
      <c r="D2143" s="133" t="s">
        <v>1663</v>
      </c>
      <c r="E2143" s="134">
        <v>1</v>
      </c>
      <c r="F2143" s="135" t="s">
        <v>1449</v>
      </c>
      <c r="G2143" s="185" t="s">
        <v>15</v>
      </c>
      <c r="H2143" s="185" t="s">
        <v>15</v>
      </c>
      <c r="I2143" s="185" t="s">
        <v>15</v>
      </c>
      <c r="J2143" s="135" t="s">
        <v>1450</v>
      </c>
      <c r="K2143" s="186">
        <v>3108</v>
      </c>
      <c r="L2143" s="187" t="s">
        <v>173</v>
      </c>
      <c r="M2143" s="187" t="s">
        <v>175</v>
      </c>
    </row>
    <row r="2144" spans="1:13" s="188" customFormat="1">
      <c r="A2144" s="185" t="s">
        <v>1447</v>
      </c>
      <c r="B2144" s="133" t="s">
        <v>5421</v>
      </c>
      <c r="C2144" s="185" t="s">
        <v>3023</v>
      </c>
      <c r="D2144" s="133" t="s">
        <v>1663</v>
      </c>
      <c r="E2144" s="134">
        <v>1</v>
      </c>
      <c r="F2144" s="135" t="s">
        <v>1449</v>
      </c>
      <c r="G2144" s="185" t="s">
        <v>15</v>
      </c>
      <c r="H2144" s="185" t="s">
        <v>15</v>
      </c>
      <c r="I2144" s="185" t="s">
        <v>15</v>
      </c>
      <c r="J2144" s="135" t="s">
        <v>1450</v>
      </c>
      <c r="K2144" s="186">
        <v>1872</v>
      </c>
      <c r="L2144" s="187" t="s">
        <v>173</v>
      </c>
      <c r="M2144" s="187" t="s">
        <v>175</v>
      </c>
    </row>
    <row r="2145" spans="1:13" s="188" customFormat="1">
      <c r="A2145" s="185" t="s">
        <v>1447</v>
      </c>
      <c r="B2145" s="133" t="s">
        <v>5422</v>
      </c>
      <c r="C2145" s="185" t="s">
        <v>3023</v>
      </c>
      <c r="D2145" s="133" t="s">
        <v>1663</v>
      </c>
      <c r="E2145" s="134">
        <v>1</v>
      </c>
      <c r="F2145" s="135" t="s">
        <v>1449</v>
      </c>
      <c r="G2145" s="185" t="s">
        <v>15</v>
      </c>
      <c r="H2145" s="185" t="s">
        <v>15</v>
      </c>
      <c r="I2145" s="185" t="s">
        <v>15</v>
      </c>
      <c r="J2145" s="135" t="s">
        <v>1450</v>
      </c>
      <c r="K2145" s="186">
        <v>624</v>
      </c>
      <c r="L2145" s="187" t="s">
        <v>173</v>
      </c>
      <c r="M2145" s="187" t="s">
        <v>175</v>
      </c>
    </row>
    <row r="2146" spans="1:13" s="188" customFormat="1">
      <c r="A2146" s="185" t="s">
        <v>1447</v>
      </c>
      <c r="B2146" s="133" t="s">
        <v>5423</v>
      </c>
      <c r="C2146" s="185" t="s">
        <v>3023</v>
      </c>
      <c r="D2146" s="133" t="s">
        <v>1663</v>
      </c>
      <c r="E2146" s="134">
        <v>1</v>
      </c>
      <c r="F2146" s="135" t="s">
        <v>1449</v>
      </c>
      <c r="G2146" s="185" t="s">
        <v>15</v>
      </c>
      <c r="H2146" s="185" t="s">
        <v>15</v>
      </c>
      <c r="I2146" s="185" t="s">
        <v>15</v>
      </c>
      <c r="J2146" s="135" t="s">
        <v>1450</v>
      </c>
      <c r="K2146" s="186">
        <v>312</v>
      </c>
      <c r="L2146" s="187" t="s">
        <v>173</v>
      </c>
      <c r="M2146" s="187" t="s">
        <v>175</v>
      </c>
    </row>
    <row r="2147" spans="1:13" s="188" customFormat="1">
      <c r="A2147" s="185" t="s">
        <v>1447</v>
      </c>
      <c r="B2147" s="133" t="s">
        <v>5424</v>
      </c>
      <c r="C2147" s="185" t="s">
        <v>3023</v>
      </c>
      <c r="D2147" s="133" t="s">
        <v>1665</v>
      </c>
      <c r="E2147" s="134">
        <v>1</v>
      </c>
      <c r="F2147" s="135" t="s">
        <v>1449</v>
      </c>
      <c r="G2147" s="185" t="s">
        <v>15</v>
      </c>
      <c r="H2147" s="185" t="s">
        <v>15</v>
      </c>
      <c r="I2147" s="185" t="s">
        <v>15</v>
      </c>
      <c r="J2147" s="135" t="s">
        <v>1450</v>
      </c>
      <c r="K2147" s="186">
        <v>4872</v>
      </c>
      <c r="L2147" s="187" t="s">
        <v>173</v>
      </c>
      <c r="M2147" s="187" t="s">
        <v>175</v>
      </c>
    </row>
    <row r="2148" spans="1:13" s="188" customFormat="1">
      <c r="A2148" s="185" t="s">
        <v>1447</v>
      </c>
      <c r="B2148" s="133" t="s">
        <v>5425</v>
      </c>
      <c r="C2148" s="185" t="s">
        <v>3023</v>
      </c>
      <c r="D2148" s="133" t="s">
        <v>1666</v>
      </c>
      <c r="E2148" s="134">
        <v>1</v>
      </c>
      <c r="F2148" s="135" t="s">
        <v>1449</v>
      </c>
      <c r="G2148" s="185" t="s">
        <v>15</v>
      </c>
      <c r="H2148" s="185" t="s">
        <v>15</v>
      </c>
      <c r="I2148" s="185" t="s">
        <v>15</v>
      </c>
      <c r="J2148" s="135" t="s">
        <v>1450</v>
      </c>
      <c r="K2148" s="186">
        <v>76416</v>
      </c>
      <c r="L2148" s="187" t="s">
        <v>173</v>
      </c>
      <c r="M2148" s="187" t="s">
        <v>175</v>
      </c>
    </row>
    <row r="2149" spans="1:13" s="188" customFormat="1">
      <c r="A2149" s="185" t="s">
        <v>1447</v>
      </c>
      <c r="B2149" s="133" t="s">
        <v>5426</v>
      </c>
      <c r="C2149" s="185" t="s">
        <v>3023</v>
      </c>
      <c r="D2149" s="133" t="s">
        <v>1666</v>
      </c>
      <c r="E2149" s="134">
        <v>1</v>
      </c>
      <c r="F2149" s="135" t="s">
        <v>1449</v>
      </c>
      <c r="G2149" s="185" t="s">
        <v>15</v>
      </c>
      <c r="H2149" s="185" t="s">
        <v>15</v>
      </c>
      <c r="I2149" s="185" t="s">
        <v>15</v>
      </c>
      <c r="J2149" s="135" t="s">
        <v>1450</v>
      </c>
      <c r="K2149" s="186">
        <v>61476</v>
      </c>
      <c r="L2149" s="187" t="s">
        <v>173</v>
      </c>
      <c r="M2149" s="187" t="s">
        <v>175</v>
      </c>
    </row>
    <row r="2150" spans="1:13" s="188" customFormat="1">
      <c r="A2150" s="185" t="s">
        <v>1447</v>
      </c>
      <c r="B2150" s="133" t="s">
        <v>5427</v>
      </c>
      <c r="C2150" s="185" t="s">
        <v>3023</v>
      </c>
      <c r="D2150" s="133" t="s">
        <v>1666</v>
      </c>
      <c r="E2150" s="134">
        <v>1</v>
      </c>
      <c r="F2150" s="135" t="s">
        <v>1449</v>
      </c>
      <c r="G2150" s="185" t="s">
        <v>15</v>
      </c>
      <c r="H2150" s="185" t="s">
        <v>15</v>
      </c>
      <c r="I2150" s="185" t="s">
        <v>15</v>
      </c>
      <c r="J2150" s="135" t="s">
        <v>1450</v>
      </c>
      <c r="K2150" s="186">
        <v>45732</v>
      </c>
      <c r="L2150" s="187" t="s">
        <v>173</v>
      </c>
      <c r="M2150" s="187" t="s">
        <v>175</v>
      </c>
    </row>
    <row r="2151" spans="1:13" s="188" customFormat="1">
      <c r="A2151" s="185" t="s">
        <v>1447</v>
      </c>
      <c r="B2151" s="133" t="s">
        <v>5428</v>
      </c>
      <c r="C2151" s="185" t="s">
        <v>3023</v>
      </c>
      <c r="D2151" s="133" t="s">
        <v>1666</v>
      </c>
      <c r="E2151" s="134">
        <v>1</v>
      </c>
      <c r="F2151" s="135" t="s">
        <v>1449</v>
      </c>
      <c r="G2151" s="185" t="s">
        <v>15</v>
      </c>
      <c r="H2151" s="185" t="s">
        <v>15</v>
      </c>
      <c r="I2151" s="185" t="s">
        <v>15</v>
      </c>
      <c r="J2151" s="135" t="s">
        <v>1450</v>
      </c>
      <c r="K2151" s="186">
        <v>35184</v>
      </c>
      <c r="L2151" s="187" t="s">
        <v>173</v>
      </c>
      <c r="M2151" s="187" t="s">
        <v>175</v>
      </c>
    </row>
    <row r="2152" spans="1:13" s="188" customFormat="1">
      <c r="A2152" s="185" t="s">
        <v>1447</v>
      </c>
      <c r="B2152" s="133" t="s">
        <v>5429</v>
      </c>
      <c r="C2152" s="185" t="s">
        <v>3023</v>
      </c>
      <c r="D2152" s="133" t="s">
        <v>1666</v>
      </c>
      <c r="E2152" s="134">
        <v>1</v>
      </c>
      <c r="F2152" s="135" t="s">
        <v>1449</v>
      </c>
      <c r="G2152" s="185" t="s">
        <v>15</v>
      </c>
      <c r="H2152" s="185" t="s">
        <v>15</v>
      </c>
      <c r="I2152" s="185" t="s">
        <v>15</v>
      </c>
      <c r="J2152" s="135" t="s">
        <v>1450</v>
      </c>
      <c r="K2152" s="186">
        <v>27168</v>
      </c>
      <c r="L2152" s="187" t="s">
        <v>173</v>
      </c>
      <c r="M2152" s="187" t="s">
        <v>175</v>
      </c>
    </row>
    <row r="2153" spans="1:13" s="188" customFormat="1">
      <c r="A2153" s="185" t="s">
        <v>1447</v>
      </c>
      <c r="B2153" s="133" t="s">
        <v>5430</v>
      </c>
      <c r="C2153" s="185" t="s">
        <v>3023</v>
      </c>
      <c r="D2153" s="133" t="s">
        <v>1667</v>
      </c>
      <c r="E2153" s="134">
        <v>1</v>
      </c>
      <c r="F2153" s="135" t="s">
        <v>1449</v>
      </c>
      <c r="G2153" s="185" t="s">
        <v>15</v>
      </c>
      <c r="H2153" s="185" t="s">
        <v>15</v>
      </c>
      <c r="I2153" s="185" t="s">
        <v>15</v>
      </c>
      <c r="J2153" s="135" t="s">
        <v>1450</v>
      </c>
      <c r="K2153" s="186">
        <v>12828</v>
      </c>
      <c r="L2153" s="187" t="s">
        <v>173</v>
      </c>
      <c r="M2153" s="187" t="s">
        <v>175</v>
      </c>
    </row>
    <row r="2154" spans="1:13" s="188" customFormat="1">
      <c r="A2154" s="185" t="s">
        <v>1447</v>
      </c>
      <c r="B2154" s="133" t="s">
        <v>5431</v>
      </c>
      <c r="C2154" s="185" t="s">
        <v>3023</v>
      </c>
      <c r="D2154" s="133" t="s">
        <v>1669</v>
      </c>
      <c r="E2154" s="134">
        <v>1</v>
      </c>
      <c r="F2154" s="135" t="s">
        <v>1449</v>
      </c>
      <c r="G2154" s="185" t="s">
        <v>15</v>
      </c>
      <c r="H2154" s="185" t="s">
        <v>15</v>
      </c>
      <c r="I2154" s="185" t="s">
        <v>15</v>
      </c>
      <c r="J2154" s="135" t="s">
        <v>1450</v>
      </c>
      <c r="K2154" s="186">
        <v>2808</v>
      </c>
      <c r="L2154" s="187" t="s">
        <v>173</v>
      </c>
      <c r="M2154" s="187" t="s">
        <v>175</v>
      </c>
    </row>
    <row r="2155" spans="1:13" s="188" customFormat="1">
      <c r="A2155" s="185" t="s">
        <v>1447</v>
      </c>
      <c r="B2155" s="133" t="s">
        <v>5432</v>
      </c>
      <c r="C2155" s="185" t="s">
        <v>3023</v>
      </c>
      <c r="D2155" s="133" t="s">
        <v>1669</v>
      </c>
      <c r="E2155" s="134">
        <v>1</v>
      </c>
      <c r="F2155" s="135" t="s">
        <v>1449</v>
      </c>
      <c r="G2155" s="185" t="s">
        <v>15</v>
      </c>
      <c r="H2155" s="185" t="s">
        <v>15</v>
      </c>
      <c r="I2155" s="185" t="s">
        <v>15</v>
      </c>
      <c r="J2155" s="135" t="s">
        <v>1450</v>
      </c>
      <c r="K2155" s="186">
        <v>1932</v>
      </c>
      <c r="L2155" s="187" t="s">
        <v>173</v>
      </c>
      <c r="M2155" s="187" t="s">
        <v>175</v>
      </c>
    </row>
    <row r="2156" spans="1:13" s="188" customFormat="1">
      <c r="A2156" s="185" t="s">
        <v>1447</v>
      </c>
      <c r="B2156" s="133" t="s">
        <v>5433</v>
      </c>
      <c r="C2156" s="185" t="s">
        <v>3023</v>
      </c>
      <c r="D2156" s="133" t="s">
        <v>1669</v>
      </c>
      <c r="E2156" s="134">
        <v>1</v>
      </c>
      <c r="F2156" s="135" t="s">
        <v>1449</v>
      </c>
      <c r="G2156" s="185" t="s">
        <v>15</v>
      </c>
      <c r="H2156" s="185" t="s">
        <v>15</v>
      </c>
      <c r="I2156" s="185" t="s">
        <v>15</v>
      </c>
      <c r="J2156" s="135" t="s">
        <v>1450</v>
      </c>
      <c r="K2156" s="186">
        <v>1680</v>
      </c>
      <c r="L2156" s="187" t="s">
        <v>173</v>
      </c>
      <c r="M2156" s="187" t="s">
        <v>175</v>
      </c>
    </row>
    <row r="2157" spans="1:13" s="188" customFormat="1">
      <c r="A2157" s="185" t="s">
        <v>1447</v>
      </c>
      <c r="B2157" s="133" t="s">
        <v>5434</v>
      </c>
      <c r="C2157" s="185" t="s">
        <v>3023</v>
      </c>
      <c r="D2157" s="133" t="s">
        <v>1669</v>
      </c>
      <c r="E2157" s="134">
        <v>1</v>
      </c>
      <c r="F2157" s="135" t="s">
        <v>1449</v>
      </c>
      <c r="G2157" s="185" t="s">
        <v>15</v>
      </c>
      <c r="H2157" s="185" t="s">
        <v>15</v>
      </c>
      <c r="I2157" s="185" t="s">
        <v>15</v>
      </c>
      <c r="J2157" s="135" t="s">
        <v>1450</v>
      </c>
      <c r="K2157" s="186">
        <v>1428</v>
      </c>
      <c r="L2157" s="187" t="s">
        <v>173</v>
      </c>
      <c r="M2157" s="187" t="s">
        <v>175</v>
      </c>
    </row>
    <row r="2158" spans="1:13" s="188" customFormat="1">
      <c r="A2158" s="185" t="s">
        <v>1447</v>
      </c>
      <c r="B2158" s="133" t="s">
        <v>5435</v>
      </c>
      <c r="C2158" s="185" t="s">
        <v>3023</v>
      </c>
      <c r="D2158" s="133" t="s">
        <v>1669</v>
      </c>
      <c r="E2158" s="134">
        <v>1</v>
      </c>
      <c r="F2158" s="135" t="s">
        <v>1449</v>
      </c>
      <c r="G2158" s="185" t="s">
        <v>15</v>
      </c>
      <c r="H2158" s="185" t="s">
        <v>15</v>
      </c>
      <c r="I2158" s="185" t="s">
        <v>15</v>
      </c>
      <c r="J2158" s="135" t="s">
        <v>1450</v>
      </c>
      <c r="K2158" s="186">
        <v>1116</v>
      </c>
      <c r="L2158" s="187" t="s">
        <v>173</v>
      </c>
      <c r="M2158" s="187" t="s">
        <v>175</v>
      </c>
    </row>
    <row r="2159" spans="1:13" s="188" customFormat="1">
      <c r="A2159" s="185" t="s">
        <v>1447</v>
      </c>
      <c r="B2159" s="133" t="s">
        <v>5436</v>
      </c>
      <c r="C2159" s="185" t="s">
        <v>3023</v>
      </c>
      <c r="D2159" s="133" t="s">
        <v>5437</v>
      </c>
      <c r="E2159" s="134">
        <v>1</v>
      </c>
      <c r="F2159" s="135" t="s">
        <v>1449</v>
      </c>
      <c r="G2159" s="185" t="s">
        <v>15</v>
      </c>
      <c r="H2159" s="185" t="s">
        <v>15</v>
      </c>
      <c r="I2159" s="185" t="s">
        <v>15</v>
      </c>
      <c r="J2159" s="135" t="s">
        <v>1450</v>
      </c>
      <c r="K2159" s="186">
        <v>40008</v>
      </c>
      <c r="L2159" s="187" t="s">
        <v>173</v>
      </c>
      <c r="M2159" s="187" t="s">
        <v>175</v>
      </c>
    </row>
    <row r="2160" spans="1:13" s="188" customFormat="1">
      <c r="A2160" s="185" t="s">
        <v>1447</v>
      </c>
      <c r="B2160" s="133" t="s">
        <v>5438</v>
      </c>
      <c r="C2160" s="185" t="s">
        <v>3023</v>
      </c>
      <c r="D2160" s="133" t="s">
        <v>1671</v>
      </c>
      <c r="E2160" s="134">
        <v>1</v>
      </c>
      <c r="F2160" s="135" t="s">
        <v>1449</v>
      </c>
      <c r="G2160" s="185" t="s">
        <v>15</v>
      </c>
      <c r="H2160" s="185" t="s">
        <v>15</v>
      </c>
      <c r="I2160" s="185" t="s">
        <v>15</v>
      </c>
      <c r="J2160" s="135" t="s">
        <v>1450</v>
      </c>
      <c r="K2160" s="186">
        <v>2400</v>
      </c>
      <c r="L2160" s="187" t="s">
        <v>173</v>
      </c>
      <c r="M2160" s="187" t="s">
        <v>175</v>
      </c>
    </row>
    <row r="2161" spans="1:13" s="188" customFormat="1">
      <c r="A2161" s="185" t="s">
        <v>1447</v>
      </c>
      <c r="B2161" s="133" t="s">
        <v>5439</v>
      </c>
      <c r="C2161" s="185" t="s">
        <v>3023</v>
      </c>
      <c r="D2161" s="133" t="s">
        <v>1671</v>
      </c>
      <c r="E2161" s="134">
        <v>1</v>
      </c>
      <c r="F2161" s="135" t="s">
        <v>1449</v>
      </c>
      <c r="G2161" s="185" t="s">
        <v>15</v>
      </c>
      <c r="H2161" s="185" t="s">
        <v>15</v>
      </c>
      <c r="I2161" s="185" t="s">
        <v>15</v>
      </c>
      <c r="J2161" s="135" t="s">
        <v>1450</v>
      </c>
      <c r="K2161" s="186">
        <v>2124</v>
      </c>
      <c r="L2161" s="187" t="s">
        <v>173</v>
      </c>
      <c r="M2161" s="187" t="s">
        <v>175</v>
      </c>
    </row>
    <row r="2162" spans="1:13" s="188" customFormat="1">
      <c r="A2162" s="185" t="s">
        <v>1447</v>
      </c>
      <c r="B2162" s="133" t="s">
        <v>5440</v>
      </c>
      <c r="C2162" s="185" t="s">
        <v>3023</v>
      </c>
      <c r="D2162" s="133" t="s">
        <v>1671</v>
      </c>
      <c r="E2162" s="134">
        <v>1</v>
      </c>
      <c r="F2162" s="135" t="s">
        <v>1449</v>
      </c>
      <c r="G2162" s="185" t="s">
        <v>15</v>
      </c>
      <c r="H2162" s="185" t="s">
        <v>15</v>
      </c>
      <c r="I2162" s="185" t="s">
        <v>15</v>
      </c>
      <c r="J2162" s="135" t="s">
        <v>1450</v>
      </c>
      <c r="K2162" s="186">
        <v>1356</v>
      </c>
      <c r="L2162" s="187" t="s">
        <v>173</v>
      </c>
      <c r="M2162" s="187" t="s">
        <v>175</v>
      </c>
    </row>
    <row r="2163" spans="1:13" s="188" customFormat="1">
      <c r="A2163" s="185" t="s">
        <v>1447</v>
      </c>
      <c r="B2163" s="133" t="s">
        <v>5441</v>
      </c>
      <c r="C2163" s="185" t="s">
        <v>3023</v>
      </c>
      <c r="D2163" s="133" t="s">
        <v>1671</v>
      </c>
      <c r="E2163" s="134">
        <v>1</v>
      </c>
      <c r="F2163" s="135" t="s">
        <v>1449</v>
      </c>
      <c r="G2163" s="185" t="s">
        <v>15</v>
      </c>
      <c r="H2163" s="185" t="s">
        <v>15</v>
      </c>
      <c r="I2163" s="185" t="s">
        <v>15</v>
      </c>
      <c r="J2163" s="135" t="s">
        <v>1450</v>
      </c>
      <c r="K2163" s="186">
        <v>816</v>
      </c>
      <c r="L2163" s="187" t="s">
        <v>173</v>
      </c>
      <c r="M2163" s="187" t="s">
        <v>175</v>
      </c>
    </row>
    <row r="2164" spans="1:13" s="188" customFormat="1">
      <c r="A2164" s="185" t="s">
        <v>1447</v>
      </c>
      <c r="B2164" s="133" t="s">
        <v>5442</v>
      </c>
      <c r="C2164" s="185" t="s">
        <v>3023</v>
      </c>
      <c r="D2164" s="133" t="s">
        <v>1671</v>
      </c>
      <c r="E2164" s="134">
        <v>1</v>
      </c>
      <c r="F2164" s="135" t="s">
        <v>1449</v>
      </c>
      <c r="G2164" s="185" t="s">
        <v>15</v>
      </c>
      <c r="H2164" s="185" t="s">
        <v>15</v>
      </c>
      <c r="I2164" s="185" t="s">
        <v>15</v>
      </c>
      <c r="J2164" s="135" t="s">
        <v>1450</v>
      </c>
      <c r="K2164" s="186">
        <v>552</v>
      </c>
      <c r="L2164" s="187" t="s">
        <v>173</v>
      </c>
      <c r="M2164" s="187" t="s">
        <v>175</v>
      </c>
    </row>
    <row r="2165" spans="1:13" s="188" customFormat="1">
      <c r="A2165" s="185" t="s">
        <v>1447</v>
      </c>
      <c r="B2165" s="133" t="s">
        <v>5443</v>
      </c>
      <c r="C2165" s="185" t="s">
        <v>3023</v>
      </c>
      <c r="D2165" s="133" t="s">
        <v>1672</v>
      </c>
      <c r="E2165" s="134">
        <v>1</v>
      </c>
      <c r="F2165" s="135" t="s">
        <v>1449</v>
      </c>
      <c r="G2165" s="185" t="s">
        <v>15</v>
      </c>
      <c r="H2165" s="185" t="s">
        <v>15</v>
      </c>
      <c r="I2165" s="185" t="s">
        <v>15</v>
      </c>
      <c r="J2165" s="135" t="s">
        <v>1450</v>
      </c>
      <c r="K2165" s="186">
        <v>2400</v>
      </c>
      <c r="L2165" s="187" t="s">
        <v>173</v>
      </c>
      <c r="M2165" s="187" t="s">
        <v>175</v>
      </c>
    </row>
    <row r="2166" spans="1:13" s="188" customFormat="1">
      <c r="A2166" s="185" t="s">
        <v>1447</v>
      </c>
      <c r="B2166" s="133" t="s">
        <v>5444</v>
      </c>
      <c r="C2166" s="185" t="s">
        <v>3023</v>
      </c>
      <c r="D2166" s="133" t="s">
        <v>1672</v>
      </c>
      <c r="E2166" s="134">
        <v>1</v>
      </c>
      <c r="F2166" s="135" t="s">
        <v>1449</v>
      </c>
      <c r="G2166" s="185" t="s">
        <v>15</v>
      </c>
      <c r="H2166" s="185" t="s">
        <v>15</v>
      </c>
      <c r="I2166" s="185" t="s">
        <v>15</v>
      </c>
      <c r="J2166" s="135" t="s">
        <v>1450</v>
      </c>
      <c r="K2166" s="186">
        <v>2124</v>
      </c>
      <c r="L2166" s="187" t="s">
        <v>173</v>
      </c>
      <c r="M2166" s="187" t="s">
        <v>175</v>
      </c>
    </row>
    <row r="2167" spans="1:13" s="188" customFormat="1">
      <c r="A2167" s="185" t="s">
        <v>1447</v>
      </c>
      <c r="B2167" s="133" t="s">
        <v>5445</v>
      </c>
      <c r="C2167" s="185" t="s">
        <v>3023</v>
      </c>
      <c r="D2167" s="133" t="s">
        <v>1672</v>
      </c>
      <c r="E2167" s="134">
        <v>1</v>
      </c>
      <c r="F2167" s="135" t="s">
        <v>1449</v>
      </c>
      <c r="G2167" s="185" t="s">
        <v>15</v>
      </c>
      <c r="H2167" s="185" t="s">
        <v>15</v>
      </c>
      <c r="I2167" s="185" t="s">
        <v>15</v>
      </c>
      <c r="J2167" s="135" t="s">
        <v>1450</v>
      </c>
      <c r="K2167" s="186">
        <v>1356</v>
      </c>
      <c r="L2167" s="187" t="s">
        <v>173</v>
      </c>
      <c r="M2167" s="187" t="s">
        <v>175</v>
      </c>
    </row>
    <row r="2168" spans="1:13" s="188" customFormat="1">
      <c r="A2168" s="185" t="s">
        <v>1447</v>
      </c>
      <c r="B2168" s="133" t="s">
        <v>5446</v>
      </c>
      <c r="C2168" s="185" t="s">
        <v>3023</v>
      </c>
      <c r="D2168" s="133" t="s">
        <v>1672</v>
      </c>
      <c r="E2168" s="134">
        <v>1</v>
      </c>
      <c r="F2168" s="135" t="s">
        <v>1449</v>
      </c>
      <c r="G2168" s="185" t="s">
        <v>15</v>
      </c>
      <c r="H2168" s="185" t="s">
        <v>15</v>
      </c>
      <c r="I2168" s="185" t="s">
        <v>15</v>
      </c>
      <c r="J2168" s="135" t="s">
        <v>1450</v>
      </c>
      <c r="K2168" s="186">
        <v>816</v>
      </c>
      <c r="L2168" s="187" t="s">
        <v>173</v>
      </c>
      <c r="M2168" s="187" t="s">
        <v>175</v>
      </c>
    </row>
    <row r="2169" spans="1:13" s="188" customFormat="1">
      <c r="A2169" s="185" t="s">
        <v>1447</v>
      </c>
      <c r="B2169" s="133" t="s">
        <v>5447</v>
      </c>
      <c r="C2169" s="185" t="s">
        <v>3023</v>
      </c>
      <c r="D2169" s="133" t="s">
        <v>1672</v>
      </c>
      <c r="E2169" s="134">
        <v>1</v>
      </c>
      <c r="F2169" s="135" t="s">
        <v>1449</v>
      </c>
      <c r="G2169" s="185" t="s">
        <v>15</v>
      </c>
      <c r="H2169" s="185" t="s">
        <v>15</v>
      </c>
      <c r="I2169" s="185" t="s">
        <v>15</v>
      </c>
      <c r="J2169" s="135" t="s">
        <v>1450</v>
      </c>
      <c r="K2169" s="186">
        <v>552</v>
      </c>
      <c r="L2169" s="187" t="s">
        <v>173</v>
      </c>
      <c r="M2169" s="187" t="s">
        <v>175</v>
      </c>
    </row>
    <row r="2170" spans="1:13" s="188" customFormat="1">
      <c r="A2170" s="185" t="s">
        <v>1447</v>
      </c>
      <c r="B2170" s="133" t="s">
        <v>5448</v>
      </c>
      <c r="C2170" s="185" t="s">
        <v>3023</v>
      </c>
      <c r="D2170" s="133" t="s">
        <v>1673</v>
      </c>
      <c r="E2170" s="134">
        <v>1</v>
      </c>
      <c r="F2170" s="135" t="s">
        <v>1449</v>
      </c>
      <c r="G2170" s="185" t="s">
        <v>15</v>
      </c>
      <c r="H2170" s="185" t="s">
        <v>15</v>
      </c>
      <c r="I2170" s="185" t="s">
        <v>15</v>
      </c>
      <c r="J2170" s="135" t="s">
        <v>1450</v>
      </c>
      <c r="K2170" s="186">
        <v>2400</v>
      </c>
      <c r="L2170" s="187" t="s">
        <v>173</v>
      </c>
      <c r="M2170" s="187" t="s">
        <v>175</v>
      </c>
    </row>
    <row r="2171" spans="1:13" s="188" customFormat="1">
      <c r="A2171" s="185" t="s">
        <v>1447</v>
      </c>
      <c r="B2171" s="133" t="s">
        <v>5449</v>
      </c>
      <c r="C2171" s="185" t="s">
        <v>3023</v>
      </c>
      <c r="D2171" s="133" t="s">
        <v>1673</v>
      </c>
      <c r="E2171" s="134">
        <v>1</v>
      </c>
      <c r="F2171" s="135" t="s">
        <v>1449</v>
      </c>
      <c r="G2171" s="185" t="s">
        <v>15</v>
      </c>
      <c r="H2171" s="185" t="s">
        <v>15</v>
      </c>
      <c r="I2171" s="185" t="s">
        <v>15</v>
      </c>
      <c r="J2171" s="135" t="s">
        <v>1450</v>
      </c>
      <c r="K2171" s="186">
        <v>2124</v>
      </c>
      <c r="L2171" s="187" t="s">
        <v>173</v>
      </c>
      <c r="M2171" s="187" t="s">
        <v>175</v>
      </c>
    </row>
    <row r="2172" spans="1:13" s="188" customFormat="1">
      <c r="A2172" s="185" t="s">
        <v>1447</v>
      </c>
      <c r="B2172" s="133" t="s">
        <v>5450</v>
      </c>
      <c r="C2172" s="185" t="s">
        <v>3023</v>
      </c>
      <c r="D2172" s="133" t="s">
        <v>1673</v>
      </c>
      <c r="E2172" s="134">
        <v>1</v>
      </c>
      <c r="F2172" s="135" t="s">
        <v>1449</v>
      </c>
      <c r="G2172" s="185" t="s">
        <v>15</v>
      </c>
      <c r="H2172" s="185" t="s">
        <v>15</v>
      </c>
      <c r="I2172" s="185" t="s">
        <v>15</v>
      </c>
      <c r="J2172" s="135" t="s">
        <v>1450</v>
      </c>
      <c r="K2172" s="186">
        <v>1356</v>
      </c>
      <c r="L2172" s="187" t="s">
        <v>173</v>
      </c>
      <c r="M2172" s="187" t="s">
        <v>175</v>
      </c>
    </row>
    <row r="2173" spans="1:13" s="188" customFormat="1">
      <c r="A2173" s="185" t="s">
        <v>1447</v>
      </c>
      <c r="B2173" s="133" t="s">
        <v>5451</v>
      </c>
      <c r="C2173" s="185" t="s">
        <v>3023</v>
      </c>
      <c r="D2173" s="133" t="s">
        <v>1673</v>
      </c>
      <c r="E2173" s="134">
        <v>1</v>
      </c>
      <c r="F2173" s="135" t="s">
        <v>1449</v>
      </c>
      <c r="G2173" s="185" t="s">
        <v>15</v>
      </c>
      <c r="H2173" s="185" t="s">
        <v>15</v>
      </c>
      <c r="I2173" s="185" t="s">
        <v>15</v>
      </c>
      <c r="J2173" s="135" t="s">
        <v>1450</v>
      </c>
      <c r="K2173" s="186">
        <v>816</v>
      </c>
      <c r="L2173" s="187" t="s">
        <v>173</v>
      </c>
      <c r="M2173" s="187" t="s">
        <v>175</v>
      </c>
    </row>
    <row r="2174" spans="1:13" s="188" customFormat="1">
      <c r="A2174" s="185" t="s">
        <v>1447</v>
      </c>
      <c r="B2174" s="133" t="s">
        <v>5452</v>
      </c>
      <c r="C2174" s="185" t="s">
        <v>3023</v>
      </c>
      <c r="D2174" s="133" t="s">
        <v>1673</v>
      </c>
      <c r="E2174" s="134">
        <v>1</v>
      </c>
      <c r="F2174" s="135" t="s">
        <v>1449</v>
      </c>
      <c r="G2174" s="185" t="s">
        <v>15</v>
      </c>
      <c r="H2174" s="185" t="s">
        <v>15</v>
      </c>
      <c r="I2174" s="185" t="s">
        <v>15</v>
      </c>
      <c r="J2174" s="135" t="s">
        <v>1450</v>
      </c>
      <c r="K2174" s="186">
        <v>552</v>
      </c>
      <c r="L2174" s="187" t="s">
        <v>173</v>
      </c>
      <c r="M2174" s="187" t="s">
        <v>175</v>
      </c>
    </row>
    <row r="2175" spans="1:13" s="188" customFormat="1">
      <c r="A2175" s="185" t="s">
        <v>1447</v>
      </c>
      <c r="B2175" s="133" t="s">
        <v>5453</v>
      </c>
      <c r="C2175" s="185" t="s">
        <v>3023</v>
      </c>
      <c r="D2175" s="133" t="s">
        <v>1674</v>
      </c>
      <c r="E2175" s="134">
        <v>1</v>
      </c>
      <c r="F2175" s="135" t="s">
        <v>1449</v>
      </c>
      <c r="G2175" s="185" t="s">
        <v>15</v>
      </c>
      <c r="H2175" s="185" t="s">
        <v>15</v>
      </c>
      <c r="I2175" s="185" t="s">
        <v>15</v>
      </c>
      <c r="J2175" s="135" t="s">
        <v>1450</v>
      </c>
      <c r="K2175" s="186">
        <v>41088</v>
      </c>
      <c r="L2175" s="187" t="s">
        <v>173</v>
      </c>
      <c r="M2175" s="187" t="s">
        <v>175</v>
      </c>
    </row>
    <row r="2176" spans="1:13" s="188" customFormat="1">
      <c r="A2176" s="185" t="s">
        <v>1447</v>
      </c>
      <c r="B2176" s="133" t="s">
        <v>5454</v>
      </c>
      <c r="C2176" s="185" t="s">
        <v>3023</v>
      </c>
      <c r="D2176" s="133" t="s">
        <v>1674</v>
      </c>
      <c r="E2176" s="134">
        <v>1</v>
      </c>
      <c r="F2176" s="135" t="s">
        <v>1449</v>
      </c>
      <c r="G2176" s="185" t="s">
        <v>15</v>
      </c>
      <c r="H2176" s="185" t="s">
        <v>15</v>
      </c>
      <c r="I2176" s="185" t="s">
        <v>15</v>
      </c>
      <c r="J2176" s="135" t="s">
        <v>1450</v>
      </c>
      <c r="K2176" s="186">
        <v>31128</v>
      </c>
      <c r="L2176" s="187" t="s">
        <v>173</v>
      </c>
      <c r="M2176" s="187" t="s">
        <v>175</v>
      </c>
    </row>
    <row r="2177" spans="1:13" s="188" customFormat="1">
      <c r="A2177" s="185" t="s">
        <v>1447</v>
      </c>
      <c r="B2177" s="133" t="s">
        <v>5455</v>
      </c>
      <c r="C2177" s="185" t="s">
        <v>3023</v>
      </c>
      <c r="D2177" s="133" t="s">
        <v>1674</v>
      </c>
      <c r="E2177" s="134">
        <v>1</v>
      </c>
      <c r="F2177" s="135" t="s">
        <v>1449</v>
      </c>
      <c r="G2177" s="185" t="s">
        <v>15</v>
      </c>
      <c r="H2177" s="185" t="s">
        <v>15</v>
      </c>
      <c r="I2177" s="185" t="s">
        <v>15</v>
      </c>
      <c r="J2177" s="135" t="s">
        <v>1450</v>
      </c>
      <c r="K2177" s="186">
        <v>27396</v>
      </c>
      <c r="L2177" s="187" t="s">
        <v>173</v>
      </c>
      <c r="M2177" s="187" t="s">
        <v>175</v>
      </c>
    </row>
    <row r="2178" spans="1:13" s="188" customFormat="1">
      <c r="A2178" s="185" t="s">
        <v>1447</v>
      </c>
      <c r="B2178" s="133" t="s">
        <v>5456</v>
      </c>
      <c r="C2178" s="185" t="s">
        <v>3023</v>
      </c>
      <c r="D2178" s="133" t="s">
        <v>1674</v>
      </c>
      <c r="E2178" s="134">
        <v>1</v>
      </c>
      <c r="F2178" s="135" t="s">
        <v>1449</v>
      </c>
      <c r="G2178" s="185" t="s">
        <v>15</v>
      </c>
      <c r="H2178" s="185" t="s">
        <v>15</v>
      </c>
      <c r="I2178" s="185" t="s">
        <v>15</v>
      </c>
      <c r="J2178" s="135" t="s">
        <v>1450</v>
      </c>
      <c r="K2178" s="186">
        <v>23652</v>
      </c>
      <c r="L2178" s="187" t="s">
        <v>173</v>
      </c>
      <c r="M2178" s="187" t="s">
        <v>175</v>
      </c>
    </row>
    <row r="2179" spans="1:13" s="188" customFormat="1">
      <c r="A2179" s="185" t="s">
        <v>1447</v>
      </c>
      <c r="B2179" s="133" t="s">
        <v>5457</v>
      </c>
      <c r="C2179" s="185" t="s">
        <v>3023</v>
      </c>
      <c r="D2179" s="133" t="s">
        <v>5458</v>
      </c>
      <c r="E2179" s="134">
        <v>1</v>
      </c>
      <c r="F2179" s="135" t="s">
        <v>1449</v>
      </c>
      <c r="G2179" s="185" t="s">
        <v>15</v>
      </c>
      <c r="H2179" s="185" t="s">
        <v>15</v>
      </c>
      <c r="I2179" s="185" t="s">
        <v>15</v>
      </c>
      <c r="J2179" s="135" t="s">
        <v>1450</v>
      </c>
      <c r="K2179" s="186">
        <v>242880</v>
      </c>
      <c r="L2179" s="187" t="s">
        <v>173</v>
      </c>
      <c r="M2179" s="187" t="s">
        <v>175</v>
      </c>
    </row>
    <row r="2180" spans="1:13" s="188" customFormat="1">
      <c r="A2180" s="185" t="s">
        <v>1447</v>
      </c>
      <c r="B2180" s="133" t="s">
        <v>5459</v>
      </c>
      <c r="C2180" s="185" t="s">
        <v>3023</v>
      </c>
      <c r="D2180" s="133" t="s">
        <v>5460</v>
      </c>
      <c r="E2180" s="134">
        <v>1</v>
      </c>
      <c r="F2180" s="135" t="s">
        <v>1449</v>
      </c>
      <c r="G2180" s="185" t="s">
        <v>15</v>
      </c>
      <c r="H2180" s="185" t="s">
        <v>15</v>
      </c>
      <c r="I2180" s="185" t="s">
        <v>15</v>
      </c>
      <c r="J2180" s="135" t="s">
        <v>1450</v>
      </c>
      <c r="K2180" s="186">
        <v>362976</v>
      </c>
      <c r="L2180" s="187" t="s">
        <v>173</v>
      </c>
      <c r="M2180" s="187" t="s">
        <v>175</v>
      </c>
    </row>
    <row r="2181" spans="1:13" s="188" customFormat="1">
      <c r="A2181" s="185" t="s">
        <v>1447</v>
      </c>
      <c r="B2181" s="133" t="s">
        <v>5461</v>
      </c>
      <c r="C2181" s="185" t="s">
        <v>3023</v>
      </c>
      <c r="D2181" s="133" t="s">
        <v>5462</v>
      </c>
      <c r="E2181" s="134">
        <v>1</v>
      </c>
      <c r="F2181" s="135" t="s">
        <v>1449</v>
      </c>
      <c r="G2181" s="185" t="s">
        <v>15</v>
      </c>
      <c r="H2181" s="185" t="s">
        <v>15</v>
      </c>
      <c r="I2181" s="185" t="s">
        <v>15</v>
      </c>
      <c r="J2181" s="135" t="s">
        <v>1450</v>
      </c>
      <c r="K2181" s="186">
        <v>413760</v>
      </c>
      <c r="L2181" s="187" t="s">
        <v>173</v>
      </c>
      <c r="M2181" s="187" t="s">
        <v>175</v>
      </c>
    </row>
    <row r="2182" spans="1:13" s="188" customFormat="1">
      <c r="A2182" s="185" t="s">
        <v>1447</v>
      </c>
      <c r="B2182" s="133" t="s">
        <v>5463</v>
      </c>
      <c r="C2182" s="185" t="s">
        <v>3023</v>
      </c>
      <c r="D2182" s="133" t="s">
        <v>5464</v>
      </c>
      <c r="E2182" s="134">
        <v>1</v>
      </c>
      <c r="F2182" s="135" t="s">
        <v>1449</v>
      </c>
      <c r="G2182" s="185" t="s">
        <v>15</v>
      </c>
      <c r="H2182" s="185" t="s">
        <v>15</v>
      </c>
      <c r="I2182" s="185" t="s">
        <v>15</v>
      </c>
      <c r="J2182" s="135" t="s">
        <v>1450</v>
      </c>
      <c r="K2182" s="186">
        <v>522168</v>
      </c>
      <c r="L2182" s="187" t="s">
        <v>173</v>
      </c>
      <c r="M2182" s="187" t="s">
        <v>175</v>
      </c>
    </row>
    <row r="2183" spans="1:13" s="188" customFormat="1">
      <c r="A2183" s="185" t="s">
        <v>1447</v>
      </c>
      <c r="B2183" s="133" t="s">
        <v>5465</v>
      </c>
      <c r="C2183" s="185" t="s">
        <v>3023</v>
      </c>
      <c r="D2183" s="133" t="s">
        <v>5466</v>
      </c>
      <c r="E2183" s="134">
        <v>1</v>
      </c>
      <c r="F2183" s="135" t="s">
        <v>1449</v>
      </c>
      <c r="G2183" s="185" t="s">
        <v>15</v>
      </c>
      <c r="H2183" s="185" t="s">
        <v>15</v>
      </c>
      <c r="I2183" s="185" t="s">
        <v>15</v>
      </c>
      <c r="J2183" s="135" t="s">
        <v>1450</v>
      </c>
      <c r="K2183" s="186">
        <v>152796</v>
      </c>
      <c r="L2183" s="187" t="s">
        <v>173</v>
      </c>
      <c r="M2183" s="187" t="s">
        <v>175</v>
      </c>
    </row>
    <row r="2184" spans="1:13" s="188" customFormat="1">
      <c r="A2184" s="185" t="s">
        <v>1447</v>
      </c>
      <c r="B2184" s="133" t="s">
        <v>5467</v>
      </c>
      <c r="C2184" s="185" t="s">
        <v>3023</v>
      </c>
      <c r="D2184" s="133" t="s">
        <v>5468</v>
      </c>
      <c r="E2184" s="134">
        <v>1</v>
      </c>
      <c r="F2184" s="135" t="s">
        <v>1449</v>
      </c>
      <c r="G2184" s="185" t="s">
        <v>15</v>
      </c>
      <c r="H2184" s="185" t="s">
        <v>15</v>
      </c>
      <c r="I2184" s="185" t="s">
        <v>15</v>
      </c>
      <c r="J2184" s="135" t="s">
        <v>1450</v>
      </c>
      <c r="K2184" s="186">
        <v>184728</v>
      </c>
      <c r="L2184" s="187" t="s">
        <v>173</v>
      </c>
      <c r="M2184" s="187" t="s">
        <v>175</v>
      </c>
    </row>
    <row r="2185" spans="1:13" s="188" customFormat="1">
      <c r="A2185" s="185" t="s">
        <v>1447</v>
      </c>
      <c r="B2185" s="133" t="s">
        <v>5469</v>
      </c>
      <c r="C2185" s="185" t="s">
        <v>3023</v>
      </c>
      <c r="D2185" s="133" t="s">
        <v>5470</v>
      </c>
      <c r="E2185" s="134">
        <v>1</v>
      </c>
      <c r="F2185" s="135" t="s">
        <v>1449</v>
      </c>
      <c r="G2185" s="185" t="s">
        <v>15</v>
      </c>
      <c r="H2185" s="185" t="s">
        <v>15</v>
      </c>
      <c r="I2185" s="185" t="s">
        <v>15</v>
      </c>
      <c r="J2185" s="135" t="s">
        <v>1450</v>
      </c>
      <c r="K2185" s="186">
        <v>210300</v>
      </c>
      <c r="L2185" s="187" t="s">
        <v>173</v>
      </c>
      <c r="M2185" s="187" t="s">
        <v>175</v>
      </c>
    </row>
    <row r="2186" spans="1:13" s="188" customFormat="1">
      <c r="A2186" s="185" t="s">
        <v>1447</v>
      </c>
      <c r="B2186" s="133" t="s">
        <v>5471</v>
      </c>
      <c r="C2186" s="185" t="s">
        <v>3023</v>
      </c>
      <c r="D2186" s="133" t="s">
        <v>5472</v>
      </c>
      <c r="E2186" s="134">
        <v>1</v>
      </c>
      <c r="F2186" s="135" t="s">
        <v>1449</v>
      </c>
      <c r="G2186" s="185" t="s">
        <v>15</v>
      </c>
      <c r="H2186" s="185" t="s">
        <v>15</v>
      </c>
      <c r="I2186" s="185" t="s">
        <v>15</v>
      </c>
      <c r="J2186" s="135" t="s">
        <v>1450</v>
      </c>
      <c r="K2186" s="186">
        <v>291840</v>
      </c>
      <c r="L2186" s="187" t="s">
        <v>173</v>
      </c>
      <c r="M2186" s="187" t="s">
        <v>175</v>
      </c>
    </row>
    <row r="2187" spans="1:13" s="188" customFormat="1">
      <c r="A2187" s="185" t="s">
        <v>1447</v>
      </c>
      <c r="B2187" s="133" t="s">
        <v>5473</v>
      </c>
      <c r="C2187" s="185" t="s">
        <v>3023</v>
      </c>
      <c r="D2187" s="133" t="s">
        <v>1676</v>
      </c>
      <c r="E2187" s="134">
        <v>1</v>
      </c>
      <c r="F2187" s="135" t="s">
        <v>1449</v>
      </c>
      <c r="G2187" s="185" t="s">
        <v>15</v>
      </c>
      <c r="H2187" s="185" t="s">
        <v>15</v>
      </c>
      <c r="I2187" s="185" t="s">
        <v>15</v>
      </c>
      <c r="J2187" s="135" t="s">
        <v>1450</v>
      </c>
      <c r="K2187" s="186">
        <v>165576</v>
      </c>
      <c r="L2187" s="187" t="s">
        <v>173</v>
      </c>
      <c r="M2187" s="187" t="s">
        <v>175</v>
      </c>
    </row>
    <row r="2188" spans="1:13" s="188" customFormat="1">
      <c r="A2188" s="185" t="s">
        <v>1447</v>
      </c>
      <c r="B2188" s="133" t="s">
        <v>5474</v>
      </c>
      <c r="C2188" s="185" t="s">
        <v>3023</v>
      </c>
      <c r="D2188" s="133" t="s">
        <v>1677</v>
      </c>
      <c r="E2188" s="134">
        <v>1</v>
      </c>
      <c r="F2188" s="135" t="s">
        <v>1449</v>
      </c>
      <c r="G2188" s="185" t="s">
        <v>15</v>
      </c>
      <c r="H2188" s="185" t="s">
        <v>15</v>
      </c>
      <c r="I2188" s="185" t="s">
        <v>15</v>
      </c>
      <c r="J2188" s="135" t="s">
        <v>1450</v>
      </c>
      <c r="K2188" s="186">
        <v>191700</v>
      </c>
      <c r="L2188" s="187" t="s">
        <v>173</v>
      </c>
      <c r="M2188" s="187" t="s">
        <v>175</v>
      </c>
    </row>
    <row r="2189" spans="1:13" s="188" customFormat="1">
      <c r="A2189" s="185" t="s">
        <v>1447</v>
      </c>
      <c r="B2189" s="133" t="s">
        <v>5475</v>
      </c>
      <c r="C2189" s="185" t="s">
        <v>3023</v>
      </c>
      <c r="D2189" s="133" t="s">
        <v>1678</v>
      </c>
      <c r="E2189" s="134">
        <v>1</v>
      </c>
      <c r="F2189" s="135" t="s">
        <v>1449</v>
      </c>
      <c r="G2189" s="185" t="s">
        <v>15</v>
      </c>
      <c r="H2189" s="185" t="s">
        <v>15</v>
      </c>
      <c r="I2189" s="185" t="s">
        <v>15</v>
      </c>
      <c r="J2189" s="135" t="s">
        <v>1450</v>
      </c>
      <c r="K2189" s="186">
        <v>263088</v>
      </c>
      <c r="L2189" s="187" t="s">
        <v>173</v>
      </c>
      <c r="M2189" s="187" t="s">
        <v>175</v>
      </c>
    </row>
    <row r="2190" spans="1:13" s="188" customFormat="1">
      <c r="A2190" s="185" t="s">
        <v>1447</v>
      </c>
      <c r="B2190" s="133" t="s">
        <v>5476</v>
      </c>
      <c r="C2190" s="185" t="s">
        <v>3023</v>
      </c>
      <c r="D2190" s="133" t="s">
        <v>1679</v>
      </c>
      <c r="E2190" s="134">
        <v>1</v>
      </c>
      <c r="F2190" s="135" t="s">
        <v>1449</v>
      </c>
      <c r="G2190" s="185" t="s">
        <v>15</v>
      </c>
      <c r="H2190" s="185" t="s">
        <v>15</v>
      </c>
      <c r="I2190" s="185" t="s">
        <v>15</v>
      </c>
      <c r="J2190" s="135" t="s">
        <v>1450</v>
      </c>
      <c r="K2190" s="186">
        <v>358620</v>
      </c>
      <c r="L2190" s="187" t="s">
        <v>173</v>
      </c>
      <c r="M2190" s="187" t="s">
        <v>175</v>
      </c>
    </row>
    <row r="2191" spans="1:13" s="188" customFormat="1">
      <c r="A2191" s="185" t="s">
        <v>1447</v>
      </c>
      <c r="B2191" s="133" t="s">
        <v>5477</v>
      </c>
      <c r="C2191" s="185" t="s">
        <v>3023</v>
      </c>
      <c r="D2191" s="133" t="s">
        <v>1680</v>
      </c>
      <c r="E2191" s="134">
        <v>1</v>
      </c>
      <c r="F2191" s="135" t="s">
        <v>1449</v>
      </c>
      <c r="G2191" s="185" t="s">
        <v>15</v>
      </c>
      <c r="H2191" s="185" t="s">
        <v>15</v>
      </c>
      <c r="I2191" s="185" t="s">
        <v>15</v>
      </c>
      <c r="J2191" s="135" t="s">
        <v>1450</v>
      </c>
      <c r="K2191" s="186">
        <v>122568</v>
      </c>
      <c r="L2191" s="187" t="s">
        <v>173</v>
      </c>
      <c r="M2191" s="187" t="s">
        <v>175</v>
      </c>
    </row>
    <row r="2192" spans="1:13" s="188" customFormat="1">
      <c r="A2192" s="185" t="s">
        <v>1447</v>
      </c>
      <c r="B2192" s="133" t="s">
        <v>5478</v>
      </c>
      <c r="C2192" s="185" t="s">
        <v>3023</v>
      </c>
      <c r="D2192" s="133" t="s">
        <v>1681</v>
      </c>
      <c r="E2192" s="134">
        <v>1</v>
      </c>
      <c r="F2192" s="135" t="s">
        <v>1449</v>
      </c>
      <c r="G2192" s="185" t="s">
        <v>15</v>
      </c>
      <c r="H2192" s="185" t="s">
        <v>15</v>
      </c>
      <c r="I2192" s="185" t="s">
        <v>15</v>
      </c>
      <c r="J2192" s="135" t="s">
        <v>1450</v>
      </c>
      <c r="K2192" s="186">
        <v>139104</v>
      </c>
      <c r="L2192" s="187" t="s">
        <v>173</v>
      </c>
      <c r="M2192" s="187" t="s">
        <v>175</v>
      </c>
    </row>
    <row r="2193" spans="1:13" s="188" customFormat="1">
      <c r="A2193" s="185" t="s">
        <v>1447</v>
      </c>
      <c r="B2193" s="133" t="s">
        <v>5479</v>
      </c>
      <c r="C2193" s="185" t="s">
        <v>3023</v>
      </c>
      <c r="D2193" s="133" t="s">
        <v>1682</v>
      </c>
      <c r="E2193" s="134">
        <v>1</v>
      </c>
      <c r="F2193" s="135" t="s">
        <v>1449</v>
      </c>
      <c r="G2193" s="185" t="s">
        <v>15</v>
      </c>
      <c r="H2193" s="185" t="s">
        <v>15</v>
      </c>
      <c r="I2193" s="185" t="s">
        <v>15</v>
      </c>
      <c r="J2193" s="135" t="s">
        <v>1450</v>
      </c>
      <c r="K2193" s="186">
        <v>191304</v>
      </c>
      <c r="L2193" s="187" t="s">
        <v>173</v>
      </c>
      <c r="M2193" s="187" t="s">
        <v>175</v>
      </c>
    </row>
    <row r="2194" spans="1:13" s="188" customFormat="1">
      <c r="A2194" s="185" t="s">
        <v>1447</v>
      </c>
      <c r="B2194" s="133" t="s">
        <v>5480</v>
      </c>
      <c r="C2194" s="185" t="s">
        <v>3023</v>
      </c>
      <c r="D2194" s="133" t="s">
        <v>1683</v>
      </c>
      <c r="E2194" s="134">
        <v>1</v>
      </c>
      <c r="F2194" s="135" t="s">
        <v>1449</v>
      </c>
      <c r="G2194" s="185" t="s">
        <v>15</v>
      </c>
      <c r="H2194" s="185" t="s">
        <v>15</v>
      </c>
      <c r="I2194" s="185" t="s">
        <v>15</v>
      </c>
      <c r="J2194" s="135" t="s">
        <v>1450</v>
      </c>
      <c r="K2194" s="186">
        <v>256656</v>
      </c>
      <c r="L2194" s="187" t="s">
        <v>173</v>
      </c>
      <c r="M2194" s="187" t="s">
        <v>175</v>
      </c>
    </row>
    <row r="2195" spans="1:13" s="188" customFormat="1">
      <c r="A2195" s="185" t="s">
        <v>1447</v>
      </c>
      <c r="B2195" s="133" t="s">
        <v>5481</v>
      </c>
      <c r="C2195" s="185" t="s">
        <v>3023</v>
      </c>
      <c r="D2195" s="133" t="s">
        <v>5482</v>
      </c>
      <c r="E2195" s="134">
        <v>1</v>
      </c>
      <c r="F2195" s="135" t="s">
        <v>1449</v>
      </c>
      <c r="G2195" s="185" t="s">
        <v>15</v>
      </c>
      <c r="H2195" s="185" t="s">
        <v>15</v>
      </c>
      <c r="I2195" s="185" t="s">
        <v>15</v>
      </c>
      <c r="J2195" s="135" t="s">
        <v>1450</v>
      </c>
      <c r="K2195" s="186">
        <v>16188</v>
      </c>
      <c r="L2195" s="187" t="s">
        <v>173</v>
      </c>
      <c r="M2195" s="187" t="s">
        <v>175</v>
      </c>
    </row>
    <row r="2196" spans="1:13" s="188" customFormat="1">
      <c r="A2196" s="185" t="s">
        <v>1447</v>
      </c>
      <c r="B2196" s="133" t="s">
        <v>5483</v>
      </c>
      <c r="C2196" s="185" t="s">
        <v>3023</v>
      </c>
      <c r="D2196" s="133" t="s">
        <v>5482</v>
      </c>
      <c r="E2196" s="134">
        <v>1</v>
      </c>
      <c r="F2196" s="135" t="s">
        <v>1449</v>
      </c>
      <c r="G2196" s="185" t="s">
        <v>15</v>
      </c>
      <c r="H2196" s="185" t="s">
        <v>15</v>
      </c>
      <c r="I2196" s="185" t="s">
        <v>15</v>
      </c>
      <c r="J2196" s="135" t="s">
        <v>1450</v>
      </c>
      <c r="K2196" s="186">
        <v>14940</v>
      </c>
      <c r="L2196" s="187" t="s">
        <v>173</v>
      </c>
      <c r="M2196" s="187" t="s">
        <v>175</v>
      </c>
    </row>
    <row r="2197" spans="1:13" s="188" customFormat="1">
      <c r="A2197" s="185" t="s">
        <v>1447</v>
      </c>
      <c r="B2197" s="133" t="s">
        <v>5484</v>
      </c>
      <c r="C2197" s="185" t="s">
        <v>3023</v>
      </c>
      <c r="D2197" s="133" t="s">
        <v>5482</v>
      </c>
      <c r="E2197" s="134">
        <v>1</v>
      </c>
      <c r="F2197" s="135" t="s">
        <v>1449</v>
      </c>
      <c r="G2197" s="185" t="s">
        <v>15</v>
      </c>
      <c r="H2197" s="185" t="s">
        <v>15</v>
      </c>
      <c r="I2197" s="185" t="s">
        <v>15</v>
      </c>
      <c r="J2197" s="135" t="s">
        <v>1450</v>
      </c>
      <c r="K2197" s="186">
        <v>13692</v>
      </c>
      <c r="L2197" s="187" t="s">
        <v>173</v>
      </c>
      <c r="M2197" s="187" t="s">
        <v>175</v>
      </c>
    </row>
    <row r="2198" spans="1:13" s="188" customFormat="1">
      <c r="A2198" s="185" t="s">
        <v>1447</v>
      </c>
      <c r="B2198" s="133" t="s">
        <v>5485</v>
      </c>
      <c r="C2198" s="185" t="s">
        <v>3023</v>
      </c>
      <c r="D2198" s="133" t="s">
        <v>5486</v>
      </c>
      <c r="E2198" s="134">
        <v>1</v>
      </c>
      <c r="F2198" s="135" t="s">
        <v>1449</v>
      </c>
      <c r="G2198" s="185" t="s">
        <v>15</v>
      </c>
      <c r="H2198" s="185" t="s">
        <v>15</v>
      </c>
      <c r="I2198" s="185" t="s">
        <v>15</v>
      </c>
      <c r="J2198" s="135" t="s">
        <v>1450</v>
      </c>
      <c r="K2198" s="186">
        <v>7560</v>
      </c>
      <c r="L2198" s="187" t="s">
        <v>173</v>
      </c>
      <c r="M2198" s="187" t="s">
        <v>175</v>
      </c>
    </row>
    <row r="2199" spans="1:13" s="188" customFormat="1">
      <c r="A2199" s="185" t="s">
        <v>1447</v>
      </c>
      <c r="B2199" s="133" t="s">
        <v>5487</v>
      </c>
      <c r="C2199" s="185" t="s">
        <v>3023</v>
      </c>
      <c r="D2199" s="133" t="s">
        <v>5486</v>
      </c>
      <c r="E2199" s="134">
        <v>1</v>
      </c>
      <c r="F2199" s="135" t="s">
        <v>1449</v>
      </c>
      <c r="G2199" s="185" t="s">
        <v>15</v>
      </c>
      <c r="H2199" s="185" t="s">
        <v>15</v>
      </c>
      <c r="I2199" s="185" t="s">
        <v>15</v>
      </c>
      <c r="J2199" s="135" t="s">
        <v>1450</v>
      </c>
      <c r="K2199" s="186">
        <v>7020</v>
      </c>
      <c r="L2199" s="187" t="s">
        <v>173</v>
      </c>
      <c r="M2199" s="187" t="s">
        <v>175</v>
      </c>
    </row>
    <row r="2200" spans="1:13" s="188" customFormat="1">
      <c r="A2200" s="185" t="s">
        <v>1447</v>
      </c>
      <c r="B2200" s="133" t="s">
        <v>5488</v>
      </c>
      <c r="C2200" s="185" t="s">
        <v>3023</v>
      </c>
      <c r="D2200" s="133" t="s">
        <v>5486</v>
      </c>
      <c r="E2200" s="134">
        <v>1</v>
      </c>
      <c r="F2200" s="135" t="s">
        <v>1449</v>
      </c>
      <c r="G2200" s="185" t="s">
        <v>15</v>
      </c>
      <c r="H2200" s="185" t="s">
        <v>15</v>
      </c>
      <c r="I2200" s="185" t="s">
        <v>15</v>
      </c>
      <c r="J2200" s="135" t="s">
        <v>1450</v>
      </c>
      <c r="K2200" s="186">
        <v>6720</v>
      </c>
      <c r="L2200" s="187" t="s">
        <v>173</v>
      </c>
      <c r="M2200" s="187" t="s">
        <v>175</v>
      </c>
    </row>
    <row r="2201" spans="1:13" s="188" customFormat="1">
      <c r="A2201" s="185" t="s">
        <v>1447</v>
      </c>
      <c r="B2201" s="133" t="s">
        <v>5489</v>
      </c>
      <c r="C2201" s="185" t="s">
        <v>3023</v>
      </c>
      <c r="D2201" s="133" t="s">
        <v>5486</v>
      </c>
      <c r="E2201" s="134">
        <v>1</v>
      </c>
      <c r="F2201" s="135" t="s">
        <v>1449</v>
      </c>
      <c r="G2201" s="185" t="s">
        <v>15</v>
      </c>
      <c r="H2201" s="185" t="s">
        <v>15</v>
      </c>
      <c r="I2201" s="185" t="s">
        <v>15</v>
      </c>
      <c r="J2201" s="135" t="s">
        <v>1450</v>
      </c>
      <c r="K2201" s="186">
        <v>6480</v>
      </c>
      <c r="L2201" s="187" t="s">
        <v>173</v>
      </c>
      <c r="M2201" s="187" t="s">
        <v>175</v>
      </c>
    </row>
    <row r="2202" spans="1:13" s="188" customFormat="1">
      <c r="A2202" s="185" t="s">
        <v>1447</v>
      </c>
      <c r="B2202" s="133" t="s">
        <v>5490</v>
      </c>
      <c r="C2202" s="185" t="s">
        <v>3023</v>
      </c>
      <c r="D2202" s="133" t="s">
        <v>5486</v>
      </c>
      <c r="E2202" s="134">
        <v>1</v>
      </c>
      <c r="F2202" s="135" t="s">
        <v>1449</v>
      </c>
      <c r="G2202" s="185" t="s">
        <v>15</v>
      </c>
      <c r="H2202" s="185" t="s">
        <v>15</v>
      </c>
      <c r="I2202" s="185" t="s">
        <v>15</v>
      </c>
      <c r="J2202" s="135" t="s">
        <v>1450</v>
      </c>
      <c r="K2202" s="186">
        <v>5640</v>
      </c>
      <c r="L2202" s="187" t="s">
        <v>173</v>
      </c>
      <c r="M2202" s="187" t="s">
        <v>175</v>
      </c>
    </row>
    <row r="2203" spans="1:13" s="188" customFormat="1">
      <c r="A2203" s="185" t="s">
        <v>1447</v>
      </c>
      <c r="B2203" s="133" t="s">
        <v>5491</v>
      </c>
      <c r="C2203" s="185" t="s">
        <v>3023</v>
      </c>
      <c r="D2203" s="133" t="s">
        <v>5492</v>
      </c>
      <c r="E2203" s="134">
        <v>1</v>
      </c>
      <c r="F2203" s="135" t="s">
        <v>1449</v>
      </c>
      <c r="G2203" s="185" t="s">
        <v>15</v>
      </c>
      <c r="H2203" s="185" t="s">
        <v>15</v>
      </c>
      <c r="I2203" s="185" t="s">
        <v>15</v>
      </c>
      <c r="J2203" s="135" t="s">
        <v>1450</v>
      </c>
      <c r="K2203" s="186">
        <v>2496</v>
      </c>
      <c r="L2203" s="187" t="s">
        <v>173</v>
      </c>
      <c r="M2203" s="187" t="s">
        <v>175</v>
      </c>
    </row>
    <row r="2204" spans="1:13" s="188" customFormat="1">
      <c r="A2204" s="185" t="s">
        <v>1447</v>
      </c>
      <c r="B2204" s="133" t="s">
        <v>5493</v>
      </c>
      <c r="C2204" s="185" t="s">
        <v>3023</v>
      </c>
      <c r="D2204" s="133" t="s">
        <v>5492</v>
      </c>
      <c r="E2204" s="134">
        <v>1</v>
      </c>
      <c r="F2204" s="135" t="s">
        <v>1449</v>
      </c>
      <c r="G2204" s="185" t="s">
        <v>15</v>
      </c>
      <c r="H2204" s="185" t="s">
        <v>15</v>
      </c>
      <c r="I2204" s="185" t="s">
        <v>15</v>
      </c>
      <c r="J2204" s="135" t="s">
        <v>1450</v>
      </c>
      <c r="K2204" s="186">
        <v>2352</v>
      </c>
      <c r="L2204" s="187" t="s">
        <v>173</v>
      </c>
      <c r="M2204" s="187" t="s">
        <v>175</v>
      </c>
    </row>
    <row r="2205" spans="1:13" s="188" customFormat="1">
      <c r="A2205" s="185" t="s">
        <v>1447</v>
      </c>
      <c r="B2205" s="133" t="s">
        <v>5494</v>
      </c>
      <c r="C2205" s="185" t="s">
        <v>3023</v>
      </c>
      <c r="D2205" s="133" t="s">
        <v>5492</v>
      </c>
      <c r="E2205" s="134">
        <v>1</v>
      </c>
      <c r="F2205" s="135" t="s">
        <v>1449</v>
      </c>
      <c r="G2205" s="185" t="s">
        <v>15</v>
      </c>
      <c r="H2205" s="185" t="s">
        <v>15</v>
      </c>
      <c r="I2205" s="185" t="s">
        <v>15</v>
      </c>
      <c r="J2205" s="135" t="s">
        <v>1450</v>
      </c>
      <c r="K2205" s="186">
        <v>2304</v>
      </c>
      <c r="L2205" s="187" t="s">
        <v>173</v>
      </c>
      <c r="M2205" s="187" t="s">
        <v>175</v>
      </c>
    </row>
    <row r="2206" spans="1:13" s="188" customFormat="1">
      <c r="A2206" s="185" t="s">
        <v>1447</v>
      </c>
      <c r="B2206" s="133" t="s">
        <v>5495</v>
      </c>
      <c r="C2206" s="185" t="s">
        <v>3023</v>
      </c>
      <c r="D2206" s="133" t="s">
        <v>5492</v>
      </c>
      <c r="E2206" s="134">
        <v>1</v>
      </c>
      <c r="F2206" s="135" t="s">
        <v>1449</v>
      </c>
      <c r="G2206" s="185" t="s">
        <v>15</v>
      </c>
      <c r="H2206" s="185" t="s">
        <v>15</v>
      </c>
      <c r="I2206" s="185" t="s">
        <v>15</v>
      </c>
      <c r="J2206" s="135" t="s">
        <v>1450</v>
      </c>
      <c r="K2206" s="186">
        <v>2256</v>
      </c>
      <c r="L2206" s="187" t="s">
        <v>173</v>
      </c>
      <c r="M2206" s="187" t="s">
        <v>175</v>
      </c>
    </row>
    <row r="2207" spans="1:13" s="188" customFormat="1">
      <c r="A2207" s="185" t="s">
        <v>1447</v>
      </c>
      <c r="B2207" s="133" t="s">
        <v>5496</v>
      </c>
      <c r="C2207" s="185" t="s">
        <v>3023</v>
      </c>
      <c r="D2207" s="133" t="s">
        <v>5492</v>
      </c>
      <c r="E2207" s="134">
        <v>1</v>
      </c>
      <c r="F2207" s="135" t="s">
        <v>1449</v>
      </c>
      <c r="G2207" s="185" t="s">
        <v>15</v>
      </c>
      <c r="H2207" s="185" t="s">
        <v>15</v>
      </c>
      <c r="I2207" s="185" t="s">
        <v>15</v>
      </c>
      <c r="J2207" s="135" t="s">
        <v>1450</v>
      </c>
      <c r="K2207" s="186">
        <v>2016</v>
      </c>
      <c r="L2207" s="187" t="s">
        <v>173</v>
      </c>
      <c r="M2207" s="187" t="s">
        <v>175</v>
      </c>
    </row>
    <row r="2208" spans="1:13" s="188" customFormat="1">
      <c r="A2208" s="185" t="s">
        <v>1447</v>
      </c>
      <c r="B2208" s="133" t="s">
        <v>5497</v>
      </c>
      <c r="C2208" s="185" t="s">
        <v>3023</v>
      </c>
      <c r="D2208" s="133" t="s">
        <v>5498</v>
      </c>
      <c r="E2208" s="134">
        <v>1</v>
      </c>
      <c r="F2208" s="135" t="s">
        <v>1449</v>
      </c>
      <c r="G2208" s="185" t="s">
        <v>15</v>
      </c>
      <c r="H2208" s="185" t="s">
        <v>15</v>
      </c>
      <c r="I2208" s="185" t="s">
        <v>15</v>
      </c>
      <c r="J2208" s="135" t="s">
        <v>1450</v>
      </c>
      <c r="K2208" s="186">
        <v>60000</v>
      </c>
      <c r="L2208" s="187" t="s">
        <v>173</v>
      </c>
      <c r="M2208" s="187" t="s">
        <v>175</v>
      </c>
    </row>
    <row r="2209" spans="1:13" s="188" customFormat="1">
      <c r="A2209" s="185" t="s">
        <v>1447</v>
      </c>
      <c r="B2209" s="133" t="s">
        <v>5499</v>
      </c>
      <c r="C2209" s="185" t="s">
        <v>3023</v>
      </c>
      <c r="D2209" s="133" t="s">
        <v>5498</v>
      </c>
      <c r="E2209" s="134">
        <v>1</v>
      </c>
      <c r="F2209" s="135" t="s">
        <v>1449</v>
      </c>
      <c r="G2209" s="185" t="s">
        <v>15</v>
      </c>
      <c r="H2209" s="185" t="s">
        <v>15</v>
      </c>
      <c r="I2209" s="185" t="s">
        <v>15</v>
      </c>
      <c r="J2209" s="135" t="s">
        <v>1450</v>
      </c>
      <c r="K2209" s="186">
        <v>49920</v>
      </c>
      <c r="L2209" s="187" t="s">
        <v>173</v>
      </c>
      <c r="M2209" s="187" t="s">
        <v>175</v>
      </c>
    </row>
    <row r="2210" spans="1:13" s="188" customFormat="1">
      <c r="A2210" s="185" t="s">
        <v>1447</v>
      </c>
      <c r="B2210" s="133" t="s">
        <v>5500</v>
      </c>
      <c r="C2210" s="185" t="s">
        <v>3023</v>
      </c>
      <c r="D2210" s="133" t="s">
        <v>5498</v>
      </c>
      <c r="E2210" s="134">
        <v>1</v>
      </c>
      <c r="F2210" s="135" t="s">
        <v>1449</v>
      </c>
      <c r="G2210" s="185" t="s">
        <v>15</v>
      </c>
      <c r="H2210" s="185" t="s">
        <v>15</v>
      </c>
      <c r="I2210" s="185" t="s">
        <v>15</v>
      </c>
      <c r="J2210" s="135" t="s">
        <v>1450</v>
      </c>
      <c r="K2210" s="186">
        <v>34800</v>
      </c>
      <c r="L2210" s="187" t="s">
        <v>173</v>
      </c>
      <c r="M2210" s="187" t="s">
        <v>175</v>
      </c>
    </row>
    <row r="2211" spans="1:13" s="188" customFormat="1">
      <c r="A2211" s="185" t="s">
        <v>1447</v>
      </c>
      <c r="B2211" s="133" t="s">
        <v>5501</v>
      </c>
      <c r="C2211" s="185" t="s">
        <v>3023</v>
      </c>
      <c r="D2211" s="133" t="s">
        <v>5498</v>
      </c>
      <c r="E2211" s="134">
        <v>1</v>
      </c>
      <c r="F2211" s="135" t="s">
        <v>1449</v>
      </c>
      <c r="G2211" s="185" t="s">
        <v>15</v>
      </c>
      <c r="H2211" s="185" t="s">
        <v>15</v>
      </c>
      <c r="I2211" s="185" t="s">
        <v>15</v>
      </c>
      <c r="J2211" s="135" t="s">
        <v>1450</v>
      </c>
      <c r="K2211" s="186">
        <v>24960</v>
      </c>
      <c r="L2211" s="187" t="s">
        <v>173</v>
      </c>
      <c r="M2211" s="187" t="s">
        <v>175</v>
      </c>
    </row>
    <row r="2212" spans="1:13" s="188" customFormat="1">
      <c r="A2212" s="185" t="s">
        <v>1447</v>
      </c>
      <c r="B2212" s="133" t="s">
        <v>5502</v>
      </c>
      <c r="C2212" s="185" t="s">
        <v>3023</v>
      </c>
      <c r="D2212" s="133" t="s">
        <v>5498</v>
      </c>
      <c r="E2212" s="134">
        <v>1</v>
      </c>
      <c r="F2212" s="135" t="s">
        <v>1449</v>
      </c>
      <c r="G2212" s="185" t="s">
        <v>15</v>
      </c>
      <c r="H2212" s="185" t="s">
        <v>15</v>
      </c>
      <c r="I2212" s="185" t="s">
        <v>15</v>
      </c>
      <c r="J2212" s="135" t="s">
        <v>1450</v>
      </c>
      <c r="K2212" s="186">
        <v>20040</v>
      </c>
      <c r="L2212" s="187" t="s">
        <v>173</v>
      </c>
      <c r="M2212" s="187" t="s">
        <v>175</v>
      </c>
    </row>
    <row r="2213" spans="1:13" s="188" customFormat="1">
      <c r="A2213" s="185" t="s">
        <v>1447</v>
      </c>
      <c r="B2213" s="133" t="s">
        <v>5503</v>
      </c>
      <c r="C2213" s="185" t="s">
        <v>3023</v>
      </c>
      <c r="D2213" s="133" t="s">
        <v>5498</v>
      </c>
      <c r="E2213" s="134">
        <v>1</v>
      </c>
      <c r="F2213" s="135" t="s">
        <v>1449</v>
      </c>
      <c r="G2213" s="185" t="s">
        <v>15</v>
      </c>
      <c r="H2213" s="185" t="s">
        <v>15</v>
      </c>
      <c r="I2213" s="185" t="s">
        <v>15</v>
      </c>
      <c r="J2213" s="135" t="s">
        <v>1450</v>
      </c>
      <c r="K2213" s="186">
        <v>15000</v>
      </c>
      <c r="L2213" s="187" t="s">
        <v>173</v>
      </c>
      <c r="M2213" s="187" t="s">
        <v>175</v>
      </c>
    </row>
    <row r="2214" spans="1:13" s="188" customFormat="1">
      <c r="A2214" s="185" t="s">
        <v>1447</v>
      </c>
      <c r="B2214" s="133" t="s">
        <v>5504</v>
      </c>
      <c r="C2214" s="185" t="s">
        <v>3023</v>
      </c>
      <c r="D2214" s="133" t="s">
        <v>5498</v>
      </c>
      <c r="E2214" s="134">
        <v>1</v>
      </c>
      <c r="F2214" s="135" t="s">
        <v>1449</v>
      </c>
      <c r="G2214" s="185" t="s">
        <v>15</v>
      </c>
      <c r="H2214" s="185" t="s">
        <v>15</v>
      </c>
      <c r="I2214" s="185" t="s">
        <v>15</v>
      </c>
      <c r="J2214" s="135" t="s">
        <v>1450</v>
      </c>
      <c r="K2214" s="186">
        <v>10020</v>
      </c>
      <c r="L2214" s="187" t="s">
        <v>173</v>
      </c>
      <c r="M2214" s="187" t="s">
        <v>175</v>
      </c>
    </row>
    <row r="2215" spans="1:13" s="188" customFormat="1">
      <c r="A2215" s="185" t="s">
        <v>1447</v>
      </c>
      <c r="B2215" s="133" t="s">
        <v>5505</v>
      </c>
      <c r="C2215" s="185" t="s">
        <v>3023</v>
      </c>
      <c r="D2215" s="133" t="s">
        <v>5506</v>
      </c>
      <c r="E2215" s="134">
        <v>1</v>
      </c>
      <c r="F2215" s="135" t="s">
        <v>1449</v>
      </c>
      <c r="G2215" s="185" t="s">
        <v>15</v>
      </c>
      <c r="H2215" s="185" t="s">
        <v>15</v>
      </c>
      <c r="I2215" s="185" t="s">
        <v>15</v>
      </c>
      <c r="J2215" s="135" t="s">
        <v>1450</v>
      </c>
      <c r="K2215" s="186">
        <v>39000</v>
      </c>
      <c r="L2215" s="187" t="s">
        <v>173</v>
      </c>
      <c r="M2215" s="187" t="s">
        <v>175</v>
      </c>
    </row>
    <row r="2216" spans="1:13" s="188" customFormat="1">
      <c r="A2216" s="185" t="s">
        <v>1447</v>
      </c>
      <c r="B2216" s="133" t="s">
        <v>5507</v>
      </c>
      <c r="C2216" s="185" t="s">
        <v>3023</v>
      </c>
      <c r="D2216" s="133" t="s">
        <v>5506</v>
      </c>
      <c r="E2216" s="134">
        <v>1</v>
      </c>
      <c r="F2216" s="135" t="s">
        <v>1449</v>
      </c>
      <c r="G2216" s="185" t="s">
        <v>15</v>
      </c>
      <c r="H2216" s="185" t="s">
        <v>15</v>
      </c>
      <c r="I2216" s="185" t="s">
        <v>15</v>
      </c>
      <c r="J2216" s="135" t="s">
        <v>1450</v>
      </c>
      <c r="K2216" s="186">
        <v>32400</v>
      </c>
      <c r="L2216" s="187" t="s">
        <v>173</v>
      </c>
      <c r="M2216" s="187" t="s">
        <v>175</v>
      </c>
    </row>
    <row r="2217" spans="1:13" s="188" customFormat="1">
      <c r="A2217" s="185" t="s">
        <v>1447</v>
      </c>
      <c r="B2217" s="133" t="s">
        <v>5508</v>
      </c>
      <c r="C2217" s="185" t="s">
        <v>3023</v>
      </c>
      <c r="D2217" s="133" t="s">
        <v>5506</v>
      </c>
      <c r="E2217" s="134">
        <v>1</v>
      </c>
      <c r="F2217" s="135" t="s">
        <v>1449</v>
      </c>
      <c r="G2217" s="185" t="s">
        <v>15</v>
      </c>
      <c r="H2217" s="185" t="s">
        <v>15</v>
      </c>
      <c r="I2217" s="185" t="s">
        <v>15</v>
      </c>
      <c r="J2217" s="135" t="s">
        <v>1450</v>
      </c>
      <c r="K2217" s="186">
        <v>22800</v>
      </c>
      <c r="L2217" s="187" t="s">
        <v>173</v>
      </c>
      <c r="M2217" s="187" t="s">
        <v>175</v>
      </c>
    </row>
    <row r="2218" spans="1:13" s="188" customFormat="1">
      <c r="A2218" s="185" t="s">
        <v>1447</v>
      </c>
      <c r="B2218" s="133" t="s">
        <v>5509</v>
      </c>
      <c r="C2218" s="185" t="s">
        <v>3023</v>
      </c>
      <c r="D2218" s="133" t="s">
        <v>5506</v>
      </c>
      <c r="E2218" s="134">
        <v>1</v>
      </c>
      <c r="F2218" s="135" t="s">
        <v>1449</v>
      </c>
      <c r="G2218" s="185" t="s">
        <v>15</v>
      </c>
      <c r="H2218" s="185" t="s">
        <v>15</v>
      </c>
      <c r="I2218" s="185" t="s">
        <v>15</v>
      </c>
      <c r="J2218" s="135" t="s">
        <v>1450</v>
      </c>
      <c r="K2218" s="186">
        <v>16200</v>
      </c>
      <c r="L2218" s="187" t="s">
        <v>173</v>
      </c>
      <c r="M2218" s="187" t="s">
        <v>175</v>
      </c>
    </row>
    <row r="2219" spans="1:13" s="188" customFormat="1">
      <c r="A2219" s="185" t="s">
        <v>1447</v>
      </c>
      <c r="B2219" s="133" t="s">
        <v>5510</v>
      </c>
      <c r="C2219" s="185" t="s">
        <v>3023</v>
      </c>
      <c r="D2219" s="133" t="s">
        <v>5506</v>
      </c>
      <c r="E2219" s="134">
        <v>1</v>
      </c>
      <c r="F2219" s="135" t="s">
        <v>1449</v>
      </c>
      <c r="G2219" s="185" t="s">
        <v>15</v>
      </c>
      <c r="H2219" s="185" t="s">
        <v>15</v>
      </c>
      <c r="I2219" s="185" t="s">
        <v>15</v>
      </c>
      <c r="J2219" s="135" t="s">
        <v>1450</v>
      </c>
      <c r="K2219" s="186">
        <v>13200</v>
      </c>
      <c r="L2219" s="187" t="s">
        <v>173</v>
      </c>
      <c r="M2219" s="187" t="s">
        <v>175</v>
      </c>
    </row>
    <row r="2220" spans="1:13" s="188" customFormat="1">
      <c r="A2220" s="185" t="s">
        <v>1447</v>
      </c>
      <c r="B2220" s="133" t="s">
        <v>5511</v>
      </c>
      <c r="C2220" s="185" t="s">
        <v>3023</v>
      </c>
      <c r="D2220" s="133" t="s">
        <v>5506</v>
      </c>
      <c r="E2220" s="134">
        <v>1</v>
      </c>
      <c r="F2220" s="135" t="s">
        <v>1449</v>
      </c>
      <c r="G2220" s="185" t="s">
        <v>15</v>
      </c>
      <c r="H2220" s="185" t="s">
        <v>15</v>
      </c>
      <c r="I2220" s="185" t="s">
        <v>15</v>
      </c>
      <c r="J2220" s="135" t="s">
        <v>1450</v>
      </c>
      <c r="K2220" s="186">
        <v>9720</v>
      </c>
      <c r="L2220" s="187" t="s">
        <v>173</v>
      </c>
      <c r="M2220" s="187" t="s">
        <v>175</v>
      </c>
    </row>
    <row r="2221" spans="1:13" s="188" customFormat="1">
      <c r="A2221" s="185" t="s">
        <v>1447</v>
      </c>
      <c r="B2221" s="133" t="s">
        <v>5512</v>
      </c>
      <c r="C2221" s="185" t="s">
        <v>3023</v>
      </c>
      <c r="D2221" s="133" t="s">
        <v>5506</v>
      </c>
      <c r="E2221" s="134">
        <v>1</v>
      </c>
      <c r="F2221" s="135" t="s">
        <v>1449</v>
      </c>
      <c r="G2221" s="185" t="s">
        <v>15</v>
      </c>
      <c r="H2221" s="185" t="s">
        <v>15</v>
      </c>
      <c r="I2221" s="185" t="s">
        <v>15</v>
      </c>
      <c r="J2221" s="135" t="s">
        <v>1450</v>
      </c>
      <c r="K2221" s="186">
        <v>6480</v>
      </c>
      <c r="L2221" s="187" t="s">
        <v>173</v>
      </c>
      <c r="M2221" s="187" t="s">
        <v>175</v>
      </c>
    </row>
    <row r="2222" spans="1:13" s="188" customFormat="1">
      <c r="A2222" s="185" t="s">
        <v>1447</v>
      </c>
      <c r="B2222" s="133" t="s">
        <v>5513</v>
      </c>
      <c r="C2222" s="185" t="s">
        <v>3023</v>
      </c>
      <c r="D2222" s="133" t="s">
        <v>5514</v>
      </c>
      <c r="E2222" s="134">
        <v>1</v>
      </c>
      <c r="F2222" s="135" t="s">
        <v>1449</v>
      </c>
      <c r="G2222" s="185" t="s">
        <v>15</v>
      </c>
      <c r="H2222" s="185" t="s">
        <v>15</v>
      </c>
      <c r="I2222" s="185" t="s">
        <v>15</v>
      </c>
      <c r="J2222" s="135" t="s">
        <v>1450</v>
      </c>
      <c r="K2222" s="186">
        <v>6240</v>
      </c>
      <c r="L2222" s="187" t="s">
        <v>173</v>
      </c>
      <c r="M2222" s="187" t="s">
        <v>175</v>
      </c>
    </row>
    <row r="2223" spans="1:13" s="188" customFormat="1">
      <c r="A2223" s="185" t="s">
        <v>1447</v>
      </c>
      <c r="B2223" s="133" t="s">
        <v>5515</v>
      </c>
      <c r="C2223" s="185" t="s">
        <v>3023</v>
      </c>
      <c r="D2223" s="133" t="s">
        <v>5514</v>
      </c>
      <c r="E2223" s="134">
        <v>1</v>
      </c>
      <c r="F2223" s="135" t="s">
        <v>1449</v>
      </c>
      <c r="G2223" s="185" t="s">
        <v>15</v>
      </c>
      <c r="H2223" s="185" t="s">
        <v>15</v>
      </c>
      <c r="I2223" s="185" t="s">
        <v>15</v>
      </c>
      <c r="J2223" s="135" t="s">
        <v>1450</v>
      </c>
      <c r="K2223" s="186">
        <v>5040</v>
      </c>
      <c r="L2223" s="187" t="s">
        <v>173</v>
      </c>
      <c r="M2223" s="187" t="s">
        <v>175</v>
      </c>
    </row>
    <row r="2224" spans="1:13" s="188" customFormat="1">
      <c r="A2224" s="185" t="s">
        <v>1447</v>
      </c>
      <c r="B2224" s="133" t="s">
        <v>5516</v>
      </c>
      <c r="C2224" s="185" t="s">
        <v>3023</v>
      </c>
      <c r="D2224" s="133" t="s">
        <v>5514</v>
      </c>
      <c r="E2224" s="134">
        <v>1</v>
      </c>
      <c r="F2224" s="135" t="s">
        <v>1449</v>
      </c>
      <c r="G2224" s="185" t="s">
        <v>15</v>
      </c>
      <c r="H2224" s="185" t="s">
        <v>15</v>
      </c>
      <c r="I2224" s="185" t="s">
        <v>15</v>
      </c>
      <c r="J2224" s="135" t="s">
        <v>1450</v>
      </c>
      <c r="K2224" s="186">
        <v>3720</v>
      </c>
      <c r="L2224" s="187" t="s">
        <v>173</v>
      </c>
      <c r="M2224" s="187" t="s">
        <v>175</v>
      </c>
    </row>
    <row r="2225" spans="1:13" s="188" customFormat="1">
      <c r="A2225" s="185" t="s">
        <v>1447</v>
      </c>
      <c r="B2225" s="133" t="s">
        <v>5517</v>
      </c>
      <c r="C2225" s="185" t="s">
        <v>3023</v>
      </c>
      <c r="D2225" s="133" t="s">
        <v>5514</v>
      </c>
      <c r="E2225" s="134">
        <v>1</v>
      </c>
      <c r="F2225" s="135" t="s">
        <v>1449</v>
      </c>
      <c r="G2225" s="185" t="s">
        <v>15</v>
      </c>
      <c r="H2225" s="185" t="s">
        <v>15</v>
      </c>
      <c r="I2225" s="185" t="s">
        <v>15</v>
      </c>
      <c r="J2225" s="135" t="s">
        <v>1450</v>
      </c>
      <c r="K2225" s="186">
        <v>2520</v>
      </c>
      <c r="L2225" s="187" t="s">
        <v>173</v>
      </c>
      <c r="M2225" s="187" t="s">
        <v>175</v>
      </c>
    </row>
    <row r="2226" spans="1:13" s="188" customFormat="1">
      <c r="A2226" s="185" t="s">
        <v>1447</v>
      </c>
      <c r="B2226" s="133" t="s">
        <v>5518</v>
      </c>
      <c r="C2226" s="185" t="s">
        <v>3023</v>
      </c>
      <c r="D2226" s="133" t="s">
        <v>5514</v>
      </c>
      <c r="E2226" s="134">
        <v>1</v>
      </c>
      <c r="F2226" s="135" t="s">
        <v>1449</v>
      </c>
      <c r="G2226" s="185" t="s">
        <v>15</v>
      </c>
      <c r="H2226" s="185" t="s">
        <v>15</v>
      </c>
      <c r="I2226" s="185" t="s">
        <v>15</v>
      </c>
      <c r="J2226" s="135" t="s">
        <v>1450</v>
      </c>
      <c r="K2226" s="186">
        <v>1260</v>
      </c>
      <c r="L2226" s="187" t="s">
        <v>173</v>
      </c>
      <c r="M2226" s="187" t="s">
        <v>175</v>
      </c>
    </row>
    <row r="2227" spans="1:13" s="188" customFormat="1">
      <c r="A2227" s="185" t="s">
        <v>1447</v>
      </c>
      <c r="B2227" s="133" t="s">
        <v>5519</v>
      </c>
      <c r="C2227" s="185" t="s">
        <v>3023</v>
      </c>
      <c r="D2227" s="133" t="s">
        <v>5520</v>
      </c>
      <c r="E2227" s="134">
        <v>1</v>
      </c>
      <c r="F2227" s="135" t="s">
        <v>1449</v>
      </c>
      <c r="G2227" s="185" t="s">
        <v>15</v>
      </c>
      <c r="H2227" s="185" t="s">
        <v>15</v>
      </c>
      <c r="I2227" s="185" t="s">
        <v>15</v>
      </c>
      <c r="J2227" s="135" t="s">
        <v>1450</v>
      </c>
      <c r="K2227" s="186">
        <v>1020</v>
      </c>
      <c r="L2227" s="187" t="s">
        <v>173</v>
      </c>
      <c r="M2227" s="187" t="s">
        <v>175</v>
      </c>
    </row>
    <row r="2228" spans="1:13" s="188" customFormat="1">
      <c r="A2228" s="185" t="s">
        <v>1447</v>
      </c>
      <c r="B2228" s="133" t="s">
        <v>5521</v>
      </c>
      <c r="C2228" s="185" t="s">
        <v>3023</v>
      </c>
      <c r="D2228" s="133" t="s">
        <v>1687</v>
      </c>
      <c r="E2228" s="134">
        <v>1</v>
      </c>
      <c r="F2228" s="135" t="s">
        <v>1449</v>
      </c>
      <c r="G2228" s="185" t="s">
        <v>15</v>
      </c>
      <c r="H2228" s="185" t="s">
        <v>15</v>
      </c>
      <c r="I2228" s="185" t="s">
        <v>15</v>
      </c>
      <c r="J2228" s="135" t="s">
        <v>1450</v>
      </c>
      <c r="K2228" s="186">
        <v>6504</v>
      </c>
      <c r="L2228" s="187" t="s">
        <v>173</v>
      </c>
      <c r="M2228" s="187" t="s">
        <v>175</v>
      </c>
    </row>
    <row r="2229" spans="1:13" s="188" customFormat="1">
      <c r="A2229" s="185" t="s">
        <v>1447</v>
      </c>
      <c r="B2229" s="133" t="s">
        <v>5522</v>
      </c>
      <c r="C2229" s="185" t="s">
        <v>3023</v>
      </c>
      <c r="D2229" s="133" t="s">
        <v>1688</v>
      </c>
      <c r="E2229" s="134">
        <v>1</v>
      </c>
      <c r="F2229" s="135" t="s">
        <v>1449</v>
      </c>
      <c r="G2229" s="185" t="s">
        <v>15</v>
      </c>
      <c r="H2229" s="185" t="s">
        <v>15</v>
      </c>
      <c r="I2229" s="185" t="s">
        <v>15</v>
      </c>
      <c r="J2229" s="135" t="s">
        <v>1450</v>
      </c>
      <c r="K2229" s="186">
        <v>132</v>
      </c>
      <c r="L2229" s="187" t="s">
        <v>173</v>
      </c>
      <c r="M2229" s="187" t="s">
        <v>175</v>
      </c>
    </row>
    <row r="2230" spans="1:13" s="188" customFormat="1">
      <c r="A2230" s="185" t="s">
        <v>1447</v>
      </c>
      <c r="B2230" s="133" t="s">
        <v>5523</v>
      </c>
      <c r="C2230" s="185" t="s">
        <v>3023</v>
      </c>
      <c r="D2230" s="133" t="s">
        <v>1689</v>
      </c>
      <c r="E2230" s="134">
        <v>1</v>
      </c>
      <c r="F2230" s="135" t="s">
        <v>1449</v>
      </c>
      <c r="G2230" s="185" t="s">
        <v>15</v>
      </c>
      <c r="H2230" s="185" t="s">
        <v>15</v>
      </c>
      <c r="I2230" s="185" t="s">
        <v>15</v>
      </c>
      <c r="J2230" s="135" t="s">
        <v>1450</v>
      </c>
      <c r="K2230" s="186">
        <v>34332</v>
      </c>
      <c r="L2230" s="187" t="s">
        <v>173</v>
      </c>
      <c r="M2230" s="187" t="s">
        <v>175</v>
      </c>
    </row>
    <row r="2231" spans="1:13" s="188" customFormat="1">
      <c r="A2231" s="185" t="s">
        <v>1447</v>
      </c>
      <c r="B2231" s="133" t="s">
        <v>5524</v>
      </c>
      <c r="C2231" s="185" t="s">
        <v>3023</v>
      </c>
      <c r="D2231" s="133" t="s">
        <v>1689</v>
      </c>
      <c r="E2231" s="134">
        <v>1</v>
      </c>
      <c r="F2231" s="135" t="s">
        <v>1449</v>
      </c>
      <c r="G2231" s="185" t="s">
        <v>15</v>
      </c>
      <c r="H2231" s="185" t="s">
        <v>15</v>
      </c>
      <c r="I2231" s="185" t="s">
        <v>15</v>
      </c>
      <c r="J2231" s="135" t="s">
        <v>1450</v>
      </c>
      <c r="K2231" s="186">
        <v>21900</v>
      </c>
      <c r="L2231" s="187" t="s">
        <v>173</v>
      </c>
      <c r="M2231" s="187" t="s">
        <v>175</v>
      </c>
    </row>
    <row r="2232" spans="1:13" s="188" customFormat="1">
      <c r="A2232" s="185" t="s">
        <v>1447</v>
      </c>
      <c r="B2232" s="133" t="s">
        <v>5525</v>
      </c>
      <c r="C2232" s="185" t="s">
        <v>3023</v>
      </c>
      <c r="D2232" s="133" t="s">
        <v>1689</v>
      </c>
      <c r="E2232" s="134">
        <v>1</v>
      </c>
      <c r="F2232" s="135" t="s">
        <v>1449</v>
      </c>
      <c r="G2232" s="185" t="s">
        <v>15</v>
      </c>
      <c r="H2232" s="185" t="s">
        <v>15</v>
      </c>
      <c r="I2232" s="185" t="s">
        <v>15</v>
      </c>
      <c r="J2232" s="135" t="s">
        <v>1450</v>
      </c>
      <c r="K2232" s="186">
        <v>11448</v>
      </c>
      <c r="L2232" s="187" t="s">
        <v>173</v>
      </c>
      <c r="M2232" s="187" t="s">
        <v>175</v>
      </c>
    </row>
    <row r="2233" spans="1:13" s="188" customFormat="1">
      <c r="A2233" s="185" t="s">
        <v>1447</v>
      </c>
      <c r="B2233" s="133" t="s">
        <v>5526</v>
      </c>
      <c r="C2233" s="185" t="s">
        <v>3023</v>
      </c>
      <c r="D2233" s="133" t="s">
        <v>1689</v>
      </c>
      <c r="E2233" s="134">
        <v>1</v>
      </c>
      <c r="F2233" s="135" t="s">
        <v>1449</v>
      </c>
      <c r="G2233" s="185" t="s">
        <v>15</v>
      </c>
      <c r="H2233" s="185" t="s">
        <v>15</v>
      </c>
      <c r="I2233" s="185" t="s">
        <v>15</v>
      </c>
      <c r="J2233" s="135" t="s">
        <v>1450</v>
      </c>
      <c r="K2233" s="186">
        <v>5064</v>
      </c>
      <c r="L2233" s="187" t="s">
        <v>173</v>
      </c>
      <c r="M2233" s="187" t="s">
        <v>175</v>
      </c>
    </row>
    <row r="2234" spans="1:13" s="188" customFormat="1">
      <c r="A2234" s="185" t="s">
        <v>1447</v>
      </c>
      <c r="B2234" s="133" t="s">
        <v>5527</v>
      </c>
      <c r="C2234" s="185" t="s">
        <v>3023</v>
      </c>
      <c r="D2234" s="133" t="s">
        <v>1689</v>
      </c>
      <c r="E2234" s="134">
        <v>1</v>
      </c>
      <c r="F2234" s="135" t="s">
        <v>1449</v>
      </c>
      <c r="G2234" s="185" t="s">
        <v>15</v>
      </c>
      <c r="H2234" s="185" t="s">
        <v>15</v>
      </c>
      <c r="I2234" s="185" t="s">
        <v>15</v>
      </c>
      <c r="J2234" s="135" t="s">
        <v>1450</v>
      </c>
      <c r="K2234" s="186">
        <v>3924</v>
      </c>
      <c r="L2234" s="187" t="s">
        <v>173</v>
      </c>
      <c r="M2234" s="187" t="s">
        <v>175</v>
      </c>
    </row>
    <row r="2235" spans="1:13" s="188" customFormat="1">
      <c r="A2235" s="185" t="s">
        <v>1447</v>
      </c>
      <c r="B2235" s="133" t="s">
        <v>5528</v>
      </c>
      <c r="C2235" s="185" t="s">
        <v>3023</v>
      </c>
      <c r="D2235" s="133" t="s">
        <v>1675</v>
      </c>
      <c r="E2235" s="134">
        <v>1</v>
      </c>
      <c r="F2235" s="135" t="s">
        <v>1449</v>
      </c>
      <c r="G2235" s="185" t="s">
        <v>15</v>
      </c>
      <c r="H2235" s="185" t="s">
        <v>15</v>
      </c>
      <c r="I2235" s="185" t="s">
        <v>15</v>
      </c>
      <c r="J2235" s="135" t="s">
        <v>1450</v>
      </c>
      <c r="K2235" s="186">
        <v>63120</v>
      </c>
      <c r="L2235" s="187" t="s">
        <v>173</v>
      </c>
      <c r="M2235" s="187" t="s">
        <v>175</v>
      </c>
    </row>
    <row r="2236" spans="1:13" s="188" customFormat="1">
      <c r="A2236" s="185" t="s">
        <v>1447</v>
      </c>
      <c r="B2236" s="133" t="s">
        <v>5529</v>
      </c>
      <c r="C2236" s="185" t="s">
        <v>3023</v>
      </c>
      <c r="D2236" s="133" t="s">
        <v>1675</v>
      </c>
      <c r="E2236" s="134">
        <v>1</v>
      </c>
      <c r="F2236" s="135" t="s">
        <v>1449</v>
      </c>
      <c r="G2236" s="185" t="s">
        <v>15</v>
      </c>
      <c r="H2236" s="185" t="s">
        <v>15</v>
      </c>
      <c r="I2236" s="185" t="s">
        <v>15</v>
      </c>
      <c r="J2236" s="135" t="s">
        <v>1450</v>
      </c>
      <c r="K2236" s="186">
        <v>24648</v>
      </c>
      <c r="L2236" s="187" t="s">
        <v>173</v>
      </c>
      <c r="M2236" s="187" t="s">
        <v>175</v>
      </c>
    </row>
    <row r="2237" spans="1:13" s="188" customFormat="1">
      <c r="A2237" s="185" t="s">
        <v>1447</v>
      </c>
      <c r="B2237" s="133" t="s">
        <v>5530</v>
      </c>
      <c r="C2237" s="185" t="s">
        <v>3023</v>
      </c>
      <c r="D2237" s="133" t="s">
        <v>1675</v>
      </c>
      <c r="E2237" s="134">
        <v>1</v>
      </c>
      <c r="F2237" s="135" t="s">
        <v>1449</v>
      </c>
      <c r="G2237" s="185" t="s">
        <v>15</v>
      </c>
      <c r="H2237" s="185" t="s">
        <v>15</v>
      </c>
      <c r="I2237" s="185" t="s">
        <v>15</v>
      </c>
      <c r="J2237" s="135" t="s">
        <v>1450</v>
      </c>
      <c r="K2237" s="186">
        <v>13512</v>
      </c>
      <c r="L2237" s="187" t="s">
        <v>173</v>
      </c>
      <c r="M2237" s="187" t="s">
        <v>175</v>
      </c>
    </row>
    <row r="2238" spans="1:13" s="188" customFormat="1">
      <c r="A2238" s="185" t="s">
        <v>1447</v>
      </c>
      <c r="B2238" s="133" t="s">
        <v>5531</v>
      </c>
      <c r="C2238" s="185" t="s">
        <v>3023</v>
      </c>
      <c r="D2238" s="133" t="s">
        <v>1675</v>
      </c>
      <c r="E2238" s="134">
        <v>1</v>
      </c>
      <c r="F2238" s="135" t="s">
        <v>1449</v>
      </c>
      <c r="G2238" s="185" t="s">
        <v>15</v>
      </c>
      <c r="H2238" s="185" t="s">
        <v>15</v>
      </c>
      <c r="I2238" s="185" t="s">
        <v>15</v>
      </c>
      <c r="J2238" s="135" t="s">
        <v>1450</v>
      </c>
      <c r="K2238" s="186">
        <v>5484</v>
      </c>
      <c r="L2238" s="187" t="s">
        <v>173</v>
      </c>
      <c r="M2238" s="187" t="s">
        <v>175</v>
      </c>
    </row>
    <row r="2239" spans="1:13" s="188" customFormat="1">
      <c r="A2239" s="185" t="s">
        <v>1447</v>
      </c>
      <c r="B2239" s="133" t="s">
        <v>5532</v>
      </c>
      <c r="C2239" s="185" t="s">
        <v>3023</v>
      </c>
      <c r="D2239" s="133" t="s">
        <v>1670</v>
      </c>
      <c r="E2239" s="134">
        <v>1</v>
      </c>
      <c r="F2239" s="135" t="s">
        <v>1449</v>
      </c>
      <c r="G2239" s="185" t="s">
        <v>15</v>
      </c>
      <c r="H2239" s="185" t="s">
        <v>15</v>
      </c>
      <c r="I2239" s="185" t="s">
        <v>15</v>
      </c>
      <c r="J2239" s="135" t="s">
        <v>1450</v>
      </c>
      <c r="K2239" s="186">
        <v>24972</v>
      </c>
      <c r="L2239" s="187" t="s">
        <v>173</v>
      </c>
      <c r="M2239" s="187" t="s">
        <v>175</v>
      </c>
    </row>
    <row r="2240" spans="1:13" s="188" customFormat="1">
      <c r="A2240" s="185" t="s">
        <v>1447</v>
      </c>
      <c r="B2240" s="133" t="s">
        <v>5533</v>
      </c>
      <c r="C2240" s="185" t="s">
        <v>3023</v>
      </c>
      <c r="D2240" s="133" t="s">
        <v>1670</v>
      </c>
      <c r="E2240" s="134">
        <v>1</v>
      </c>
      <c r="F2240" s="135" t="s">
        <v>1449</v>
      </c>
      <c r="G2240" s="185" t="s">
        <v>15</v>
      </c>
      <c r="H2240" s="185" t="s">
        <v>15</v>
      </c>
      <c r="I2240" s="185" t="s">
        <v>15</v>
      </c>
      <c r="J2240" s="135" t="s">
        <v>1450</v>
      </c>
      <c r="K2240" s="186">
        <v>11112</v>
      </c>
      <c r="L2240" s="187" t="s">
        <v>173</v>
      </c>
      <c r="M2240" s="187" t="s">
        <v>175</v>
      </c>
    </row>
    <row r="2241" spans="1:13" s="188" customFormat="1">
      <c r="A2241" s="185" t="s">
        <v>1447</v>
      </c>
      <c r="B2241" s="133" t="s">
        <v>5534</v>
      </c>
      <c r="C2241" s="185" t="s">
        <v>3023</v>
      </c>
      <c r="D2241" s="133" t="s">
        <v>1670</v>
      </c>
      <c r="E2241" s="134">
        <v>1</v>
      </c>
      <c r="F2241" s="135" t="s">
        <v>1449</v>
      </c>
      <c r="G2241" s="185" t="s">
        <v>15</v>
      </c>
      <c r="H2241" s="185" t="s">
        <v>15</v>
      </c>
      <c r="I2241" s="185" t="s">
        <v>15</v>
      </c>
      <c r="J2241" s="135" t="s">
        <v>1450</v>
      </c>
      <c r="K2241" s="186">
        <v>7500</v>
      </c>
      <c r="L2241" s="187" t="s">
        <v>173</v>
      </c>
      <c r="M2241" s="187" t="s">
        <v>175</v>
      </c>
    </row>
    <row r="2242" spans="1:13" s="188" customFormat="1">
      <c r="A2242" s="185" t="s">
        <v>1447</v>
      </c>
      <c r="B2242" s="133" t="s">
        <v>5535</v>
      </c>
      <c r="C2242" s="185" t="s">
        <v>3023</v>
      </c>
      <c r="D2242" s="133" t="s">
        <v>1670</v>
      </c>
      <c r="E2242" s="134">
        <v>1</v>
      </c>
      <c r="F2242" s="135" t="s">
        <v>1449</v>
      </c>
      <c r="G2242" s="185" t="s">
        <v>15</v>
      </c>
      <c r="H2242" s="185" t="s">
        <v>15</v>
      </c>
      <c r="I2242" s="185" t="s">
        <v>15</v>
      </c>
      <c r="J2242" s="135" t="s">
        <v>1450</v>
      </c>
      <c r="K2242" s="186">
        <v>6660</v>
      </c>
      <c r="L2242" s="187" t="s">
        <v>173</v>
      </c>
      <c r="M2242" s="187" t="s">
        <v>175</v>
      </c>
    </row>
    <row r="2243" spans="1:13" s="188" customFormat="1">
      <c r="A2243" s="185" t="s">
        <v>1447</v>
      </c>
      <c r="B2243" s="133" t="s">
        <v>5536</v>
      </c>
      <c r="C2243" s="185" t="s">
        <v>3023</v>
      </c>
      <c r="D2243" s="133" t="s">
        <v>1670</v>
      </c>
      <c r="E2243" s="134">
        <v>1</v>
      </c>
      <c r="F2243" s="135" t="s">
        <v>1449</v>
      </c>
      <c r="G2243" s="185" t="s">
        <v>15</v>
      </c>
      <c r="H2243" s="185" t="s">
        <v>15</v>
      </c>
      <c r="I2243" s="185" t="s">
        <v>15</v>
      </c>
      <c r="J2243" s="135" t="s">
        <v>1450</v>
      </c>
      <c r="K2243" s="186">
        <v>5004</v>
      </c>
      <c r="L2243" s="187" t="s">
        <v>173</v>
      </c>
      <c r="M2243" s="187" t="s">
        <v>175</v>
      </c>
    </row>
    <row r="2244" spans="1:13" s="188" customFormat="1">
      <c r="A2244" s="185" t="s">
        <v>1447</v>
      </c>
      <c r="B2244" s="133" t="s">
        <v>5537</v>
      </c>
      <c r="C2244" s="185" t="s">
        <v>3023</v>
      </c>
      <c r="D2244" s="133" t="s">
        <v>1670</v>
      </c>
      <c r="E2244" s="134">
        <v>1</v>
      </c>
      <c r="F2244" s="135" t="s">
        <v>1449</v>
      </c>
      <c r="G2244" s="185" t="s">
        <v>15</v>
      </c>
      <c r="H2244" s="185" t="s">
        <v>15</v>
      </c>
      <c r="I2244" s="185" t="s">
        <v>15</v>
      </c>
      <c r="J2244" s="135" t="s">
        <v>1450</v>
      </c>
      <c r="K2244" s="186">
        <v>3336</v>
      </c>
      <c r="L2244" s="187" t="s">
        <v>173</v>
      </c>
      <c r="M2244" s="187" t="s">
        <v>175</v>
      </c>
    </row>
    <row r="2245" spans="1:13" s="188" customFormat="1">
      <c r="A2245" s="185" t="s">
        <v>1447</v>
      </c>
      <c r="B2245" s="133" t="s">
        <v>5538</v>
      </c>
      <c r="C2245" s="185" t="s">
        <v>3023</v>
      </c>
      <c r="D2245" s="133" t="s">
        <v>1664</v>
      </c>
      <c r="E2245" s="134">
        <v>1</v>
      </c>
      <c r="F2245" s="135" t="s">
        <v>1449</v>
      </c>
      <c r="G2245" s="185" t="s">
        <v>15</v>
      </c>
      <c r="H2245" s="185" t="s">
        <v>15</v>
      </c>
      <c r="I2245" s="185" t="s">
        <v>15</v>
      </c>
      <c r="J2245" s="135" t="s">
        <v>1450</v>
      </c>
      <c r="K2245" s="186">
        <v>2304</v>
      </c>
      <c r="L2245" s="187" t="s">
        <v>173</v>
      </c>
      <c r="M2245" s="187" t="s">
        <v>175</v>
      </c>
    </row>
    <row r="2246" spans="1:13" s="188" customFormat="1">
      <c r="A2246" s="185" t="s">
        <v>1447</v>
      </c>
      <c r="B2246" s="133" t="s">
        <v>5539</v>
      </c>
      <c r="C2246" s="185" t="s">
        <v>3023</v>
      </c>
      <c r="D2246" s="133" t="s">
        <v>1664</v>
      </c>
      <c r="E2246" s="134">
        <v>1</v>
      </c>
      <c r="F2246" s="135" t="s">
        <v>1449</v>
      </c>
      <c r="G2246" s="185" t="s">
        <v>15</v>
      </c>
      <c r="H2246" s="185" t="s">
        <v>15</v>
      </c>
      <c r="I2246" s="185" t="s">
        <v>15</v>
      </c>
      <c r="J2246" s="135" t="s">
        <v>1450</v>
      </c>
      <c r="K2246" s="186">
        <v>1500</v>
      </c>
      <c r="L2246" s="187" t="s">
        <v>173</v>
      </c>
      <c r="M2246" s="187" t="s">
        <v>175</v>
      </c>
    </row>
    <row r="2247" spans="1:13" s="188" customFormat="1">
      <c r="A2247" s="185" t="s">
        <v>1447</v>
      </c>
      <c r="B2247" s="133" t="s">
        <v>5540</v>
      </c>
      <c r="C2247" s="185" t="s">
        <v>3023</v>
      </c>
      <c r="D2247" s="133" t="s">
        <v>1664</v>
      </c>
      <c r="E2247" s="134">
        <v>1</v>
      </c>
      <c r="F2247" s="135" t="s">
        <v>1449</v>
      </c>
      <c r="G2247" s="185" t="s">
        <v>15</v>
      </c>
      <c r="H2247" s="185" t="s">
        <v>15</v>
      </c>
      <c r="I2247" s="185" t="s">
        <v>15</v>
      </c>
      <c r="J2247" s="135" t="s">
        <v>1450</v>
      </c>
      <c r="K2247" s="186">
        <v>1260</v>
      </c>
      <c r="L2247" s="187" t="s">
        <v>173</v>
      </c>
      <c r="M2247" s="187" t="s">
        <v>175</v>
      </c>
    </row>
    <row r="2248" spans="1:13" s="188" customFormat="1">
      <c r="A2248" s="185" t="s">
        <v>1447</v>
      </c>
      <c r="B2248" s="133" t="s">
        <v>5541</v>
      </c>
      <c r="C2248" s="185" t="s">
        <v>3023</v>
      </c>
      <c r="D2248" s="133" t="s">
        <v>1655</v>
      </c>
      <c r="E2248" s="134">
        <v>1</v>
      </c>
      <c r="F2248" s="135" t="s">
        <v>1449</v>
      </c>
      <c r="G2248" s="185" t="s">
        <v>15</v>
      </c>
      <c r="H2248" s="185" t="s">
        <v>15</v>
      </c>
      <c r="I2248" s="185" t="s">
        <v>15</v>
      </c>
      <c r="J2248" s="135" t="s">
        <v>1450</v>
      </c>
      <c r="K2248" s="186">
        <v>105840</v>
      </c>
      <c r="L2248" s="187" t="s">
        <v>173</v>
      </c>
      <c r="M2248" s="187" t="s">
        <v>175</v>
      </c>
    </row>
    <row r="2249" spans="1:13" s="188" customFormat="1">
      <c r="A2249" s="185" t="s">
        <v>1447</v>
      </c>
      <c r="B2249" s="133" t="s">
        <v>5542</v>
      </c>
      <c r="C2249" s="185" t="s">
        <v>3023</v>
      </c>
      <c r="D2249" s="133" t="s">
        <v>1655</v>
      </c>
      <c r="E2249" s="134">
        <v>1</v>
      </c>
      <c r="F2249" s="135" t="s">
        <v>1449</v>
      </c>
      <c r="G2249" s="185" t="s">
        <v>15</v>
      </c>
      <c r="H2249" s="185" t="s">
        <v>15</v>
      </c>
      <c r="I2249" s="185" t="s">
        <v>15</v>
      </c>
      <c r="J2249" s="135" t="s">
        <v>1450</v>
      </c>
      <c r="K2249" s="186">
        <v>78444</v>
      </c>
      <c r="L2249" s="187" t="s">
        <v>173</v>
      </c>
      <c r="M2249" s="187" t="s">
        <v>175</v>
      </c>
    </row>
    <row r="2250" spans="1:13" s="188" customFormat="1">
      <c r="A2250" s="185" t="s">
        <v>1447</v>
      </c>
      <c r="B2250" s="133" t="s">
        <v>5543</v>
      </c>
      <c r="C2250" s="185" t="s">
        <v>3023</v>
      </c>
      <c r="D2250" s="133" t="s">
        <v>1655</v>
      </c>
      <c r="E2250" s="134">
        <v>1</v>
      </c>
      <c r="F2250" s="135" t="s">
        <v>1449</v>
      </c>
      <c r="G2250" s="185" t="s">
        <v>15</v>
      </c>
      <c r="H2250" s="185" t="s">
        <v>15</v>
      </c>
      <c r="I2250" s="185" t="s">
        <v>15</v>
      </c>
      <c r="J2250" s="135" t="s">
        <v>1450</v>
      </c>
      <c r="K2250" s="186">
        <v>64752</v>
      </c>
      <c r="L2250" s="187" t="s">
        <v>173</v>
      </c>
      <c r="M2250" s="187" t="s">
        <v>175</v>
      </c>
    </row>
    <row r="2251" spans="1:13" s="188" customFormat="1">
      <c r="A2251" s="185" t="s">
        <v>1447</v>
      </c>
      <c r="B2251" s="133" t="s">
        <v>5544</v>
      </c>
      <c r="C2251" s="185" t="s">
        <v>3023</v>
      </c>
      <c r="D2251" s="133" t="s">
        <v>1655</v>
      </c>
      <c r="E2251" s="134">
        <v>1</v>
      </c>
      <c r="F2251" s="135" t="s">
        <v>1449</v>
      </c>
      <c r="G2251" s="185" t="s">
        <v>15</v>
      </c>
      <c r="H2251" s="185" t="s">
        <v>15</v>
      </c>
      <c r="I2251" s="185" t="s">
        <v>15</v>
      </c>
      <c r="J2251" s="135" t="s">
        <v>1450</v>
      </c>
      <c r="K2251" s="186">
        <v>56028</v>
      </c>
      <c r="L2251" s="187" t="s">
        <v>173</v>
      </c>
      <c r="M2251" s="187" t="s">
        <v>175</v>
      </c>
    </row>
    <row r="2252" spans="1:13" s="188" customFormat="1">
      <c r="A2252" s="185" t="s">
        <v>1447</v>
      </c>
      <c r="B2252" s="133" t="s">
        <v>5545</v>
      </c>
      <c r="C2252" s="185" t="s">
        <v>3023</v>
      </c>
      <c r="D2252" s="133" t="s">
        <v>1655</v>
      </c>
      <c r="E2252" s="134">
        <v>1</v>
      </c>
      <c r="F2252" s="135" t="s">
        <v>1449</v>
      </c>
      <c r="G2252" s="185" t="s">
        <v>15</v>
      </c>
      <c r="H2252" s="185" t="s">
        <v>15</v>
      </c>
      <c r="I2252" s="185" t="s">
        <v>15</v>
      </c>
      <c r="J2252" s="135" t="s">
        <v>1450</v>
      </c>
      <c r="K2252" s="186">
        <v>48564</v>
      </c>
      <c r="L2252" s="187" t="s">
        <v>173</v>
      </c>
      <c r="M2252" s="187" t="s">
        <v>175</v>
      </c>
    </row>
    <row r="2253" spans="1:13" s="188" customFormat="1">
      <c r="A2253" s="185" t="s">
        <v>1447</v>
      </c>
      <c r="B2253" s="133" t="s">
        <v>5546</v>
      </c>
      <c r="C2253" s="185" t="s">
        <v>3023</v>
      </c>
      <c r="D2253" s="133" t="s">
        <v>5547</v>
      </c>
      <c r="E2253" s="134">
        <v>1</v>
      </c>
      <c r="F2253" s="135" t="s">
        <v>1449</v>
      </c>
      <c r="G2253" s="185" t="s">
        <v>15</v>
      </c>
      <c r="H2253" s="185" t="s">
        <v>15</v>
      </c>
      <c r="I2253" s="185" t="s">
        <v>15</v>
      </c>
      <c r="J2253" s="135" t="s">
        <v>1450</v>
      </c>
      <c r="K2253" s="186">
        <v>6852</v>
      </c>
      <c r="L2253" s="187" t="s">
        <v>173</v>
      </c>
      <c r="M2253" s="187" t="s">
        <v>175</v>
      </c>
    </row>
    <row r="2254" spans="1:13" s="188" customFormat="1">
      <c r="A2254" s="185" t="s">
        <v>1447</v>
      </c>
      <c r="B2254" s="133" t="s">
        <v>5548</v>
      </c>
      <c r="C2254" s="185" t="s">
        <v>3023</v>
      </c>
      <c r="D2254" s="133" t="s">
        <v>5547</v>
      </c>
      <c r="E2254" s="134">
        <v>1</v>
      </c>
      <c r="F2254" s="135" t="s">
        <v>1449</v>
      </c>
      <c r="G2254" s="185" t="s">
        <v>15</v>
      </c>
      <c r="H2254" s="185" t="s">
        <v>15</v>
      </c>
      <c r="I2254" s="185" t="s">
        <v>15</v>
      </c>
      <c r="J2254" s="135" t="s">
        <v>1450</v>
      </c>
      <c r="K2254" s="186">
        <v>6024</v>
      </c>
      <c r="L2254" s="187" t="s">
        <v>173</v>
      </c>
      <c r="M2254" s="187" t="s">
        <v>175</v>
      </c>
    </row>
    <row r="2255" spans="1:13" s="188" customFormat="1">
      <c r="A2255" s="185" t="s">
        <v>1447</v>
      </c>
      <c r="B2255" s="133" t="s">
        <v>5549</v>
      </c>
      <c r="C2255" s="185" t="s">
        <v>3023</v>
      </c>
      <c r="D2255" s="133" t="s">
        <v>5547</v>
      </c>
      <c r="E2255" s="134">
        <v>1</v>
      </c>
      <c r="F2255" s="135" t="s">
        <v>1449</v>
      </c>
      <c r="G2255" s="185" t="s">
        <v>15</v>
      </c>
      <c r="H2255" s="185" t="s">
        <v>15</v>
      </c>
      <c r="I2255" s="185" t="s">
        <v>15</v>
      </c>
      <c r="J2255" s="135" t="s">
        <v>1450</v>
      </c>
      <c r="K2255" s="186">
        <v>5208</v>
      </c>
      <c r="L2255" s="187" t="s">
        <v>173</v>
      </c>
      <c r="M2255" s="187" t="s">
        <v>175</v>
      </c>
    </row>
    <row r="2256" spans="1:13" s="188" customFormat="1">
      <c r="A2256" s="185" t="s">
        <v>1447</v>
      </c>
      <c r="B2256" s="133" t="s">
        <v>5550</v>
      </c>
      <c r="C2256" s="185" t="s">
        <v>3023</v>
      </c>
      <c r="D2256" s="133" t="s">
        <v>1660</v>
      </c>
      <c r="E2256" s="134">
        <v>1</v>
      </c>
      <c r="F2256" s="135" t="s">
        <v>1449</v>
      </c>
      <c r="G2256" s="185" t="s">
        <v>15</v>
      </c>
      <c r="H2256" s="185" t="s">
        <v>15</v>
      </c>
      <c r="I2256" s="185" t="s">
        <v>15</v>
      </c>
      <c r="J2256" s="135" t="s">
        <v>1450</v>
      </c>
      <c r="K2256" s="186">
        <v>22416</v>
      </c>
      <c r="L2256" s="187" t="s">
        <v>173</v>
      </c>
      <c r="M2256" s="187" t="s">
        <v>175</v>
      </c>
    </row>
    <row r="2257" spans="1:13" s="188" customFormat="1">
      <c r="A2257" s="185" t="s">
        <v>1447</v>
      </c>
      <c r="B2257" s="133" t="s">
        <v>5551</v>
      </c>
      <c r="C2257" s="185" t="s">
        <v>3023</v>
      </c>
      <c r="D2257" s="133" t="s">
        <v>1660</v>
      </c>
      <c r="E2257" s="134">
        <v>1</v>
      </c>
      <c r="F2257" s="135" t="s">
        <v>1449</v>
      </c>
      <c r="G2257" s="185" t="s">
        <v>15</v>
      </c>
      <c r="H2257" s="185" t="s">
        <v>15</v>
      </c>
      <c r="I2257" s="185" t="s">
        <v>15</v>
      </c>
      <c r="J2257" s="135" t="s">
        <v>1450</v>
      </c>
      <c r="K2257" s="186">
        <v>16068</v>
      </c>
      <c r="L2257" s="187" t="s">
        <v>173</v>
      </c>
      <c r="M2257" s="187" t="s">
        <v>175</v>
      </c>
    </row>
    <row r="2258" spans="1:13" s="188" customFormat="1">
      <c r="A2258" s="185" t="s">
        <v>1447</v>
      </c>
      <c r="B2258" s="133" t="s">
        <v>5552</v>
      </c>
      <c r="C2258" s="185" t="s">
        <v>3023</v>
      </c>
      <c r="D2258" s="133" t="s">
        <v>1660</v>
      </c>
      <c r="E2258" s="134">
        <v>1</v>
      </c>
      <c r="F2258" s="135" t="s">
        <v>1449</v>
      </c>
      <c r="G2258" s="185" t="s">
        <v>15</v>
      </c>
      <c r="H2258" s="185" t="s">
        <v>15</v>
      </c>
      <c r="I2258" s="185" t="s">
        <v>15</v>
      </c>
      <c r="J2258" s="135" t="s">
        <v>1450</v>
      </c>
      <c r="K2258" s="186">
        <v>13068</v>
      </c>
      <c r="L2258" s="187" t="s">
        <v>173</v>
      </c>
      <c r="M2258" s="187" t="s">
        <v>175</v>
      </c>
    </row>
    <row r="2259" spans="1:13" s="188" customFormat="1">
      <c r="A2259" s="185" t="s">
        <v>1447</v>
      </c>
      <c r="B2259" s="133" t="s">
        <v>5553</v>
      </c>
      <c r="C2259" s="185" t="s">
        <v>3023</v>
      </c>
      <c r="D2259" s="133" t="s">
        <v>1660</v>
      </c>
      <c r="E2259" s="134">
        <v>1</v>
      </c>
      <c r="F2259" s="135" t="s">
        <v>1449</v>
      </c>
      <c r="G2259" s="185" t="s">
        <v>15</v>
      </c>
      <c r="H2259" s="185" t="s">
        <v>15</v>
      </c>
      <c r="I2259" s="185" t="s">
        <v>15</v>
      </c>
      <c r="J2259" s="135" t="s">
        <v>1450</v>
      </c>
      <c r="K2259" s="186">
        <v>10212</v>
      </c>
      <c r="L2259" s="187" t="s">
        <v>173</v>
      </c>
      <c r="M2259" s="187" t="s">
        <v>175</v>
      </c>
    </row>
    <row r="2260" spans="1:13" s="188" customFormat="1">
      <c r="A2260" s="185" t="s">
        <v>1447</v>
      </c>
      <c r="B2260" s="133" t="s">
        <v>5554</v>
      </c>
      <c r="C2260" s="185" t="s">
        <v>3023</v>
      </c>
      <c r="D2260" s="133" t="s">
        <v>1660</v>
      </c>
      <c r="E2260" s="134">
        <v>1</v>
      </c>
      <c r="F2260" s="135" t="s">
        <v>1449</v>
      </c>
      <c r="G2260" s="185" t="s">
        <v>15</v>
      </c>
      <c r="H2260" s="185" t="s">
        <v>15</v>
      </c>
      <c r="I2260" s="185" t="s">
        <v>15</v>
      </c>
      <c r="J2260" s="135" t="s">
        <v>1450</v>
      </c>
      <c r="K2260" s="186">
        <v>8400</v>
      </c>
      <c r="L2260" s="187" t="s">
        <v>173</v>
      </c>
      <c r="M2260" s="187" t="s">
        <v>175</v>
      </c>
    </row>
    <row r="2261" spans="1:13" s="188" customFormat="1">
      <c r="A2261" s="185" t="s">
        <v>1447</v>
      </c>
      <c r="B2261" s="133" t="s">
        <v>5555</v>
      </c>
      <c r="C2261" s="185" t="s">
        <v>3023</v>
      </c>
      <c r="D2261" s="133" t="s">
        <v>1686</v>
      </c>
      <c r="E2261" s="134">
        <v>1</v>
      </c>
      <c r="F2261" s="135" t="s">
        <v>1449</v>
      </c>
      <c r="G2261" s="185" t="s">
        <v>15</v>
      </c>
      <c r="H2261" s="185" t="s">
        <v>15</v>
      </c>
      <c r="I2261" s="185" t="s">
        <v>15</v>
      </c>
      <c r="J2261" s="135" t="s">
        <v>1450</v>
      </c>
      <c r="K2261" s="186">
        <v>25656</v>
      </c>
      <c r="L2261" s="187" t="s">
        <v>173</v>
      </c>
      <c r="M2261" s="187" t="s">
        <v>175</v>
      </c>
    </row>
    <row r="2262" spans="1:13" s="188" customFormat="1">
      <c r="A2262" s="185" t="s">
        <v>1447</v>
      </c>
      <c r="B2262" s="133" t="s">
        <v>5556</v>
      </c>
      <c r="C2262" s="185" t="s">
        <v>3023</v>
      </c>
      <c r="D2262" s="133" t="s">
        <v>1686</v>
      </c>
      <c r="E2262" s="134">
        <v>1</v>
      </c>
      <c r="F2262" s="135" t="s">
        <v>1449</v>
      </c>
      <c r="G2262" s="185" t="s">
        <v>15</v>
      </c>
      <c r="H2262" s="185" t="s">
        <v>15</v>
      </c>
      <c r="I2262" s="185" t="s">
        <v>15</v>
      </c>
      <c r="J2262" s="135" t="s">
        <v>1450</v>
      </c>
      <c r="K2262" s="186">
        <v>11832</v>
      </c>
      <c r="L2262" s="187" t="s">
        <v>173</v>
      </c>
      <c r="M2262" s="187" t="s">
        <v>175</v>
      </c>
    </row>
    <row r="2263" spans="1:13" s="188" customFormat="1">
      <c r="A2263" s="185" t="s">
        <v>1447</v>
      </c>
      <c r="B2263" s="133" t="s">
        <v>5557</v>
      </c>
      <c r="C2263" s="185" t="s">
        <v>3023</v>
      </c>
      <c r="D2263" s="133" t="s">
        <v>1686</v>
      </c>
      <c r="E2263" s="134">
        <v>1</v>
      </c>
      <c r="F2263" s="135" t="s">
        <v>1449</v>
      </c>
      <c r="G2263" s="185" t="s">
        <v>15</v>
      </c>
      <c r="H2263" s="185" t="s">
        <v>15</v>
      </c>
      <c r="I2263" s="185" t="s">
        <v>15</v>
      </c>
      <c r="J2263" s="135" t="s">
        <v>1450</v>
      </c>
      <c r="K2263" s="186">
        <v>6648</v>
      </c>
      <c r="L2263" s="187" t="s">
        <v>173</v>
      </c>
      <c r="M2263" s="187" t="s">
        <v>175</v>
      </c>
    </row>
    <row r="2264" spans="1:13" s="188" customFormat="1">
      <c r="A2264" s="185" t="s">
        <v>1447</v>
      </c>
      <c r="B2264" s="133" t="s">
        <v>5558</v>
      </c>
      <c r="C2264" s="185" t="s">
        <v>3023</v>
      </c>
      <c r="D2264" s="133" t="s">
        <v>1685</v>
      </c>
      <c r="E2264" s="134">
        <v>1</v>
      </c>
      <c r="F2264" s="135" t="s">
        <v>1449</v>
      </c>
      <c r="G2264" s="185" t="s">
        <v>15</v>
      </c>
      <c r="H2264" s="185" t="s">
        <v>15</v>
      </c>
      <c r="I2264" s="185" t="s">
        <v>15</v>
      </c>
      <c r="J2264" s="135" t="s">
        <v>1450</v>
      </c>
      <c r="K2264" s="186">
        <v>2844</v>
      </c>
      <c r="L2264" s="187" t="s">
        <v>173</v>
      </c>
      <c r="M2264" s="187" t="s">
        <v>175</v>
      </c>
    </row>
    <row r="2265" spans="1:13" s="188" customFormat="1">
      <c r="A2265" s="185" t="s">
        <v>1447</v>
      </c>
      <c r="B2265" s="133" t="s">
        <v>5559</v>
      </c>
      <c r="C2265" s="185" t="s">
        <v>3023</v>
      </c>
      <c r="D2265" s="133" t="s">
        <v>1685</v>
      </c>
      <c r="E2265" s="134">
        <v>1</v>
      </c>
      <c r="F2265" s="135" t="s">
        <v>1449</v>
      </c>
      <c r="G2265" s="185" t="s">
        <v>15</v>
      </c>
      <c r="H2265" s="185" t="s">
        <v>15</v>
      </c>
      <c r="I2265" s="185" t="s">
        <v>15</v>
      </c>
      <c r="J2265" s="135" t="s">
        <v>1450</v>
      </c>
      <c r="K2265" s="186">
        <v>1788</v>
      </c>
      <c r="L2265" s="187" t="s">
        <v>173</v>
      </c>
      <c r="M2265" s="187" t="s">
        <v>175</v>
      </c>
    </row>
    <row r="2266" spans="1:13" s="188" customFormat="1">
      <c r="A2266" s="185" t="s">
        <v>1447</v>
      </c>
      <c r="B2266" s="133" t="s">
        <v>5560</v>
      </c>
      <c r="C2266" s="185" t="s">
        <v>3023</v>
      </c>
      <c r="D2266" s="133" t="s">
        <v>1685</v>
      </c>
      <c r="E2266" s="134">
        <v>1</v>
      </c>
      <c r="F2266" s="135" t="s">
        <v>1449</v>
      </c>
      <c r="G2266" s="185" t="s">
        <v>15</v>
      </c>
      <c r="H2266" s="185" t="s">
        <v>15</v>
      </c>
      <c r="I2266" s="185" t="s">
        <v>15</v>
      </c>
      <c r="J2266" s="135" t="s">
        <v>1450</v>
      </c>
      <c r="K2266" s="186">
        <v>1632</v>
      </c>
      <c r="L2266" s="187" t="s">
        <v>173</v>
      </c>
      <c r="M2266" s="187" t="s">
        <v>175</v>
      </c>
    </row>
    <row r="2267" spans="1:13" s="188" customFormat="1">
      <c r="A2267" s="185" t="s">
        <v>1447</v>
      </c>
      <c r="B2267" s="133" t="s">
        <v>5561</v>
      </c>
      <c r="C2267" s="185" t="s">
        <v>3023</v>
      </c>
      <c r="D2267" s="133" t="s">
        <v>1685</v>
      </c>
      <c r="E2267" s="134">
        <v>1</v>
      </c>
      <c r="F2267" s="135" t="s">
        <v>1449</v>
      </c>
      <c r="G2267" s="185" t="s">
        <v>15</v>
      </c>
      <c r="H2267" s="185" t="s">
        <v>15</v>
      </c>
      <c r="I2267" s="185" t="s">
        <v>15</v>
      </c>
      <c r="J2267" s="135" t="s">
        <v>1450</v>
      </c>
      <c r="K2267" s="186">
        <v>1500</v>
      </c>
      <c r="L2267" s="187" t="s">
        <v>173</v>
      </c>
      <c r="M2267" s="187" t="s">
        <v>175</v>
      </c>
    </row>
    <row r="2268" spans="1:13" s="188" customFormat="1">
      <c r="A2268" s="185" t="s">
        <v>1447</v>
      </c>
      <c r="B2268" s="133" t="s">
        <v>5562</v>
      </c>
      <c r="C2268" s="185" t="s">
        <v>3023</v>
      </c>
      <c r="D2268" s="133" t="s">
        <v>1684</v>
      </c>
      <c r="E2268" s="134">
        <v>1</v>
      </c>
      <c r="F2268" s="135" t="s">
        <v>1449</v>
      </c>
      <c r="G2268" s="185" t="s">
        <v>15</v>
      </c>
      <c r="H2268" s="185" t="s">
        <v>15</v>
      </c>
      <c r="I2268" s="185" t="s">
        <v>15</v>
      </c>
      <c r="J2268" s="135" t="s">
        <v>1450</v>
      </c>
      <c r="K2268" s="186">
        <v>480</v>
      </c>
      <c r="L2268" s="187" t="s">
        <v>173</v>
      </c>
      <c r="M2268" s="187" t="s">
        <v>175</v>
      </c>
    </row>
    <row r="2269" spans="1:13" s="188" customFormat="1">
      <c r="A2269" s="185" t="s">
        <v>1447</v>
      </c>
      <c r="B2269" s="133" t="s">
        <v>5563</v>
      </c>
      <c r="C2269" s="185" t="s">
        <v>3023</v>
      </c>
      <c r="D2269" s="133" t="s">
        <v>1684</v>
      </c>
      <c r="E2269" s="134">
        <v>1</v>
      </c>
      <c r="F2269" s="135" t="s">
        <v>1449</v>
      </c>
      <c r="G2269" s="185" t="s">
        <v>15</v>
      </c>
      <c r="H2269" s="185" t="s">
        <v>15</v>
      </c>
      <c r="I2269" s="185" t="s">
        <v>15</v>
      </c>
      <c r="J2269" s="135" t="s">
        <v>1450</v>
      </c>
      <c r="K2269" s="186">
        <v>372</v>
      </c>
      <c r="L2269" s="187" t="s">
        <v>173</v>
      </c>
      <c r="M2269" s="187" t="s">
        <v>175</v>
      </c>
    </row>
    <row r="2270" spans="1:13" s="188" customFormat="1">
      <c r="A2270" s="185" t="s">
        <v>1447</v>
      </c>
      <c r="B2270" s="133" t="s">
        <v>5564</v>
      </c>
      <c r="C2270" s="185" t="s">
        <v>3023</v>
      </c>
      <c r="D2270" s="133" t="s">
        <v>1684</v>
      </c>
      <c r="E2270" s="134">
        <v>1</v>
      </c>
      <c r="F2270" s="135" t="s">
        <v>1449</v>
      </c>
      <c r="G2270" s="185" t="s">
        <v>15</v>
      </c>
      <c r="H2270" s="185" t="s">
        <v>15</v>
      </c>
      <c r="I2270" s="185" t="s">
        <v>15</v>
      </c>
      <c r="J2270" s="135" t="s">
        <v>1450</v>
      </c>
      <c r="K2270" s="186">
        <v>288</v>
      </c>
      <c r="L2270" s="187" t="s">
        <v>173</v>
      </c>
      <c r="M2270" s="187" t="s">
        <v>175</v>
      </c>
    </row>
    <row r="2271" spans="1:13" s="188" customFormat="1">
      <c r="A2271" s="185" t="s">
        <v>1447</v>
      </c>
      <c r="B2271" s="133" t="s">
        <v>5565</v>
      </c>
      <c r="C2271" s="185" t="s">
        <v>3023</v>
      </c>
      <c r="D2271" s="133" t="s">
        <v>1684</v>
      </c>
      <c r="E2271" s="134">
        <v>1</v>
      </c>
      <c r="F2271" s="135" t="s">
        <v>1449</v>
      </c>
      <c r="G2271" s="185" t="s">
        <v>15</v>
      </c>
      <c r="H2271" s="185" t="s">
        <v>15</v>
      </c>
      <c r="I2271" s="185" t="s">
        <v>15</v>
      </c>
      <c r="J2271" s="135" t="s">
        <v>1450</v>
      </c>
      <c r="K2271" s="186">
        <v>180</v>
      </c>
      <c r="L2271" s="187" t="s">
        <v>173</v>
      </c>
      <c r="M2271" s="187" t="s">
        <v>175</v>
      </c>
    </row>
    <row r="2272" spans="1:13" s="188" customFormat="1">
      <c r="A2272" s="185" t="s">
        <v>1447</v>
      </c>
      <c r="B2272" s="133" t="s">
        <v>5566</v>
      </c>
      <c r="C2272" s="185" t="s">
        <v>3023</v>
      </c>
      <c r="D2272" s="133" t="s">
        <v>1684</v>
      </c>
      <c r="E2272" s="134">
        <v>1</v>
      </c>
      <c r="F2272" s="135" t="s">
        <v>1449</v>
      </c>
      <c r="G2272" s="185" t="s">
        <v>15</v>
      </c>
      <c r="H2272" s="185" t="s">
        <v>15</v>
      </c>
      <c r="I2272" s="185" t="s">
        <v>15</v>
      </c>
      <c r="J2272" s="135" t="s">
        <v>1450</v>
      </c>
      <c r="K2272" s="186">
        <v>144</v>
      </c>
      <c r="L2272" s="187" t="s">
        <v>173</v>
      </c>
      <c r="M2272" s="187" t="s">
        <v>175</v>
      </c>
    </row>
    <row r="2273" spans="1:13" s="188" customFormat="1">
      <c r="A2273" s="185" t="s">
        <v>1447</v>
      </c>
      <c r="B2273" s="133" t="s">
        <v>5567</v>
      </c>
      <c r="C2273" s="185" t="s">
        <v>3023</v>
      </c>
      <c r="D2273" s="133" t="s">
        <v>5568</v>
      </c>
      <c r="E2273" s="134">
        <v>1</v>
      </c>
      <c r="F2273" s="135" t="s">
        <v>1449</v>
      </c>
      <c r="G2273" s="185" t="s">
        <v>15</v>
      </c>
      <c r="H2273" s="185" t="s">
        <v>15</v>
      </c>
      <c r="I2273" s="185" t="s">
        <v>15</v>
      </c>
      <c r="J2273" s="135" t="s">
        <v>1450</v>
      </c>
      <c r="K2273" s="186">
        <v>132732</v>
      </c>
      <c r="L2273" s="187" t="s">
        <v>173</v>
      </c>
      <c r="M2273" s="187" t="s">
        <v>175</v>
      </c>
    </row>
    <row r="2274" spans="1:13" s="188" customFormat="1">
      <c r="A2274" s="185" t="s">
        <v>1447</v>
      </c>
      <c r="B2274" s="133" t="s">
        <v>5569</v>
      </c>
      <c r="C2274" s="185" t="s">
        <v>3023</v>
      </c>
      <c r="D2274" s="133" t="s">
        <v>5568</v>
      </c>
      <c r="E2274" s="134">
        <v>1</v>
      </c>
      <c r="F2274" s="135" t="s">
        <v>1449</v>
      </c>
      <c r="G2274" s="185" t="s">
        <v>15</v>
      </c>
      <c r="H2274" s="185" t="s">
        <v>15</v>
      </c>
      <c r="I2274" s="185" t="s">
        <v>15</v>
      </c>
      <c r="J2274" s="135" t="s">
        <v>1450</v>
      </c>
      <c r="K2274" s="186">
        <v>70476</v>
      </c>
      <c r="L2274" s="187" t="s">
        <v>173</v>
      </c>
      <c r="M2274" s="187" t="s">
        <v>175</v>
      </c>
    </row>
    <row r="2275" spans="1:13" s="188" customFormat="1">
      <c r="A2275" s="185" t="s">
        <v>1447</v>
      </c>
      <c r="B2275" s="133" t="s">
        <v>5570</v>
      </c>
      <c r="C2275" s="185" t="s">
        <v>3023</v>
      </c>
      <c r="D2275" s="133" t="s">
        <v>5568</v>
      </c>
      <c r="E2275" s="134">
        <v>1</v>
      </c>
      <c r="F2275" s="135" t="s">
        <v>1449</v>
      </c>
      <c r="G2275" s="185" t="s">
        <v>15</v>
      </c>
      <c r="H2275" s="185" t="s">
        <v>15</v>
      </c>
      <c r="I2275" s="185" t="s">
        <v>15</v>
      </c>
      <c r="J2275" s="135" t="s">
        <v>1450</v>
      </c>
      <c r="K2275" s="186">
        <v>36360</v>
      </c>
      <c r="L2275" s="187" t="s">
        <v>173</v>
      </c>
      <c r="M2275" s="187" t="s">
        <v>175</v>
      </c>
    </row>
    <row r="2276" spans="1:13" s="188" customFormat="1">
      <c r="A2276" s="185" t="s">
        <v>1447</v>
      </c>
      <c r="B2276" s="133" t="s">
        <v>5571</v>
      </c>
      <c r="C2276" s="185" t="s">
        <v>3023</v>
      </c>
      <c r="D2276" s="133" t="s">
        <v>5568</v>
      </c>
      <c r="E2276" s="134">
        <v>1</v>
      </c>
      <c r="F2276" s="135" t="s">
        <v>1449</v>
      </c>
      <c r="G2276" s="185" t="s">
        <v>15</v>
      </c>
      <c r="H2276" s="185" t="s">
        <v>15</v>
      </c>
      <c r="I2276" s="185" t="s">
        <v>15</v>
      </c>
      <c r="J2276" s="135" t="s">
        <v>1450</v>
      </c>
      <c r="K2276" s="186">
        <v>27024</v>
      </c>
      <c r="L2276" s="187" t="s">
        <v>173</v>
      </c>
      <c r="M2276" s="187" t="s">
        <v>175</v>
      </c>
    </row>
    <row r="2277" spans="1:13" s="188" customFormat="1">
      <c r="A2277" s="185" t="s">
        <v>1447</v>
      </c>
      <c r="B2277" s="133" t="s">
        <v>5572</v>
      </c>
      <c r="C2277" s="185" t="s">
        <v>3023</v>
      </c>
      <c r="D2277" s="133" t="s">
        <v>5568</v>
      </c>
      <c r="E2277" s="134">
        <v>1</v>
      </c>
      <c r="F2277" s="135" t="s">
        <v>1449</v>
      </c>
      <c r="G2277" s="185" t="s">
        <v>15</v>
      </c>
      <c r="H2277" s="185" t="s">
        <v>15</v>
      </c>
      <c r="I2277" s="185" t="s">
        <v>15</v>
      </c>
      <c r="J2277" s="135" t="s">
        <v>1450</v>
      </c>
      <c r="K2277" s="186">
        <v>18672</v>
      </c>
      <c r="L2277" s="187" t="s">
        <v>173</v>
      </c>
      <c r="M2277" s="187" t="s">
        <v>175</v>
      </c>
    </row>
    <row r="2278" spans="1:13" s="188" customFormat="1">
      <c r="A2278" s="185" t="s">
        <v>1447</v>
      </c>
      <c r="B2278" s="133" t="s">
        <v>5573</v>
      </c>
      <c r="C2278" s="185" t="s">
        <v>3023</v>
      </c>
      <c r="D2278" s="133" t="s">
        <v>1668</v>
      </c>
      <c r="E2278" s="134">
        <v>1</v>
      </c>
      <c r="F2278" s="135" t="s">
        <v>1449</v>
      </c>
      <c r="G2278" s="185" t="s">
        <v>15</v>
      </c>
      <c r="H2278" s="185" t="s">
        <v>15</v>
      </c>
      <c r="I2278" s="185" t="s">
        <v>15</v>
      </c>
      <c r="J2278" s="135" t="s">
        <v>1450</v>
      </c>
      <c r="K2278" s="186">
        <v>10152</v>
      </c>
      <c r="L2278" s="187" t="s">
        <v>173</v>
      </c>
      <c r="M2278" s="187" t="s">
        <v>175</v>
      </c>
    </row>
    <row r="2279" spans="1:13" s="188" customFormat="1">
      <c r="A2279" s="185" t="s">
        <v>1447</v>
      </c>
      <c r="B2279" s="133" t="s">
        <v>5574</v>
      </c>
      <c r="C2279" s="185" t="s">
        <v>3023</v>
      </c>
      <c r="D2279" s="133" t="s">
        <v>1668</v>
      </c>
      <c r="E2279" s="134">
        <v>1</v>
      </c>
      <c r="F2279" s="135" t="s">
        <v>1449</v>
      </c>
      <c r="G2279" s="185" t="s">
        <v>15</v>
      </c>
      <c r="H2279" s="185" t="s">
        <v>15</v>
      </c>
      <c r="I2279" s="185" t="s">
        <v>15</v>
      </c>
      <c r="J2279" s="135" t="s">
        <v>1450</v>
      </c>
      <c r="K2279" s="186">
        <v>5232</v>
      </c>
      <c r="L2279" s="187" t="s">
        <v>173</v>
      </c>
      <c r="M2279" s="187" t="s">
        <v>175</v>
      </c>
    </row>
    <row r="2280" spans="1:13" s="188" customFormat="1">
      <c r="A2280" s="185" t="s">
        <v>1447</v>
      </c>
      <c r="B2280" s="133" t="s">
        <v>5575</v>
      </c>
      <c r="C2280" s="185" t="s">
        <v>3023</v>
      </c>
      <c r="D2280" s="133" t="s">
        <v>1668</v>
      </c>
      <c r="E2280" s="134">
        <v>1</v>
      </c>
      <c r="F2280" s="135" t="s">
        <v>1449</v>
      </c>
      <c r="G2280" s="185" t="s">
        <v>15</v>
      </c>
      <c r="H2280" s="185" t="s">
        <v>15</v>
      </c>
      <c r="I2280" s="185" t="s">
        <v>15</v>
      </c>
      <c r="J2280" s="135" t="s">
        <v>1450</v>
      </c>
      <c r="K2280" s="186">
        <v>3108</v>
      </c>
      <c r="L2280" s="187" t="s">
        <v>173</v>
      </c>
      <c r="M2280" s="187" t="s">
        <v>175</v>
      </c>
    </row>
    <row r="2281" spans="1:13" s="188" customFormat="1">
      <c r="A2281" s="185" t="s">
        <v>1447</v>
      </c>
      <c r="B2281" s="133" t="s">
        <v>5576</v>
      </c>
      <c r="C2281" s="185" t="s">
        <v>3023</v>
      </c>
      <c r="D2281" s="133" t="s">
        <v>1668</v>
      </c>
      <c r="E2281" s="134">
        <v>1</v>
      </c>
      <c r="F2281" s="135" t="s">
        <v>1449</v>
      </c>
      <c r="G2281" s="185" t="s">
        <v>15</v>
      </c>
      <c r="H2281" s="185" t="s">
        <v>15</v>
      </c>
      <c r="I2281" s="185" t="s">
        <v>15</v>
      </c>
      <c r="J2281" s="135" t="s">
        <v>1450</v>
      </c>
      <c r="K2281" s="186">
        <v>2112</v>
      </c>
      <c r="L2281" s="187" t="s">
        <v>173</v>
      </c>
      <c r="M2281" s="187" t="s">
        <v>175</v>
      </c>
    </row>
    <row r="2282" spans="1:13" s="188" customFormat="1">
      <c r="A2282" s="185" t="s">
        <v>1447</v>
      </c>
      <c r="B2282" s="133" t="s">
        <v>5577</v>
      </c>
      <c r="C2282" s="185" t="s">
        <v>3023</v>
      </c>
      <c r="D2282" s="133" t="s">
        <v>1668</v>
      </c>
      <c r="E2282" s="134">
        <v>1</v>
      </c>
      <c r="F2282" s="135" t="s">
        <v>1449</v>
      </c>
      <c r="G2282" s="185" t="s">
        <v>15</v>
      </c>
      <c r="H2282" s="185" t="s">
        <v>15</v>
      </c>
      <c r="I2282" s="185" t="s">
        <v>15</v>
      </c>
      <c r="J2282" s="135" t="s">
        <v>1450</v>
      </c>
      <c r="K2282" s="186">
        <v>1872</v>
      </c>
      <c r="L2282" s="187" t="s">
        <v>173</v>
      </c>
      <c r="M2282" s="187" t="s">
        <v>175</v>
      </c>
    </row>
    <row r="2283" spans="1:13" s="188" customFormat="1">
      <c r="A2283" s="185" t="s">
        <v>1447</v>
      </c>
      <c r="B2283" s="133" t="s">
        <v>5578</v>
      </c>
      <c r="C2283" s="185" t="s">
        <v>3023</v>
      </c>
      <c r="D2283" s="133" t="s">
        <v>5579</v>
      </c>
      <c r="E2283" s="134">
        <v>1</v>
      </c>
      <c r="F2283" s="135" t="s">
        <v>1449</v>
      </c>
      <c r="G2283" s="185" t="s">
        <v>15</v>
      </c>
      <c r="H2283" s="185" t="s">
        <v>15</v>
      </c>
      <c r="I2283" s="185" t="s">
        <v>15</v>
      </c>
      <c r="J2283" s="135" t="s">
        <v>1450</v>
      </c>
      <c r="K2283" s="186">
        <v>6240</v>
      </c>
      <c r="L2283" s="187" t="s">
        <v>173</v>
      </c>
      <c r="M2283" s="187" t="s">
        <v>175</v>
      </c>
    </row>
    <row r="2284" spans="1:13" s="188" customFormat="1">
      <c r="A2284" s="185" t="s">
        <v>1447</v>
      </c>
      <c r="B2284" s="133" t="s">
        <v>5580</v>
      </c>
      <c r="C2284" s="185" t="s">
        <v>3023</v>
      </c>
      <c r="D2284" s="133" t="s">
        <v>5579</v>
      </c>
      <c r="E2284" s="134">
        <v>1</v>
      </c>
      <c r="F2284" s="135" t="s">
        <v>1449</v>
      </c>
      <c r="G2284" s="185" t="s">
        <v>15</v>
      </c>
      <c r="H2284" s="185" t="s">
        <v>15</v>
      </c>
      <c r="I2284" s="185" t="s">
        <v>15</v>
      </c>
      <c r="J2284" s="135" t="s">
        <v>1450</v>
      </c>
      <c r="K2284" s="186">
        <v>5040</v>
      </c>
      <c r="L2284" s="187" t="s">
        <v>173</v>
      </c>
      <c r="M2284" s="187" t="s">
        <v>175</v>
      </c>
    </row>
    <row r="2285" spans="1:13" s="188" customFormat="1">
      <c r="A2285" s="185" t="s">
        <v>1447</v>
      </c>
      <c r="B2285" s="133" t="s">
        <v>5581</v>
      </c>
      <c r="C2285" s="185" t="s">
        <v>3023</v>
      </c>
      <c r="D2285" s="133" t="s">
        <v>5579</v>
      </c>
      <c r="E2285" s="134">
        <v>1</v>
      </c>
      <c r="F2285" s="135" t="s">
        <v>1449</v>
      </c>
      <c r="G2285" s="185" t="s">
        <v>15</v>
      </c>
      <c r="H2285" s="185" t="s">
        <v>15</v>
      </c>
      <c r="I2285" s="185" t="s">
        <v>15</v>
      </c>
      <c r="J2285" s="135" t="s">
        <v>1450</v>
      </c>
      <c r="K2285" s="186">
        <v>3720</v>
      </c>
      <c r="L2285" s="187" t="s">
        <v>173</v>
      </c>
      <c r="M2285" s="187" t="s">
        <v>175</v>
      </c>
    </row>
    <row r="2286" spans="1:13" s="188" customFormat="1">
      <c r="A2286" s="185" t="s">
        <v>1447</v>
      </c>
      <c r="B2286" s="133" t="s">
        <v>5582</v>
      </c>
      <c r="C2286" s="185" t="s">
        <v>3023</v>
      </c>
      <c r="D2286" s="133" t="s">
        <v>5579</v>
      </c>
      <c r="E2286" s="134">
        <v>1</v>
      </c>
      <c r="F2286" s="135" t="s">
        <v>1449</v>
      </c>
      <c r="G2286" s="185" t="s">
        <v>15</v>
      </c>
      <c r="H2286" s="185" t="s">
        <v>15</v>
      </c>
      <c r="I2286" s="185" t="s">
        <v>15</v>
      </c>
      <c r="J2286" s="135" t="s">
        <v>1450</v>
      </c>
      <c r="K2286" s="186">
        <v>2520</v>
      </c>
      <c r="L2286" s="187" t="s">
        <v>173</v>
      </c>
      <c r="M2286" s="187" t="s">
        <v>175</v>
      </c>
    </row>
    <row r="2287" spans="1:13" s="188" customFormat="1">
      <c r="A2287" s="185" t="s">
        <v>1447</v>
      </c>
      <c r="B2287" s="133" t="s">
        <v>5583</v>
      </c>
      <c r="C2287" s="185" t="s">
        <v>3023</v>
      </c>
      <c r="D2287" s="133" t="s">
        <v>5579</v>
      </c>
      <c r="E2287" s="134">
        <v>1</v>
      </c>
      <c r="F2287" s="135" t="s">
        <v>1449</v>
      </c>
      <c r="G2287" s="185" t="s">
        <v>15</v>
      </c>
      <c r="H2287" s="185" t="s">
        <v>15</v>
      </c>
      <c r="I2287" s="185" t="s">
        <v>15</v>
      </c>
      <c r="J2287" s="135" t="s">
        <v>1450</v>
      </c>
      <c r="K2287" s="186">
        <v>1260</v>
      </c>
      <c r="L2287" s="187" t="s">
        <v>173</v>
      </c>
      <c r="M2287" s="187" t="s">
        <v>175</v>
      </c>
    </row>
    <row r="2288" spans="1:13" s="188" customFormat="1">
      <c r="A2288" s="185" t="s">
        <v>1447</v>
      </c>
      <c r="B2288" s="133" t="s">
        <v>5584</v>
      </c>
      <c r="C2288" s="185" t="s">
        <v>3023</v>
      </c>
      <c r="D2288" s="133" t="s">
        <v>5585</v>
      </c>
      <c r="E2288" s="134">
        <v>1</v>
      </c>
      <c r="F2288" s="135" t="s">
        <v>1449</v>
      </c>
      <c r="G2288" s="185" t="s">
        <v>15</v>
      </c>
      <c r="H2288" s="185" t="s">
        <v>15</v>
      </c>
      <c r="I2288" s="185" t="s">
        <v>15</v>
      </c>
      <c r="J2288" s="135" t="s">
        <v>1450</v>
      </c>
      <c r="K2288" s="186">
        <v>194700</v>
      </c>
      <c r="L2288" s="187" t="s">
        <v>173</v>
      </c>
      <c r="M2288" s="187" t="s">
        <v>175</v>
      </c>
    </row>
    <row r="2289" spans="1:13" s="188" customFormat="1">
      <c r="A2289" s="185" t="s">
        <v>1447</v>
      </c>
      <c r="B2289" s="133" t="s">
        <v>5586</v>
      </c>
      <c r="C2289" s="185" t="s">
        <v>3023</v>
      </c>
      <c r="D2289" s="133" t="s">
        <v>5587</v>
      </c>
      <c r="E2289" s="134">
        <v>1</v>
      </c>
      <c r="F2289" s="135" t="s">
        <v>1449</v>
      </c>
      <c r="G2289" s="185" t="s">
        <v>15</v>
      </c>
      <c r="H2289" s="185" t="s">
        <v>15</v>
      </c>
      <c r="I2289" s="185" t="s">
        <v>15</v>
      </c>
      <c r="J2289" s="135" t="s">
        <v>1450</v>
      </c>
      <c r="K2289" s="186">
        <v>502380</v>
      </c>
      <c r="L2289" s="187" t="s">
        <v>173</v>
      </c>
      <c r="M2289" s="187" t="s">
        <v>175</v>
      </c>
    </row>
    <row r="2290" spans="1:13" s="188" customFormat="1">
      <c r="A2290" s="185" t="s">
        <v>1447</v>
      </c>
      <c r="B2290" s="133" t="s">
        <v>5588</v>
      </c>
      <c r="C2290" s="185" t="s">
        <v>3023</v>
      </c>
      <c r="D2290" s="133" t="s">
        <v>5589</v>
      </c>
      <c r="E2290" s="134">
        <v>1</v>
      </c>
      <c r="F2290" s="135" t="s">
        <v>1449</v>
      </c>
      <c r="G2290" s="185" t="s">
        <v>15</v>
      </c>
      <c r="H2290" s="185" t="s">
        <v>15</v>
      </c>
      <c r="I2290" s="185" t="s">
        <v>15</v>
      </c>
      <c r="J2290" s="135" t="s">
        <v>1450</v>
      </c>
      <c r="K2290" s="186">
        <v>112992</v>
      </c>
      <c r="L2290" s="187" t="s">
        <v>173</v>
      </c>
      <c r="M2290" s="187" t="s">
        <v>175</v>
      </c>
    </row>
    <row r="2291" spans="1:13" s="188" customFormat="1">
      <c r="A2291" s="185" t="s">
        <v>1447</v>
      </c>
      <c r="B2291" s="133" t="s">
        <v>5590</v>
      </c>
      <c r="C2291" s="185" t="s">
        <v>3023</v>
      </c>
      <c r="D2291" s="133" t="s">
        <v>5591</v>
      </c>
      <c r="E2291" s="134">
        <v>1</v>
      </c>
      <c r="F2291" s="135" t="s">
        <v>1449</v>
      </c>
      <c r="G2291" s="185" t="s">
        <v>15</v>
      </c>
      <c r="H2291" s="185" t="s">
        <v>15</v>
      </c>
      <c r="I2291" s="185" t="s">
        <v>15</v>
      </c>
      <c r="J2291" s="135" t="s">
        <v>1450</v>
      </c>
      <c r="K2291" s="186">
        <v>157908</v>
      </c>
      <c r="L2291" s="187" t="s">
        <v>173</v>
      </c>
      <c r="M2291" s="187" t="s">
        <v>175</v>
      </c>
    </row>
    <row r="2292" spans="1:13" s="188" customFormat="1">
      <c r="A2292" s="185" t="s">
        <v>1447</v>
      </c>
      <c r="B2292" s="133" t="s">
        <v>5592</v>
      </c>
      <c r="C2292" s="185" t="s">
        <v>3023</v>
      </c>
      <c r="D2292" s="133" t="s">
        <v>5593</v>
      </c>
      <c r="E2292" s="134">
        <v>1</v>
      </c>
      <c r="F2292" s="135" t="s">
        <v>1449</v>
      </c>
      <c r="G2292" s="185" t="s">
        <v>15</v>
      </c>
      <c r="H2292" s="185" t="s">
        <v>15</v>
      </c>
      <c r="I2292" s="185" t="s">
        <v>15</v>
      </c>
      <c r="J2292" s="135" t="s">
        <v>1450</v>
      </c>
      <c r="K2292" s="186">
        <v>177984</v>
      </c>
      <c r="L2292" s="187" t="s">
        <v>173</v>
      </c>
      <c r="M2292" s="187" t="s">
        <v>175</v>
      </c>
    </row>
    <row r="2293" spans="1:13" s="188" customFormat="1">
      <c r="A2293" s="185" t="s">
        <v>1447</v>
      </c>
      <c r="B2293" s="133" t="s">
        <v>5594</v>
      </c>
      <c r="C2293" s="185" t="s">
        <v>3023</v>
      </c>
      <c r="D2293" s="133" t="s">
        <v>5595</v>
      </c>
      <c r="E2293" s="134">
        <v>1</v>
      </c>
      <c r="F2293" s="135" t="s">
        <v>1449</v>
      </c>
      <c r="G2293" s="185" t="s">
        <v>15</v>
      </c>
      <c r="H2293" s="185" t="s">
        <v>15</v>
      </c>
      <c r="I2293" s="185" t="s">
        <v>15</v>
      </c>
      <c r="J2293" s="135" t="s">
        <v>1450</v>
      </c>
      <c r="K2293" s="186">
        <v>127596</v>
      </c>
      <c r="L2293" s="187" t="s">
        <v>173</v>
      </c>
      <c r="M2293" s="187" t="s">
        <v>175</v>
      </c>
    </row>
    <row r="2294" spans="1:13" s="188" customFormat="1">
      <c r="A2294" s="185" t="s">
        <v>1447</v>
      </c>
      <c r="B2294" s="133" t="s">
        <v>5596</v>
      </c>
      <c r="C2294" s="185" t="s">
        <v>3023</v>
      </c>
      <c r="D2294" s="133" t="s">
        <v>5597</v>
      </c>
      <c r="E2294" s="134">
        <v>1</v>
      </c>
      <c r="F2294" s="135" t="s">
        <v>1449</v>
      </c>
      <c r="G2294" s="185" t="s">
        <v>15</v>
      </c>
      <c r="H2294" s="185" t="s">
        <v>15</v>
      </c>
      <c r="I2294" s="185" t="s">
        <v>15</v>
      </c>
      <c r="J2294" s="135" t="s">
        <v>1450</v>
      </c>
      <c r="K2294" s="186">
        <v>191688</v>
      </c>
      <c r="L2294" s="187" t="s">
        <v>173</v>
      </c>
      <c r="M2294" s="187" t="s">
        <v>175</v>
      </c>
    </row>
    <row r="2295" spans="1:13" s="188" customFormat="1">
      <c r="A2295" s="185" t="s">
        <v>1447</v>
      </c>
      <c r="B2295" s="133" t="s">
        <v>5598</v>
      </c>
      <c r="C2295" s="185" t="s">
        <v>3023</v>
      </c>
      <c r="D2295" s="133" t="s">
        <v>5599</v>
      </c>
      <c r="E2295" s="134">
        <v>1</v>
      </c>
      <c r="F2295" s="135" t="s">
        <v>1449</v>
      </c>
      <c r="G2295" s="185" t="s">
        <v>15</v>
      </c>
      <c r="H2295" s="185" t="s">
        <v>15</v>
      </c>
      <c r="I2295" s="185" t="s">
        <v>15</v>
      </c>
      <c r="J2295" s="135" t="s">
        <v>1450</v>
      </c>
      <c r="K2295" s="186">
        <v>232524</v>
      </c>
      <c r="L2295" s="187" t="s">
        <v>173</v>
      </c>
      <c r="M2295" s="187" t="s">
        <v>175</v>
      </c>
    </row>
    <row r="2296" spans="1:13" s="188" customFormat="1">
      <c r="A2296" s="185" t="s">
        <v>1447</v>
      </c>
      <c r="B2296" s="133" t="s">
        <v>5600</v>
      </c>
      <c r="C2296" s="185" t="s">
        <v>3023</v>
      </c>
      <c r="D2296" s="133" t="s">
        <v>5601</v>
      </c>
      <c r="E2296" s="134">
        <v>1</v>
      </c>
      <c r="F2296" s="135" t="s">
        <v>1449</v>
      </c>
      <c r="G2296" s="185" t="s">
        <v>15</v>
      </c>
      <c r="H2296" s="185" t="s">
        <v>15</v>
      </c>
      <c r="I2296" s="185" t="s">
        <v>15</v>
      </c>
      <c r="J2296" s="135" t="s">
        <v>1450</v>
      </c>
      <c r="K2296" s="186">
        <v>223596</v>
      </c>
      <c r="L2296" s="187" t="s">
        <v>173</v>
      </c>
      <c r="M2296" s="187" t="s">
        <v>175</v>
      </c>
    </row>
    <row r="2297" spans="1:13" s="188" customFormat="1">
      <c r="A2297" s="185" t="s">
        <v>1447</v>
      </c>
      <c r="B2297" s="133" t="s">
        <v>5602</v>
      </c>
      <c r="C2297" s="185" t="s">
        <v>3023</v>
      </c>
      <c r="D2297" s="133" t="s">
        <v>5603</v>
      </c>
      <c r="E2297" s="134">
        <v>1</v>
      </c>
      <c r="F2297" s="135" t="s">
        <v>1449</v>
      </c>
      <c r="G2297" s="185" t="s">
        <v>15</v>
      </c>
      <c r="H2297" s="185" t="s">
        <v>15</v>
      </c>
      <c r="I2297" s="185" t="s">
        <v>15</v>
      </c>
      <c r="J2297" s="135" t="s">
        <v>1450</v>
      </c>
      <c r="K2297" s="186">
        <v>277944</v>
      </c>
      <c r="L2297" s="187" t="s">
        <v>173</v>
      </c>
      <c r="M2297" s="187" t="s">
        <v>175</v>
      </c>
    </row>
    <row r="2298" spans="1:13" s="188" customFormat="1">
      <c r="A2298" s="185" t="s">
        <v>1447</v>
      </c>
      <c r="B2298" s="133" t="s">
        <v>5604</v>
      </c>
      <c r="C2298" s="185" t="s">
        <v>3023</v>
      </c>
      <c r="D2298" s="133" t="s">
        <v>5605</v>
      </c>
      <c r="E2298" s="134">
        <v>1</v>
      </c>
      <c r="F2298" s="135" t="s">
        <v>1449</v>
      </c>
      <c r="G2298" s="185" t="s">
        <v>15</v>
      </c>
      <c r="H2298" s="185" t="s">
        <v>15</v>
      </c>
      <c r="I2298" s="185" t="s">
        <v>15</v>
      </c>
      <c r="J2298" s="135" t="s">
        <v>1450</v>
      </c>
      <c r="K2298" s="186">
        <v>332544</v>
      </c>
      <c r="L2298" s="187" t="s">
        <v>173</v>
      </c>
      <c r="M2298" s="187" t="s">
        <v>175</v>
      </c>
    </row>
    <row r="2299" spans="1:13" s="188" customFormat="1">
      <c r="A2299" s="185" t="s">
        <v>1447</v>
      </c>
      <c r="B2299" s="133" t="s">
        <v>5606</v>
      </c>
      <c r="C2299" s="185" t="s">
        <v>3023</v>
      </c>
      <c r="D2299" s="133" t="s">
        <v>5607</v>
      </c>
      <c r="E2299" s="134">
        <v>1</v>
      </c>
      <c r="F2299" s="135" t="s">
        <v>1449</v>
      </c>
      <c r="G2299" s="185" t="s">
        <v>15</v>
      </c>
      <c r="H2299" s="185" t="s">
        <v>15</v>
      </c>
      <c r="I2299" s="185" t="s">
        <v>15</v>
      </c>
      <c r="J2299" s="135" t="s">
        <v>1450</v>
      </c>
      <c r="K2299" s="186">
        <v>347448</v>
      </c>
      <c r="L2299" s="187" t="s">
        <v>173</v>
      </c>
      <c r="M2299" s="187" t="s">
        <v>175</v>
      </c>
    </row>
    <row r="2300" spans="1:13" s="188" customFormat="1">
      <c r="A2300" s="185" t="s">
        <v>1447</v>
      </c>
      <c r="B2300" s="133" t="s">
        <v>5608</v>
      </c>
      <c r="C2300" s="185" t="s">
        <v>3023</v>
      </c>
      <c r="D2300" s="133" t="s">
        <v>1690</v>
      </c>
      <c r="E2300" s="134">
        <v>1</v>
      </c>
      <c r="F2300" s="135" t="s">
        <v>1449</v>
      </c>
      <c r="G2300" s="185" t="s">
        <v>15</v>
      </c>
      <c r="H2300" s="185" t="s">
        <v>15</v>
      </c>
      <c r="I2300" s="185" t="s">
        <v>15</v>
      </c>
      <c r="J2300" s="135" t="s">
        <v>1450</v>
      </c>
      <c r="K2300" s="186">
        <v>7476</v>
      </c>
      <c r="L2300" s="187" t="s">
        <v>173</v>
      </c>
      <c r="M2300" s="187" t="s">
        <v>175</v>
      </c>
    </row>
    <row r="2301" spans="1:13" s="188" customFormat="1">
      <c r="A2301" s="185" t="s">
        <v>1447</v>
      </c>
      <c r="B2301" s="133" t="s">
        <v>5609</v>
      </c>
      <c r="C2301" s="185" t="s">
        <v>3023</v>
      </c>
      <c r="D2301" s="133" t="s">
        <v>1691</v>
      </c>
      <c r="E2301" s="134">
        <v>1</v>
      </c>
      <c r="F2301" s="135" t="s">
        <v>1449</v>
      </c>
      <c r="G2301" s="185" t="s">
        <v>15</v>
      </c>
      <c r="H2301" s="185" t="s">
        <v>15</v>
      </c>
      <c r="I2301" s="185" t="s">
        <v>15</v>
      </c>
      <c r="J2301" s="135" t="s">
        <v>1450</v>
      </c>
      <c r="K2301" s="186">
        <v>50940</v>
      </c>
      <c r="L2301" s="187" t="s">
        <v>173</v>
      </c>
      <c r="M2301" s="187" t="s">
        <v>175</v>
      </c>
    </row>
    <row r="2302" spans="1:13" s="188" customFormat="1">
      <c r="A2302" s="185" t="s">
        <v>1447</v>
      </c>
      <c r="B2302" s="133" t="s">
        <v>5610</v>
      </c>
      <c r="C2302" s="185" t="s">
        <v>3023</v>
      </c>
      <c r="D2302" s="133" t="s">
        <v>1692</v>
      </c>
      <c r="E2302" s="134">
        <v>1</v>
      </c>
      <c r="F2302" s="135" t="s">
        <v>1449</v>
      </c>
      <c r="G2302" s="185" t="s">
        <v>15</v>
      </c>
      <c r="H2302" s="185" t="s">
        <v>15</v>
      </c>
      <c r="I2302" s="185" t="s">
        <v>15</v>
      </c>
      <c r="J2302" s="135" t="s">
        <v>1450</v>
      </c>
      <c r="K2302" s="186">
        <v>24996</v>
      </c>
      <c r="L2302" s="187" t="s">
        <v>173</v>
      </c>
      <c r="M2302" s="187" t="s">
        <v>175</v>
      </c>
    </row>
    <row r="2303" spans="1:13" s="188" customFormat="1">
      <c r="A2303" s="185" t="s">
        <v>1447</v>
      </c>
      <c r="B2303" s="133" t="s">
        <v>5611</v>
      </c>
      <c r="C2303" s="185" t="s">
        <v>3023</v>
      </c>
      <c r="D2303" s="133" t="s">
        <v>1693</v>
      </c>
      <c r="E2303" s="134">
        <v>1</v>
      </c>
      <c r="F2303" s="135" t="s">
        <v>1449</v>
      </c>
      <c r="G2303" s="185" t="s">
        <v>15</v>
      </c>
      <c r="H2303" s="185" t="s">
        <v>15</v>
      </c>
      <c r="I2303" s="185" t="s">
        <v>15</v>
      </c>
      <c r="J2303" s="135" t="s">
        <v>1450</v>
      </c>
      <c r="K2303" s="186">
        <v>40</v>
      </c>
      <c r="L2303" s="187" t="s">
        <v>173</v>
      </c>
      <c r="M2303" s="187" t="s">
        <v>175</v>
      </c>
    </row>
    <row r="2304" spans="1:13" s="188" customFormat="1">
      <c r="A2304" s="185" t="s">
        <v>1447</v>
      </c>
      <c r="B2304" s="133" t="s">
        <v>5612</v>
      </c>
      <c r="C2304" s="185" t="s">
        <v>3023</v>
      </c>
      <c r="D2304" s="133" t="s">
        <v>1694</v>
      </c>
      <c r="E2304" s="134">
        <v>1</v>
      </c>
      <c r="F2304" s="135" t="s">
        <v>1449</v>
      </c>
      <c r="G2304" s="185" t="s">
        <v>15</v>
      </c>
      <c r="H2304" s="185" t="s">
        <v>15</v>
      </c>
      <c r="I2304" s="185" t="s">
        <v>15</v>
      </c>
      <c r="J2304" s="135" t="s">
        <v>1450</v>
      </c>
      <c r="K2304" s="186">
        <v>0.85</v>
      </c>
      <c r="L2304" s="187" t="s">
        <v>173</v>
      </c>
      <c r="M2304" s="187" t="s">
        <v>175</v>
      </c>
    </row>
    <row r="2305" spans="1:13" s="188" customFormat="1">
      <c r="A2305" s="185" t="s">
        <v>1447</v>
      </c>
      <c r="B2305" s="133" t="s">
        <v>5613</v>
      </c>
      <c r="C2305" s="185" t="s">
        <v>3023</v>
      </c>
      <c r="D2305" s="133" t="s">
        <v>1694</v>
      </c>
      <c r="E2305" s="134">
        <v>1</v>
      </c>
      <c r="F2305" s="135" t="s">
        <v>1449</v>
      </c>
      <c r="G2305" s="185" t="s">
        <v>15</v>
      </c>
      <c r="H2305" s="185" t="s">
        <v>15</v>
      </c>
      <c r="I2305" s="185" t="s">
        <v>15</v>
      </c>
      <c r="J2305" s="135" t="s">
        <v>1450</v>
      </c>
      <c r="K2305" s="186">
        <v>0.82499999999999996</v>
      </c>
      <c r="L2305" s="187" t="s">
        <v>173</v>
      </c>
      <c r="M2305" s="187" t="s">
        <v>175</v>
      </c>
    </row>
    <row r="2306" spans="1:13" s="188" customFormat="1">
      <c r="A2306" s="185" t="s">
        <v>1447</v>
      </c>
      <c r="B2306" s="133" t="s">
        <v>5614</v>
      </c>
      <c r="C2306" s="185" t="s">
        <v>3023</v>
      </c>
      <c r="D2306" s="133" t="s">
        <v>1694</v>
      </c>
      <c r="E2306" s="134">
        <v>1</v>
      </c>
      <c r="F2306" s="135" t="s">
        <v>1449</v>
      </c>
      <c r="G2306" s="185" t="s">
        <v>15</v>
      </c>
      <c r="H2306" s="185" t="s">
        <v>15</v>
      </c>
      <c r="I2306" s="185" t="s">
        <v>15</v>
      </c>
      <c r="J2306" s="135" t="s">
        <v>1450</v>
      </c>
      <c r="K2306" s="186">
        <v>0.8</v>
      </c>
      <c r="L2306" s="187" t="s">
        <v>173</v>
      </c>
      <c r="M2306" s="187" t="s">
        <v>175</v>
      </c>
    </row>
    <row r="2307" spans="1:13" s="188" customFormat="1">
      <c r="A2307" s="185" t="s">
        <v>1447</v>
      </c>
      <c r="B2307" s="133" t="s">
        <v>5615</v>
      </c>
      <c r="C2307" s="185" t="s">
        <v>3023</v>
      </c>
      <c r="D2307" s="133" t="s">
        <v>1694</v>
      </c>
      <c r="E2307" s="134">
        <v>1</v>
      </c>
      <c r="F2307" s="135" t="s">
        <v>1449</v>
      </c>
      <c r="G2307" s="185" t="s">
        <v>15</v>
      </c>
      <c r="H2307" s="185" t="s">
        <v>15</v>
      </c>
      <c r="I2307" s="185" t="s">
        <v>15</v>
      </c>
      <c r="J2307" s="135" t="s">
        <v>1450</v>
      </c>
      <c r="K2307" s="186">
        <v>0.77500000000000002</v>
      </c>
      <c r="L2307" s="187" t="s">
        <v>173</v>
      </c>
      <c r="M2307" s="187" t="s">
        <v>175</v>
      </c>
    </row>
    <row r="2308" spans="1:13" s="188" customFormat="1">
      <c r="A2308" s="185" t="s">
        <v>1447</v>
      </c>
      <c r="B2308" s="133" t="s">
        <v>5616</v>
      </c>
      <c r="C2308" s="185" t="s">
        <v>3023</v>
      </c>
      <c r="D2308" s="133" t="s">
        <v>1694</v>
      </c>
      <c r="E2308" s="134">
        <v>1</v>
      </c>
      <c r="F2308" s="135" t="s">
        <v>1449</v>
      </c>
      <c r="G2308" s="185" t="s">
        <v>15</v>
      </c>
      <c r="H2308" s="185" t="s">
        <v>15</v>
      </c>
      <c r="I2308" s="185" t="s">
        <v>15</v>
      </c>
      <c r="J2308" s="135" t="s">
        <v>1450</v>
      </c>
      <c r="K2308" s="186">
        <v>0.75</v>
      </c>
      <c r="L2308" s="187" t="s">
        <v>173</v>
      </c>
      <c r="M2308" s="187" t="s">
        <v>175</v>
      </c>
    </row>
    <row r="2309" spans="1:13" s="188" customFormat="1">
      <c r="A2309" s="185" t="s">
        <v>1447</v>
      </c>
      <c r="B2309" s="133" t="s">
        <v>5617</v>
      </c>
      <c r="C2309" s="185" t="s">
        <v>3023</v>
      </c>
      <c r="D2309" s="133" t="s">
        <v>1694</v>
      </c>
      <c r="E2309" s="134">
        <v>1</v>
      </c>
      <c r="F2309" s="135" t="s">
        <v>1449</v>
      </c>
      <c r="G2309" s="185" t="s">
        <v>15</v>
      </c>
      <c r="H2309" s="185" t="s">
        <v>15</v>
      </c>
      <c r="I2309" s="185" t="s">
        <v>15</v>
      </c>
      <c r="J2309" s="135" t="s">
        <v>1450</v>
      </c>
      <c r="K2309" s="186">
        <v>0.72499999999999998</v>
      </c>
      <c r="L2309" s="187" t="s">
        <v>173</v>
      </c>
      <c r="M2309" s="187" t="s">
        <v>175</v>
      </c>
    </row>
    <row r="2310" spans="1:13" s="188" customFormat="1">
      <c r="A2310" s="185" t="s">
        <v>1447</v>
      </c>
      <c r="B2310" s="133" t="s">
        <v>5618</v>
      </c>
      <c r="C2310" s="185" t="s">
        <v>3023</v>
      </c>
      <c r="D2310" s="133" t="s">
        <v>1695</v>
      </c>
      <c r="E2310" s="134">
        <v>1</v>
      </c>
      <c r="F2310" s="135" t="s">
        <v>1449</v>
      </c>
      <c r="G2310" s="185" t="s">
        <v>15</v>
      </c>
      <c r="H2310" s="185" t="s">
        <v>15</v>
      </c>
      <c r="I2310" s="185" t="s">
        <v>15</v>
      </c>
      <c r="J2310" s="135" t="s">
        <v>1450</v>
      </c>
      <c r="K2310" s="186">
        <v>0.5</v>
      </c>
      <c r="L2310" s="187" t="s">
        <v>173</v>
      </c>
      <c r="M2310" s="187" t="s">
        <v>175</v>
      </c>
    </row>
    <row r="2311" spans="1:13" s="188" customFormat="1">
      <c r="A2311" s="185" t="s">
        <v>1447</v>
      </c>
      <c r="B2311" s="136" t="s">
        <v>5619</v>
      </c>
      <c r="C2311" s="185" t="s">
        <v>3023</v>
      </c>
      <c r="D2311" s="133" t="s">
        <v>1695</v>
      </c>
      <c r="E2311" s="134">
        <v>1</v>
      </c>
      <c r="F2311" s="135" t="s">
        <v>1449</v>
      </c>
      <c r="G2311" s="185" t="s">
        <v>15</v>
      </c>
      <c r="H2311" s="185" t="s">
        <v>15</v>
      </c>
      <c r="I2311" s="185" t="s">
        <v>15</v>
      </c>
      <c r="J2311" s="135" t="s">
        <v>1450</v>
      </c>
      <c r="K2311" s="186">
        <v>0.49</v>
      </c>
      <c r="L2311" s="187" t="s">
        <v>173</v>
      </c>
      <c r="M2311" s="187" t="s">
        <v>175</v>
      </c>
    </row>
    <row r="2312" spans="1:13" s="188" customFormat="1">
      <c r="A2312" s="185" t="s">
        <v>1447</v>
      </c>
      <c r="B2312" s="136" t="s">
        <v>5620</v>
      </c>
      <c r="C2312" s="185" t="s">
        <v>3023</v>
      </c>
      <c r="D2312" s="133" t="s">
        <v>1695</v>
      </c>
      <c r="E2312" s="134">
        <v>1</v>
      </c>
      <c r="F2312" s="135" t="s">
        <v>1449</v>
      </c>
      <c r="G2312" s="185" t="s">
        <v>15</v>
      </c>
      <c r="H2312" s="185" t="s">
        <v>15</v>
      </c>
      <c r="I2312" s="185" t="s">
        <v>15</v>
      </c>
      <c r="J2312" s="135" t="s">
        <v>1450</v>
      </c>
      <c r="K2312" s="186">
        <v>0.48</v>
      </c>
      <c r="L2312" s="187" t="s">
        <v>173</v>
      </c>
      <c r="M2312" s="187" t="s">
        <v>175</v>
      </c>
    </row>
    <row r="2313" spans="1:13" s="188" customFormat="1">
      <c r="A2313" s="185" t="s">
        <v>1447</v>
      </c>
      <c r="B2313" s="136" t="s">
        <v>5621</v>
      </c>
      <c r="C2313" s="185" t="s">
        <v>3023</v>
      </c>
      <c r="D2313" s="133" t="s">
        <v>1695</v>
      </c>
      <c r="E2313" s="134">
        <v>1</v>
      </c>
      <c r="F2313" s="135" t="s">
        <v>1449</v>
      </c>
      <c r="G2313" s="185" t="s">
        <v>15</v>
      </c>
      <c r="H2313" s="185" t="s">
        <v>15</v>
      </c>
      <c r="I2313" s="185" t="s">
        <v>15</v>
      </c>
      <c r="J2313" s="135" t="s">
        <v>1450</v>
      </c>
      <c r="K2313" s="186">
        <v>0.47</v>
      </c>
      <c r="L2313" s="187" t="s">
        <v>173</v>
      </c>
      <c r="M2313" s="187" t="s">
        <v>175</v>
      </c>
    </row>
    <row r="2314" spans="1:13" s="188" customFormat="1">
      <c r="A2314" s="185" t="s">
        <v>1447</v>
      </c>
      <c r="B2314" s="136" t="s">
        <v>5622</v>
      </c>
      <c r="C2314" s="185" t="s">
        <v>3023</v>
      </c>
      <c r="D2314" s="133" t="s">
        <v>1695</v>
      </c>
      <c r="E2314" s="134">
        <v>1</v>
      </c>
      <c r="F2314" s="135" t="s">
        <v>1449</v>
      </c>
      <c r="G2314" s="185" t="s">
        <v>15</v>
      </c>
      <c r="H2314" s="185" t="s">
        <v>15</v>
      </c>
      <c r="I2314" s="185" t="s">
        <v>15</v>
      </c>
      <c r="J2314" s="135" t="s">
        <v>1450</v>
      </c>
      <c r="K2314" s="186">
        <v>0.46</v>
      </c>
      <c r="L2314" s="187" t="s">
        <v>173</v>
      </c>
      <c r="M2314" s="187" t="s">
        <v>175</v>
      </c>
    </row>
    <row r="2315" spans="1:13" s="188" customFormat="1">
      <c r="A2315" s="185" t="s">
        <v>1447</v>
      </c>
      <c r="B2315" s="136" t="s">
        <v>5623</v>
      </c>
      <c r="C2315" s="185" t="s">
        <v>3023</v>
      </c>
      <c r="D2315" s="133" t="s">
        <v>1695</v>
      </c>
      <c r="E2315" s="134">
        <v>1</v>
      </c>
      <c r="F2315" s="135" t="s">
        <v>1449</v>
      </c>
      <c r="G2315" s="185" t="s">
        <v>15</v>
      </c>
      <c r="H2315" s="185" t="s">
        <v>15</v>
      </c>
      <c r="I2315" s="185" t="s">
        <v>15</v>
      </c>
      <c r="J2315" s="135" t="s">
        <v>1450</v>
      </c>
      <c r="K2315" s="186">
        <v>0.45</v>
      </c>
      <c r="L2315" s="187" t="s">
        <v>173</v>
      </c>
      <c r="M2315" s="187" t="s">
        <v>175</v>
      </c>
    </row>
    <row r="2316" spans="1:13" s="188" customFormat="1">
      <c r="A2316" s="185" t="s">
        <v>1447</v>
      </c>
      <c r="B2316" s="133" t="s">
        <v>5624</v>
      </c>
      <c r="C2316" s="185" t="s">
        <v>3023</v>
      </c>
      <c r="D2316" s="133" t="s">
        <v>5625</v>
      </c>
      <c r="E2316" s="134">
        <v>1</v>
      </c>
      <c r="F2316" s="135" t="s">
        <v>1449</v>
      </c>
      <c r="G2316" s="185" t="s">
        <v>15</v>
      </c>
      <c r="H2316" s="185" t="s">
        <v>15</v>
      </c>
      <c r="I2316" s="185" t="s">
        <v>15</v>
      </c>
      <c r="J2316" s="135" t="s">
        <v>1450</v>
      </c>
      <c r="K2316" s="186">
        <v>2520</v>
      </c>
      <c r="L2316" s="187" t="s">
        <v>173</v>
      </c>
      <c r="M2316" s="187" t="s">
        <v>175</v>
      </c>
    </row>
    <row r="2317" spans="1:13" s="188" customFormat="1">
      <c r="A2317" s="185" t="s">
        <v>1447</v>
      </c>
      <c r="B2317" s="133" t="s">
        <v>5626</v>
      </c>
      <c r="C2317" s="185" t="s">
        <v>3023</v>
      </c>
      <c r="D2317" s="133" t="s">
        <v>1697</v>
      </c>
      <c r="E2317" s="134">
        <v>1</v>
      </c>
      <c r="F2317" s="135" t="s">
        <v>1449</v>
      </c>
      <c r="G2317" s="185" t="s">
        <v>15</v>
      </c>
      <c r="H2317" s="185" t="s">
        <v>15</v>
      </c>
      <c r="I2317" s="185" t="s">
        <v>15</v>
      </c>
      <c r="J2317" s="135" t="s">
        <v>1450</v>
      </c>
      <c r="K2317" s="186">
        <v>8400</v>
      </c>
      <c r="L2317" s="187" t="s">
        <v>173</v>
      </c>
      <c r="M2317" s="187" t="s">
        <v>175</v>
      </c>
    </row>
    <row r="2318" spans="1:13" s="188" customFormat="1">
      <c r="A2318" s="185" t="s">
        <v>1447</v>
      </c>
      <c r="B2318" s="133" t="s">
        <v>5627</v>
      </c>
      <c r="C2318" s="185" t="s">
        <v>3023</v>
      </c>
      <c r="D2318" s="133" t="s">
        <v>1697</v>
      </c>
      <c r="E2318" s="134">
        <v>1</v>
      </c>
      <c r="F2318" s="135" t="s">
        <v>1449</v>
      </c>
      <c r="G2318" s="185" t="s">
        <v>15</v>
      </c>
      <c r="H2318" s="185" t="s">
        <v>15</v>
      </c>
      <c r="I2318" s="185" t="s">
        <v>15</v>
      </c>
      <c r="J2318" s="135" t="s">
        <v>1450</v>
      </c>
      <c r="K2318" s="186">
        <v>5160</v>
      </c>
      <c r="L2318" s="187" t="s">
        <v>173</v>
      </c>
      <c r="M2318" s="187" t="s">
        <v>175</v>
      </c>
    </row>
    <row r="2319" spans="1:13" s="188" customFormat="1">
      <c r="A2319" s="185" t="s">
        <v>1447</v>
      </c>
      <c r="B2319" s="133" t="s">
        <v>5628</v>
      </c>
      <c r="C2319" s="185" t="s">
        <v>3023</v>
      </c>
      <c r="D2319" s="133" t="s">
        <v>1697</v>
      </c>
      <c r="E2319" s="134">
        <v>1</v>
      </c>
      <c r="F2319" s="135" t="s">
        <v>1449</v>
      </c>
      <c r="G2319" s="185" t="s">
        <v>15</v>
      </c>
      <c r="H2319" s="185" t="s">
        <v>15</v>
      </c>
      <c r="I2319" s="185" t="s">
        <v>15</v>
      </c>
      <c r="J2319" s="135" t="s">
        <v>1450</v>
      </c>
      <c r="K2319" s="186">
        <v>3240</v>
      </c>
      <c r="L2319" s="187" t="s">
        <v>173</v>
      </c>
      <c r="M2319" s="187" t="s">
        <v>175</v>
      </c>
    </row>
    <row r="2320" spans="1:13" s="188" customFormat="1">
      <c r="A2320" s="185" t="s">
        <v>1447</v>
      </c>
      <c r="B2320" s="133" t="s">
        <v>5629</v>
      </c>
      <c r="C2320" s="185" t="s">
        <v>3023</v>
      </c>
      <c r="D2320" s="133" t="s">
        <v>1697</v>
      </c>
      <c r="E2320" s="134">
        <v>1</v>
      </c>
      <c r="F2320" s="135" t="s">
        <v>1449</v>
      </c>
      <c r="G2320" s="185" t="s">
        <v>15</v>
      </c>
      <c r="H2320" s="185" t="s">
        <v>15</v>
      </c>
      <c r="I2320" s="185" t="s">
        <v>15</v>
      </c>
      <c r="J2320" s="135" t="s">
        <v>1450</v>
      </c>
      <c r="K2320" s="186">
        <v>3000</v>
      </c>
      <c r="L2320" s="187" t="s">
        <v>173</v>
      </c>
      <c r="M2320" s="187" t="s">
        <v>175</v>
      </c>
    </row>
    <row r="2321" spans="1:13" s="188" customFormat="1">
      <c r="A2321" s="185" t="s">
        <v>1447</v>
      </c>
      <c r="B2321" s="133" t="s">
        <v>5630</v>
      </c>
      <c r="C2321" s="185" t="s">
        <v>3023</v>
      </c>
      <c r="D2321" s="133" t="s">
        <v>1697</v>
      </c>
      <c r="E2321" s="134">
        <v>1</v>
      </c>
      <c r="F2321" s="135" t="s">
        <v>1449</v>
      </c>
      <c r="G2321" s="185" t="s">
        <v>15</v>
      </c>
      <c r="H2321" s="185" t="s">
        <v>15</v>
      </c>
      <c r="I2321" s="185" t="s">
        <v>15</v>
      </c>
      <c r="J2321" s="135" t="s">
        <v>1450</v>
      </c>
      <c r="K2321" s="186">
        <v>2760</v>
      </c>
      <c r="L2321" s="187" t="s">
        <v>173</v>
      </c>
      <c r="M2321" s="187" t="s">
        <v>175</v>
      </c>
    </row>
    <row r="2322" spans="1:13" s="188" customFormat="1">
      <c r="A2322" s="185" t="s">
        <v>1447</v>
      </c>
      <c r="B2322" s="133" t="s">
        <v>5631</v>
      </c>
      <c r="C2322" s="185" t="s">
        <v>3023</v>
      </c>
      <c r="D2322" s="133" t="s">
        <v>1698</v>
      </c>
      <c r="E2322" s="134">
        <v>1</v>
      </c>
      <c r="F2322" s="135" t="s">
        <v>1449</v>
      </c>
      <c r="G2322" s="185" t="s">
        <v>15</v>
      </c>
      <c r="H2322" s="185" t="s">
        <v>15</v>
      </c>
      <c r="I2322" s="185" t="s">
        <v>15</v>
      </c>
      <c r="J2322" s="135" t="s">
        <v>1450</v>
      </c>
      <c r="K2322" s="186">
        <v>6900</v>
      </c>
      <c r="L2322" s="187" t="s">
        <v>173</v>
      </c>
      <c r="M2322" s="187" t="s">
        <v>175</v>
      </c>
    </row>
    <row r="2323" spans="1:13" s="188" customFormat="1">
      <c r="A2323" s="185" t="s">
        <v>1447</v>
      </c>
      <c r="B2323" s="133" t="s">
        <v>5632</v>
      </c>
      <c r="C2323" s="185" t="s">
        <v>3023</v>
      </c>
      <c r="D2323" s="133" t="s">
        <v>1698</v>
      </c>
      <c r="E2323" s="134">
        <v>1</v>
      </c>
      <c r="F2323" s="135" t="s">
        <v>1449</v>
      </c>
      <c r="G2323" s="185" t="s">
        <v>15</v>
      </c>
      <c r="H2323" s="185" t="s">
        <v>15</v>
      </c>
      <c r="I2323" s="185" t="s">
        <v>15</v>
      </c>
      <c r="J2323" s="135" t="s">
        <v>1450</v>
      </c>
      <c r="K2323" s="186">
        <v>4800</v>
      </c>
      <c r="L2323" s="187" t="s">
        <v>173</v>
      </c>
      <c r="M2323" s="187" t="s">
        <v>175</v>
      </c>
    </row>
    <row r="2324" spans="1:13" s="188" customFormat="1">
      <c r="A2324" s="185" t="s">
        <v>1447</v>
      </c>
      <c r="B2324" s="133" t="s">
        <v>5633</v>
      </c>
      <c r="C2324" s="185" t="s">
        <v>3023</v>
      </c>
      <c r="D2324" s="133" t="s">
        <v>1698</v>
      </c>
      <c r="E2324" s="134">
        <v>1</v>
      </c>
      <c r="F2324" s="135" t="s">
        <v>1449</v>
      </c>
      <c r="G2324" s="185" t="s">
        <v>15</v>
      </c>
      <c r="H2324" s="185" t="s">
        <v>15</v>
      </c>
      <c r="I2324" s="185" t="s">
        <v>15</v>
      </c>
      <c r="J2324" s="135" t="s">
        <v>1450</v>
      </c>
      <c r="K2324" s="186">
        <v>3240</v>
      </c>
      <c r="L2324" s="187" t="s">
        <v>173</v>
      </c>
      <c r="M2324" s="187" t="s">
        <v>175</v>
      </c>
    </row>
    <row r="2325" spans="1:13" s="188" customFormat="1">
      <c r="A2325" s="185" t="s">
        <v>1447</v>
      </c>
      <c r="B2325" s="133" t="s">
        <v>5634</v>
      </c>
      <c r="C2325" s="185" t="s">
        <v>3023</v>
      </c>
      <c r="D2325" s="133" t="s">
        <v>1698</v>
      </c>
      <c r="E2325" s="134">
        <v>1</v>
      </c>
      <c r="F2325" s="135" t="s">
        <v>1449</v>
      </c>
      <c r="G2325" s="185" t="s">
        <v>15</v>
      </c>
      <c r="H2325" s="185" t="s">
        <v>15</v>
      </c>
      <c r="I2325" s="185" t="s">
        <v>15</v>
      </c>
      <c r="J2325" s="135" t="s">
        <v>1450</v>
      </c>
      <c r="K2325" s="186">
        <v>2400</v>
      </c>
      <c r="L2325" s="187" t="s">
        <v>173</v>
      </c>
      <c r="M2325" s="187" t="s">
        <v>175</v>
      </c>
    </row>
    <row r="2326" spans="1:13" s="188" customFormat="1">
      <c r="A2326" s="185" t="s">
        <v>1447</v>
      </c>
      <c r="B2326" s="133" t="s">
        <v>5635</v>
      </c>
      <c r="C2326" s="185" t="s">
        <v>3023</v>
      </c>
      <c r="D2326" s="133" t="s">
        <v>1698</v>
      </c>
      <c r="E2326" s="134">
        <v>1</v>
      </c>
      <c r="F2326" s="135" t="s">
        <v>1449</v>
      </c>
      <c r="G2326" s="185" t="s">
        <v>15</v>
      </c>
      <c r="H2326" s="185" t="s">
        <v>15</v>
      </c>
      <c r="I2326" s="185" t="s">
        <v>15</v>
      </c>
      <c r="J2326" s="135" t="s">
        <v>1450</v>
      </c>
      <c r="K2326" s="186">
        <v>2040</v>
      </c>
      <c r="L2326" s="187" t="s">
        <v>173</v>
      </c>
      <c r="M2326" s="187" t="s">
        <v>175</v>
      </c>
    </row>
    <row r="2327" spans="1:13" s="188" customFormat="1">
      <c r="A2327" s="185" t="s">
        <v>1447</v>
      </c>
      <c r="B2327" s="133" t="s">
        <v>5636</v>
      </c>
      <c r="C2327" s="185" t="s">
        <v>3023</v>
      </c>
      <c r="D2327" s="133" t="s">
        <v>1699</v>
      </c>
      <c r="E2327" s="134">
        <v>1</v>
      </c>
      <c r="F2327" s="135" t="s">
        <v>1449</v>
      </c>
      <c r="G2327" s="185" t="s">
        <v>15</v>
      </c>
      <c r="H2327" s="185" t="s">
        <v>15</v>
      </c>
      <c r="I2327" s="185" t="s">
        <v>15</v>
      </c>
      <c r="J2327" s="135" t="s">
        <v>1450</v>
      </c>
      <c r="K2327" s="186">
        <v>27456</v>
      </c>
      <c r="L2327" s="187" t="s">
        <v>173</v>
      </c>
      <c r="M2327" s="187" t="s">
        <v>175</v>
      </c>
    </row>
    <row r="2328" spans="1:13" s="188" customFormat="1">
      <c r="A2328" s="185" t="s">
        <v>1447</v>
      </c>
      <c r="B2328" s="133" t="s">
        <v>5637</v>
      </c>
      <c r="C2328" s="185" t="s">
        <v>3023</v>
      </c>
      <c r="D2328" s="133" t="s">
        <v>1699</v>
      </c>
      <c r="E2328" s="134">
        <v>1</v>
      </c>
      <c r="F2328" s="135" t="s">
        <v>1449</v>
      </c>
      <c r="G2328" s="185" t="s">
        <v>15</v>
      </c>
      <c r="H2328" s="185" t="s">
        <v>15</v>
      </c>
      <c r="I2328" s="185" t="s">
        <v>15</v>
      </c>
      <c r="J2328" s="135" t="s">
        <v>1450</v>
      </c>
      <c r="K2328" s="186">
        <v>18900</v>
      </c>
      <c r="L2328" s="187" t="s">
        <v>173</v>
      </c>
      <c r="M2328" s="187" t="s">
        <v>175</v>
      </c>
    </row>
    <row r="2329" spans="1:13" s="188" customFormat="1">
      <c r="A2329" s="185" t="s">
        <v>1447</v>
      </c>
      <c r="B2329" s="133" t="s">
        <v>5638</v>
      </c>
      <c r="C2329" s="185" t="s">
        <v>3023</v>
      </c>
      <c r="D2329" s="133" t="s">
        <v>1699</v>
      </c>
      <c r="E2329" s="134">
        <v>1</v>
      </c>
      <c r="F2329" s="135" t="s">
        <v>1449</v>
      </c>
      <c r="G2329" s="185" t="s">
        <v>15</v>
      </c>
      <c r="H2329" s="185" t="s">
        <v>15</v>
      </c>
      <c r="I2329" s="185" t="s">
        <v>15</v>
      </c>
      <c r="J2329" s="135" t="s">
        <v>1450</v>
      </c>
      <c r="K2329" s="186">
        <v>12156</v>
      </c>
      <c r="L2329" s="187" t="s">
        <v>173</v>
      </c>
      <c r="M2329" s="187" t="s">
        <v>175</v>
      </c>
    </row>
    <row r="2330" spans="1:13" s="188" customFormat="1">
      <c r="A2330" s="185" t="s">
        <v>1447</v>
      </c>
      <c r="B2330" s="133" t="s">
        <v>5639</v>
      </c>
      <c r="C2330" s="185" t="s">
        <v>3023</v>
      </c>
      <c r="D2330" s="133" t="s">
        <v>1699</v>
      </c>
      <c r="E2330" s="134">
        <v>1</v>
      </c>
      <c r="F2330" s="135" t="s">
        <v>1449</v>
      </c>
      <c r="G2330" s="185" t="s">
        <v>15</v>
      </c>
      <c r="H2330" s="185" t="s">
        <v>15</v>
      </c>
      <c r="I2330" s="185" t="s">
        <v>15</v>
      </c>
      <c r="J2330" s="135" t="s">
        <v>1450</v>
      </c>
      <c r="K2330" s="186">
        <v>10500</v>
      </c>
      <c r="L2330" s="187" t="s">
        <v>173</v>
      </c>
      <c r="M2330" s="187" t="s">
        <v>175</v>
      </c>
    </row>
    <row r="2331" spans="1:13" s="188" customFormat="1">
      <c r="A2331" s="185" t="s">
        <v>1447</v>
      </c>
      <c r="B2331" s="133" t="s">
        <v>5640</v>
      </c>
      <c r="C2331" s="185" t="s">
        <v>3023</v>
      </c>
      <c r="D2331" s="133" t="s">
        <v>1699</v>
      </c>
      <c r="E2331" s="134">
        <v>1</v>
      </c>
      <c r="F2331" s="135" t="s">
        <v>1449</v>
      </c>
      <c r="G2331" s="185" t="s">
        <v>15</v>
      </c>
      <c r="H2331" s="185" t="s">
        <v>15</v>
      </c>
      <c r="I2331" s="185" t="s">
        <v>15</v>
      </c>
      <c r="J2331" s="135" t="s">
        <v>1450</v>
      </c>
      <c r="K2331" s="186">
        <v>9456</v>
      </c>
      <c r="L2331" s="187" t="s">
        <v>173</v>
      </c>
      <c r="M2331" s="187" t="s">
        <v>175</v>
      </c>
    </row>
    <row r="2332" spans="1:13" s="188" customFormat="1">
      <c r="A2332" s="185" t="s">
        <v>1447</v>
      </c>
      <c r="B2332" s="133" t="s">
        <v>5641</v>
      </c>
      <c r="C2332" s="185" t="s">
        <v>3023</v>
      </c>
      <c r="D2332" s="133" t="s">
        <v>1700</v>
      </c>
      <c r="E2332" s="134">
        <v>1</v>
      </c>
      <c r="F2332" s="135" t="s">
        <v>1449</v>
      </c>
      <c r="G2332" s="185" t="s">
        <v>15</v>
      </c>
      <c r="H2332" s="185" t="s">
        <v>15</v>
      </c>
      <c r="I2332" s="185" t="s">
        <v>15</v>
      </c>
      <c r="J2332" s="135" t="s">
        <v>1450</v>
      </c>
      <c r="K2332" s="186">
        <v>1.2</v>
      </c>
      <c r="L2332" s="187" t="s">
        <v>173</v>
      </c>
      <c r="M2332" s="187" t="s">
        <v>175</v>
      </c>
    </row>
    <row r="2333" spans="1:13" s="188" customFormat="1">
      <c r="A2333" s="185" t="s">
        <v>1447</v>
      </c>
      <c r="B2333" s="133" t="s">
        <v>5642</v>
      </c>
      <c r="C2333" s="185" t="s">
        <v>3023</v>
      </c>
      <c r="D2333" s="133" t="s">
        <v>1700</v>
      </c>
      <c r="E2333" s="134">
        <v>1</v>
      </c>
      <c r="F2333" s="135" t="s">
        <v>1449</v>
      </c>
      <c r="G2333" s="185" t="s">
        <v>15</v>
      </c>
      <c r="H2333" s="185" t="s">
        <v>15</v>
      </c>
      <c r="I2333" s="185" t="s">
        <v>15</v>
      </c>
      <c r="J2333" s="135" t="s">
        <v>1450</v>
      </c>
      <c r="K2333" s="186">
        <v>0.95</v>
      </c>
      <c r="L2333" s="187" t="s">
        <v>173</v>
      </c>
      <c r="M2333" s="187" t="s">
        <v>175</v>
      </c>
    </row>
    <row r="2334" spans="1:13" s="188" customFormat="1">
      <c r="A2334" s="185" t="s">
        <v>1447</v>
      </c>
      <c r="B2334" s="133" t="s">
        <v>5643</v>
      </c>
      <c r="C2334" s="185" t="s">
        <v>3023</v>
      </c>
      <c r="D2334" s="133" t="s">
        <v>1700</v>
      </c>
      <c r="E2334" s="134">
        <v>1</v>
      </c>
      <c r="F2334" s="135" t="s">
        <v>1449</v>
      </c>
      <c r="G2334" s="185" t="s">
        <v>15</v>
      </c>
      <c r="H2334" s="185" t="s">
        <v>15</v>
      </c>
      <c r="I2334" s="185" t="s">
        <v>15</v>
      </c>
      <c r="J2334" s="135" t="s">
        <v>1450</v>
      </c>
      <c r="K2334" s="186">
        <v>0.7</v>
      </c>
      <c r="L2334" s="187" t="s">
        <v>173</v>
      </c>
      <c r="M2334" s="187" t="s">
        <v>175</v>
      </c>
    </row>
    <row r="2335" spans="1:13" s="188" customFormat="1">
      <c r="A2335" s="185" t="s">
        <v>1447</v>
      </c>
      <c r="B2335" s="133" t="s">
        <v>5644</v>
      </c>
      <c r="C2335" s="185" t="s">
        <v>3023</v>
      </c>
      <c r="D2335" s="133" t="s">
        <v>1700</v>
      </c>
      <c r="E2335" s="134">
        <v>1</v>
      </c>
      <c r="F2335" s="135" t="s">
        <v>1449</v>
      </c>
      <c r="G2335" s="185" t="s">
        <v>15</v>
      </c>
      <c r="H2335" s="185" t="s">
        <v>15</v>
      </c>
      <c r="I2335" s="185" t="s">
        <v>15</v>
      </c>
      <c r="J2335" s="135" t="s">
        <v>1450</v>
      </c>
      <c r="K2335" s="186">
        <v>0.5</v>
      </c>
      <c r="L2335" s="187" t="s">
        <v>173</v>
      </c>
      <c r="M2335" s="187" t="s">
        <v>175</v>
      </c>
    </row>
    <row r="2336" spans="1:13" s="188" customFormat="1">
      <c r="A2336" s="185" t="s">
        <v>1447</v>
      </c>
      <c r="B2336" s="133" t="s">
        <v>5645</v>
      </c>
      <c r="C2336" s="185" t="s">
        <v>3023</v>
      </c>
      <c r="D2336" s="133" t="s">
        <v>5646</v>
      </c>
      <c r="E2336" s="134">
        <v>1</v>
      </c>
      <c r="F2336" s="135" t="s">
        <v>1449</v>
      </c>
      <c r="G2336" s="185" t="s">
        <v>15</v>
      </c>
      <c r="H2336" s="185" t="s">
        <v>15</v>
      </c>
      <c r="I2336" s="185" t="s">
        <v>15</v>
      </c>
      <c r="J2336" s="135" t="s">
        <v>1450</v>
      </c>
      <c r="K2336" s="186">
        <v>750000</v>
      </c>
      <c r="L2336" s="187" t="s">
        <v>173</v>
      </c>
      <c r="M2336" s="187" t="s">
        <v>175</v>
      </c>
    </row>
    <row r="2337" spans="1:13" s="188" customFormat="1">
      <c r="A2337" s="185" t="s">
        <v>1447</v>
      </c>
      <c r="B2337" s="133" t="s">
        <v>5647</v>
      </c>
      <c r="C2337" s="185" t="s">
        <v>3023</v>
      </c>
      <c r="D2337" s="133" t="s">
        <v>1701</v>
      </c>
      <c r="E2337" s="134">
        <v>1</v>
      </c>
      <c r="F2337" s="135" t="s">
        <v>1449</v>
      </c>
      <c r="G2337" s="185" t="s">
        <v>15</v>
      </c>
      <c r="H2337" s="185" t="s">
        <v>15</v>
      </c>
      <c r="I2337" s="185" t="s">
        <v>15</v>
      </c>
      <c r="J2337" s="135" t="s">
        <v>1450</v>
      </c>
      <c r="K2337" s="186">
        <v>7764</v>
      </c>
      <c r="L2337" s="187" t="s">
        <v>173</v>
      </c>
      <c r="M2337" s="187" t="s">
        <v>175</v>
      </c>
    </row>
    <row r="2338" spans="1:13" s="188" customFormat="1">
      <c r="A2338" s="185" t="s">
        <v>1447</v>
      </c>
      <c r="B2338" s="133" t="s">
        <v>5648</v>
      </c>
      <c r="C2338" s="185" t="s">
        <v>3023</v>
      </c>
      <c r="D2338" s="133" t="s">
        <v>1701</v>
      </c>
      <c r="E2338" s="134">
        <v>1</v>
      </c>
      <c r="F2338" s="135" t="s">
        <v>1449</v>
      </c>
      <c r="G2338" s="185" t="s">
        <v>15</v>
      </c>
      <c r="H2338" s="185" t="s">
        <v>15</v>
      </c>
      <c r="I2338" s="185" t="s">
        <v>15</v>
      </c>
      <c r="J2338" s="135" t="s">
        <v>1450</v>
      </c>
      <c r="K2338" s="186">
        <v>5160</v>
      </c>
      <c r="L2338" s="187" t="s">
        <v>173</v>
      </c>
      <c r="M2338" s="187" t="s">
        <v>175</v>
      </c>
    </row>
    <row r="2339" spans="1:13" s="188" customFormat="1">
      <c r="A2339" s="185" t="s">
        <v>1447</v>
      </c>
      <c r="B2339" s="133" t="s">
        <v>5649</v>
      </c>
      <c r="C2339" s="185" t="s">
        <v>3023</v>
      </c>
      <c r="D2339" s="133" t="s">
        <v>1701</v>
      </c>
      <c r="E2339" s="134">
        <v>1</v>
      </c>
      <c r="F2339" s="135" t="s">
        <v>1449</v>
      </c>
      <c r="G2339" s="185" t="s">
        <v>15</v>
      </c>
      <c r="H2339" s="185" t="s">
        <v>15</v>
      </c>
      <c r="I2339" s="185" t="s">
        <v>15</v>
      </c>
      <c r="J2339" s="135" t="s">
        <v>1450</v>
      </c>
      <c r="K2339" s="186">
        <v>3240</v>
      </c>
      <c r="L2339" s="187" t="s">
        <v>173</v>
      </c>
      <c r="M2339" s="187" t="s">
        <v>175</v>
      </c>
    </row>
    <row r="2340" spans="1:13" s="188" customFormat="1">
      <c r="A2340" s="185" t="s">
        <v>1447</v>
      </c>
      <c r="B2340" s="133" t="s">
        <v>5650</v>
      </c>
      <c r="C2340" s="185" t="s">
        <v>3023</v>
      </c>
      <c r="D2340" s="133" t="s">
        <v>1701</v>
      </c>
      <c r="E2340" s="134">
        <v>1</v>
      </c>
      <c r="F2340" s="135" t="s">
        <v>1449</v>
      </c>
      <c r="G2340" s="185" t="s">
        <v>15</v>
      </c>
      <c r="H2340" s="185" t="s">
        <v>15</v>
      </c>
      <c r="I2340" s="185" t="s">
        <v>15</v>
      </c>
      <c r="J2340" s="135" t="s">
        <v>1450</v>
      </c>
      <c r="K2340" s="186">
        <v>3000</v>
      </c>
      <c r="L2340" s="187" t="s">
        <v>173</v>
      </c>
      <c r="M2340" s="187" t="s">
        <v>175</v>
      </c>
    </row>
    <row r="2341" spans="1:13" s="188" customFormat="1">
      <c r="A2341" s="185" t="s">
        <v>1447</v>
      </c>
      <c r="B2341" s="133" t="s">
        <v>5651</v>
      </c>
      <c r="C2341" s="185" t="s">
        <v>3023</v>
      </c>
      <c r="D2341" s="133" t="s">
        <v>1701</v>
      </c>
      <c r="E2341" s="134">
        <v>1</v>
      </c>
      <c r="F2341" s="135" t="s">
        <v>1449</v>
      </c>
      <c r="G2341" s="185" t="s">
        <v>15</v>
      </c>
      <c r="H2341" s="185" t="s">
        <v>15</v>
      </c>
      <c r="I2341" s="185" t="s">
        <v>15</v>
      </c>
      <c r="J2341" s="135" t="s">
        <v>1450</v>
      </c>
      <c r="K2341" s="186">
        <v>2760</v>
      </c>
      <c r="L2341" s="187" t="s">
        <v>173</v>
      </c>
      <c r="M2341" s="187" t="s">
        <v>175</v>
      </c>
    </row>
    <row r="2342" spans="1:13" s="188" customFormat="1">
      <c r="A2342" s="185" t="s">
        <v>1447</v>
      </c>
      <c r="B2342" s="133" t="s">
        <v>5652</v>
      </c>
      <c r="C2342" s="185" t="s">
        <v>3023</v>
      </c>
      <c r="D2342" s="133" t="s">
        <v>1702</v>
      </c>
      <c r="E2342" s="134">
        <v>1</v>
      </c>
      <c r="F2342" s="135" t="s">
        <v>1449</v>
      </c>
      <c r="G2342" s="185" t="s">
        <v>15</v>
      </c>
      <c r="H2342" s="185" t="s">
        <v>15</v>
      </c>
      <c r="I2342" s="185" t="s">
        <v>15</v>
      </c>
      <c r="J2342" s="135" t="s">
        <v>1450</v>
      </c>
      <c r="K2342" s="186">
        <v>9420</v>
      </c>
      <c r="L2342" s="187" t="s">
        <v>173</v>
      </c>
      <c r="M2342" s="187" t="s">
        <v>175</v>
      </c>
    </row>
    <row r="2343" spans="1:13" s="188" customFormat="1">
      <c r="A2343" s="185" t="s">
        <v>1447</v>
      </c>
      <c r="B2343" s="133" t="s">
        <v>5653</v>
      </c>
      <c r="C2343" s="185" t="s">
        <v>3023</v>
      </c>
      <c r="D2343" s="133" t="s">
        <v>1702</v>
      </c>
      <c r="E2343" s="134">
        <v>1</v>
      </c>
      <c r="F2343" s="135" t="s">
        <v>1449</v>
      </c>
      <c r="G2343" s="185" t="s">
        <v>15</v>
      </c>
      <c r="H2343" s="185" t="s">
        <v>15</v>
      </c>
      <c r="I2343" s="185" t="s">
        <v>15</v>
      </c>
      <c r="J2343" s="135" t="s">
        <v>1450</v>
      </c>
      <c r="K2343" s="186">
        <v>6804</v>
      </c>
      <c r="L2343" s="187" t="s">
        <v>173</v>
      </c>
      <c r="M2343" s="187" t="s">
        <v>175</v>
      </c>
    </row>
    <row r="2344" spans="1:13" s="188" customFormat="1">
      <c r="A2344" s="185" t="s">
        <v>1447</v>
      </c>
      <c r="B2344" s="133" t="s">
        <v>5654</v>
      </c>
      <c r="C2344" s="185" t="s">
        <v>3023</v>
      </c>
      <c r="D2344" s="133" t="s">
        <v>1702</v>
      </c>
      <c r="E2344" s="134">
        <v>1</v>
      </c>
      <c r="F2344" s="135" t="s">
        <v>1449</v>
      </c>
      <c r="G2344" s="185" t="s">
        <v>15</v>
      </c>
      <c r="H2344" s="185" t="s">
        <v>15</v>
      </c>
      <c r="I2344" s="185" t="s">
        <v>15</v>
      </c>
      <c r="J2344" s="135" t="s">
        <v>1450</v>
      </c>
      <c r="K2344" s="186">
        <v>4536</v>
      </c>
      <c r="L2344" s="187" t="s">
        <v>173</v>
      </c>
      <c r="M2344" s="187" t="s">
        <v>175</v>
      </c>
    </row>
    <row r="2345" spans="1:13" s="188" customFormat="1">
      <c r="A2345" s="185" t="s">
        <v>1447</v>
      </c>
      <c r="B2345" s="133" t="s">
        <v>5655</v>
      </c>
      <c r="C2345" s="185" t="s">
        <v>3023</v>
      </c>
      <c r="D2345" s="133" t="s">
        <v>1702</v>
      </c>
      <c r="E2345" s="134">
        <v>1</v>
      </c>
      <c r="F2345" s="135" t="s">
        <v>1449</v>
      </c>
      <c r="G2345" s="185" t="s">
        <v>15</v>
      </c>
      <c r="H2345" s="185" t="s">
        <v>15</v>
      </c>
      <c r="I2345" s="185" t="s">
        <v>15</v>
      </c>
      <c r="J2345" s="135" t="s">
        <v>1450</v>
      </c>
      <c r="K2345" s="186">
        <v>3456</v>
      </c>
      <c r="L2345" s="187" t="s">
        <v>173</v>
      </c>
      <c r="M2345" s="187" t="s">
        <v>175</v>
      </c>
    </row>
    <row r="2346" spans="1:13" s="188" customFormat="1">
      <c r="A2346" s="185" t="s">
        <v>1447</v>
      </c>
      <c r="B2346" s="133" t="s">
        <v>5656</v>
      </c>
      <c r="C2346" s="185" t="s">
        <v>3023</v>
      </c>
      <c r="D2346" s="133" t="s">
        <v>1702</v>
      </c>
      <c r="E2346" s="134">
        <v>1</v>
      </c>
      <c r="F2346" s="135" t="s">
        <v>1449</v>
      </c>
      <c r="G2346" s="185" t="s">
        <v>15</v>
      </c>
      <c r="H2346" s="185" t="s">
        <v>15</v>
      </c>
      <c r="I2346" s="185" t="s">
        <v>15</v>
      </c>
      <c r="J2346" s="135" t="s">
        <v>1450</v>
      </c>
      <c r="K2346" s="186">
        <v>2532</v>
      </c>
      <c r="L2346" s="187" t="s">
        <v>173</v>
      </c>
      <c r="M2346" s="187" t="s">
        <v>175</v>
      </c>
    </row>
    <row r="2347" spans="1:13" s="188" customFormat="1">
      <c r="A2347" s="185" t="s">
        <v>1447</v>
      </c>
      <c r="B2347" s="136" t="s">
        <v>5657</v>
      </c>
      <c r="C2347" s="185" t="s">
        <v>3023</v>
      </c>
      <c r="D2347" s="133" t="s">
        <v>1703</v>
      </c>
      <c r="E2347" s="134">
        <v>1</v>
      </c>
      <c r="F2347" s="135" t="s">
        <v>1449</v>
      </c>
      <c r="G2347" s="185" t="s">
        <v>15</v>
      </c>
      <c r="H2347" s="185" t="s">
        <v>15</v>
      </c>
      <c r="I2347" s="185" t="s">
        <v>15</v>
      </c>
      <c r="J2347" s="135" t="s">
        <v>1450</v>
      </c>
      <c r="K2347" s="186">
        <v>0.21</v>
      </c>
      <c r="L2347" s="187" t="s">
        <v>173</v>
      </c>
      <c r="M2347" s="187" t="s">
        <v>175</v>
      </c>
    </row>
    <row r="2348" spans="1:13" s="188" customFormat="1">
      <c r="A2348" s="185" t="s">
        <v>1447</v>
      </c>
      <c r="B2348" s="136" t="s">
        <v>5658</v>
      </c>
      <c r="C2348" s="185" t="s">
        <v>3023</v>
      </c>
      <c r="D2348" s="133" t="s">
        <v>1703</v>
      </c>
      <c r="E2348" s="134">
        <v>1</v>
      </c>
      <c r="F2348" s="135" t="s">
        <v>1449</v>
      </c>
      <c r="G2348" s="185" t="s">
        <v>15</v>
      </c>
      <c r="H2348" s="185" t="s">
        <v>15</v>
      </c>
      <c r="I2348" s="185" t="s">
        <v>15</v>
      </c>
      <c r="J2348" s="135" t="s">
        <v>1450</v>
      </c>
      <c r="K2348" s="186">
        <v>0.16</v>
      </c>
      <c r="L2348" s="187" t="s">
        <v>173</v>
      </c>
      <c r="M2348" s="187" t="s">
        <v>175</v>
      </c>
    </row>
    <row r="2349" spans="1:13" s="188" customFormat="1">
      <c r="A2349" s="185" t="s">
        <v>1447</v>
      </c>
      <c r="B2349" s="136" t="s">
        <v>5659</v>
      </c>
      <c r="C2349" s="185" t="s">
        <v>3023</v>
      </c>
      <c r="D2349" s="133" t="s">
        <v>1703</v>
      </c>
      <c r="E2349" s="134">
        <v>1</v>
      </c>
      <c r="F2349" s="135" t="s">
        <v>1449</v>
      </c>
      <c r="G2349" s="185" t="s">
        <v>15</v>
      </c>
      <c r="H2349" s="185" t="s">
        <v>15</v>
      </c>
      <c r="I2349" s="185" t="s">
        <v>15</v>
      </c>
      <c r="J2349" s="135" t="s">
        <v>1450</v>
      </c>
      <c r="K2349" s="186">
        <v>0.1</v>
      </c>
      <c r="L2349" s="187" t="s">
        <v>173</v>
      </c>
      <c r="M2349" s="187" t="s">
        <v>175</v>
      </c>
    </row>
    <row r="2350" spans="1:13" s="188" customFormat="1">
      <c r="A2350" s="185" t="s">
        <v>1447</v>
      </c>
      <c r="B2350" s="136" t="s">
        <v>5660</v>
      </c>
      <c r="C2350" s="185" t="s">
        <v>3023</v>
      </c>
      <c r="D2350" s="133" t="s">
        <v>1703</v>
      </c>
      <c r="E2350" s="134">
        <v>1</v>
      </c>
      <c r="F2350" s="135" t="s">
        <v>1449</v>
      </c>
      <c r="G2350" s="185" t="s">
        <v>15</v>
      </c>
      <c r="H2350" s="185" t="s">
        <v>15</v>
      </c>
      <c r="I2350" s="185" t="s">
        <v>15</v>
      </c>
      <c r="J2350" s="135" t="s">
        <v>1450</v>
      </c>
      <c r="K2350" s="186">
        <v>0.08</v>
      </c>
      <c r="L2350" s="187" t="s">
        <v>173</v>
      </c>
      <c r="M2350" s="187" t="s">
        <v>175</v>
      </c>
    </row>
    <row r="2351" spans="1:13" s="188" customFormat="1">
      <c r="A2351" s="185" t="s">
        <v>1447</v>
      </c>
      <c r="B2351" s="136" t="s">
        <v>5661</v>
      </c>
      <c r="C2351" s="185" t="s">
        <v>3023</v>
      </c>
      <c r="D2351" s="133" t="s">
        <v>1703</v>
      </c>
      <c r="E2351" s="134">
        <v>1</v>
      </c>
      <c r="F2351" s="135" t="s">
        <v>1449</v>
      </c>
      <c r="G2351" s="185" t="s">
        <v>15</v>
      </c>
      <c r="H2351" s="185" t="s">
        <v>15</v>
      </c>
      <c r="I2351" s="185" t="s">
        <v>15</v>
      </c>
      <c r="J2351" s="135" t="s">
        <v>1450</v>
      </c>
      <c r="K2351" s="186">
        <v>7.0000000000000007E-2</v>
      </c>
      <c r="L2351" s="187" t="s">
        <v>173</v>
      </c>
      <c r="M2351" s="187" t="s">
        <v>175</v>
      </c>
    </row>
    <row r="2352" spans="1:13" s="188" customFormat="1">
      <c r="A2352" s="185" t="s">
        <v>1447</v>
      </c>
      <c r="B2352" s="136" t="s">
        <v>5662</v>
      </c>
      <c r="C2352" s="185" t="s">
        <v>3023</v>
      </c>
      <c r="D2352" s="133" t="s">
        <v>1703</v>
      </c>
      <c r="E2352" s="134">
        <v>1</v>
      </c>
      <c r="F2352" s="135" t="s">
        <v>1449</v>
      </c>
      <c r="G2352" s="185" t="s">
        <v>15</v>
      </c>
      <c r="H2352" s="185" t="s">
        <v>15</v>
      </c>
      <c r="I2352" s="185" t="s">
        <v>15</v>
      </c>
      <c r="J2352" s="135" t="s">
        <v>1450</v>
      </c>
      <c r="K2352" s="186">
        <v>0.06</v>
      </c>
      <c r="L2352" s="187" t="s">
        <v>173</v>
      </c>
      <c r="M2352" s="187" t="s">
        <v>175</v>
      </c>
    </row>
    <row r="2353" spans="1:13" s="188" customFormat="1">
      <c r="A2353" s="185" t="s">
        <v>1447</v>
      </c>
      <c r="B2353" s="136" t="s">
        <v>5663</v>
      </c>
      <c r="C2353" s="185" t="s">
        <v>3023</v>
      </c>
      <c r="D2353" s="133" t="s">
        <v>1704</v>
      </c>
      <c r="E2353" s="134">
        <v>1</v>
      </c>
      <c r="F2353" s="135" t="s">
        <v>1449</v>
      </c>
      <c r="G2353" s="185" t="s">
        <v>15</v>
      </c>
      <c r="H2353" s="185" t="s">
        <v>15</v>
      </c>
      <c r="I2353" s="185" t="s">
        <v>15</v>
      </c>
      <c r="J2353" s="135" t="s">
        <v>1450</v>
      </c>
      <c r="K2353" s="186">
        <v>0.25</v>
      </c>
      <c r="L2353" s="187" t="s">
        <v>173</v>
      </c>
      <c r="M2353" s="187" t="s">
        <v>175</v>
      </c>
    </row>
    <row r="2354" spans="1:13" s="188" customFormat="1">
      <c r="A2354" s="185" t="s">
        <v>1447</v>
      </c>
      <c r="B2354" s="136" t="s">
        <v>5664</v>
      </c>
      <c r="C2354" s="185" t="s">
        <v>3023</v>
      </c>
      <c r="D2354" s="133" t="s">
        <v>1704</v>
      </c>
      <c r="E2354" s="134">
        <v>1</v>
      </c>
      <c r="F2354" s="135" t="s">
        <v>1449</v>
      </c>
      <c r="G2354" s="185" t="s">
        <v>15</v>
      </c>
      <c r="H2354" s="185" t="s">
        <v>15</v>
      </c>
      <c r="I2354" s="185" t="s">
        <v>15</v>
      </c>
      <c r="J2354" s="135" t="s">
        <v>1450</v>
      </c>
      <c r="K2354" s="186">
        <v>0.2</v>
      </c>
      <c r="L2354" s="187" t="s">
        <v>173</v>
      </c>
      <c r="M2354" s="187" t="s">
        <v>175</v>
      </c>
    </row>
    <row r="2355" spans="1:13" s="188" customFormat="1">
      <c r="A2355" s="185" t="s">
        <v>1447</v>
      </c>
      <c r="B2355" s="136" t="s">
        <v>5665</v>
      </c>
      <c r="C2355" s="185" t="s">
        <v>3023</v>
      </c>
      <c r="D2355" s="133" t="s">
        <v>1704</v>
      </c>
      <c r="E2355" s="134">
        <v>1</v>
      </c>
      <c r="F2355" s="135" t="s">
        <v>1449</v>
      </c>
      <c r="G2355" s="185" t="s">
        <v>15</v>
      </c>
      <c r="H2355" s="185" t="s">
        <v>15</v>
      </c>
      <c r="I2355" s="185" t="s">
        <v>15</v>
      </c>
      <c r="J2355" s="135" t="s">
        <v>1450</v>
      </c>
      <c r="K2355" s="186">
        <v>0.12</v>
      </c>
      <c r="L2355" s="187" t="s">
        <v>173</v>
      </c>
      <c r="M2355" s="187" t="s">
        <v>175</v>
      </c>
    </row>
    <row r="2356" spans="1:13" s="188" customFormat="1">
      <c r="A2356" s="185" t="s">
        <v>1447</v>
      </c>
      <c r="B2356" s="136" t="s">
        <v>5666</v>
      </c>
      <c r="C2356" s="185" t="s">
        <v>3023</v>
      </c>
      <c r="D2356" s="133" t="s">
        <v>1704</v>
      </c>
      <c r="E2356" s="134">
        <v>1</v>
      </c>
      <c r="F2356" s="135" t="s">
        <v>1449</v>
      </c>
      <c r="G2356" s="185" t="s">
        <v>15</v>
      </c>
      <c r="H2356" s="185" t="s">
        <v>15</v>
      </c>
      <c r="I2356" s="185" t="s">
        <v>15</v>
      </c>
      <c r="J2356" s="135" t="s">
        <v>1450</v>
      </c>
      <c r="K2356" s="186">
        <v>0.09</v>
      </c>
      <c r="L2356" s="187" t="s">
        <v>173</v>
      </c>
      <c r="M2356" s="187" t="s">
        <v>175</v>
      </c>
    </row>
    <row r="2357" spans="1:13" s="188" customFormat="1">
      <c r="A2357" s="185" t="s">
        <v>1447</v>
      </c>
      <c r="B2357" s="136" t="s">
        <v>5667</v>
      </c>
      <c r="C2357" s="185" t="s">
        <v>3023</v>
      </c>
      <c r="D2357" s="133" t="s">
        <v>1704</v>
      </c>
      <c r="E2357" s="134">
        <v>1</v>
      </c>
      <c r="F2357" s="135" t="s">
        <v>1449</v>
      </c>
      <c r="G2357" s="185" t="s">
        <v>15</v>
      </c>
      <c r="H2357" s="185" t="s">
        <v>15</v>
      </c>
      <c r="I2357" s="185" t="s">
        <v>15</v>
      </c>
      <c r="J2357" s="135" t="s">
        <v>1450</v>
      </c>
      <c r="K2357" s="186">
        <v>0.08</v>
      </c>
      <c r="L2357" s="187" t="s">
        <v>173</v>
      </c>
      <c r="M2357" s="187" t="s">
        <v>175</v>
      </c>
    </row>
    <row r="2358" spans="1:13" s="188" customFormat="1">
      <c r="A2358" s="185" t="s">
        <v>1447</v>
      </c>
      <c r="B2358" s="136" t="s">
        <v>5668</v>
      </c>
      <c r="C2358" s="185" t="s">
        <v>3023</v>
      </c>
      <c r="D2358" s="133" t="s">
        <v>1704</v>
      </c>
      <c r="E2358" s="134">
        <v>1</v>
      </c>
      <c r="F2358" s="135" t="s">
        <v>1449</v>
      </c>
      <c r="G2358" s="185" t="s">
        <v>15</v>
      </c>
      <c r="H2358" s="185" t="s">
        <v>15</v>
      </c>
      <c r="I2358" s="185" t="s">
        <v>15</v>
      </c>
      <c r="J2358" s="135" t="s">
        <v>1450</v>
      </c>
      <c r="K2358" s="186">
        <v>7.0000000000000007E-2</v>
      </c>
      <c r="L2358" s="187" t="s">
        <v>173</v>
      </c>
      <c r="M2358" s="187" t="s">
        <v>175</v>
      </c>
    </row>
    <row r="2359" spans="1:13" s="188" customFormat="1">
      <c r="A2359" s="185" t="s">
        <v>1447</v>
      </c>
      <c r="B2359" s="136" t="s">
        <v>5669</v>
      </c>
      <c r="C2359" s="185" t="s">
        <v>3023</v>
      </c>
      <c r="D2359" s="133" t="s">
        <v>1706</v>
      </c>
      <c r="E2359" s="134">
        <v>1</v>
      </c>
      <c r="F2359" s="135" t="s">
        <v>1449</v>
      </c>
      <c r="G2359" s="185" t="s">
        <v>15</v>
      </c>
      <c r="H2359" s="185" t="s">
        <v>15</v>
      </c>
      <c r="I2359" s="185" t="s">
        <v>15</v>
      </c>
      <c r="J2359" s="135" t="s">
        <v>1450</v>
      </c>
      <c r="K2359" s="186">
        <v>0.22</v>
      </c>
      <c r="L2359" s="187" t="s">
        <v>173</v>
      </c>
      <c r="M2359" s="187" t="s">
        <v>175</v>
      </c>
    </row>
    <row r="2360" spans="1:13" s="188" customFormat="1">
      <c r="A2360" s="185" t="s">
        <v>1447</v>
      </c>
      <c r="B2360" s="136" t="s">
        <v>5670</v>
      </c>
      <c r="C2360" s="185" t="s">
        <v>3023</v>
      </c>
      <c r="D2360" s="133" t="s">
        <v>1706</v>
      </c>
      <c r="E2360" s="134">
        <v>1</v>
      </c>
      <c r="F2360" s="135" t="s">
        <v>1449</v>
      </c>
      <c r="G2360" s="185" t="s">
        <v>15</v>
      </c>
      <c r="H2360" s="185" t="s">
        <v>15</v>
      </c>
      <c r="I2360" s="185" t="s">
        <v>15</v>
      </c>
      <c r="J2360" s="135" t="s">
        <v>1450</v>
      </c>
      <c r="K2360" s="186">
        <v>0.14000000000000001</v>
      </c>
      <c r="L2360" s="187" t="s">
        <v>173</v>
      </c>
      <c r="M2360" s="187" t="s">
        <v>175</v>
      </c>
    </row>
    <row r="2361" spans="1:13" s="188" customFormat="1">
      <c r="A2361" s="185" t="s">
        <v>1447</v>
      </c>
      <c r="B2361" s="136" t="s">
        <v>5671</v>
      </c>
      <c r="C2361" s="185" t="s">
        <v>3023</v>
      </c>
      <c r="D2361" s="133" t="s">
        <v>1706</v>
      </c>
      <c r="E2361" s="134">
        <v>1</v>
      </c>
      <c r="F2361" s="135" t="s">
        <v>1449</v>
      </c>
      <c r="G2361" s="185" t="s">
        <v>15</v>
      </c>
      <c r="H2361" s="185" t="s">
        <v>15</v>
      </c>
      <c r="I2361" s="185" t="s">
        <v>15</v>
      </c>
      <c r="J2361" s="135" t="s">
        <v>1450</v>
      </c>
      <c r="K2361" s="186">
        <v>0.09</v>
      </c>
      <c r="L2361" s="187" t="s">
        <v>173</v>
      </c>
      <c r="M2361" s="187" t="s">
        <v>175</v>
      </c>
    </row>
    <row r="2362" spans="1:13" s="188" customFormat="1">
      <c r="A2362" s="185" t="s">
        <v>1447</v>
      </c>
      <c r="B2362" s="136" t="s">
        <v>5672</v>
      </c>
      <c r="C2362" s="185" t="s">
        <v>3023</v>
      </c>
      <c r="D2362" s="133" t="s">
        <v>1706</v>
      </c>
      <c r="E2362" s="134">
        <v>1</v>
      </c>
      <c r="F2362" s="135" t="s">
        <v>1449</v>
      </c>
      <c r="G2362" s="185" t="s">
        <v>15</v>
      </c>
      <c r="H2362" s="185" t="s">
        <v>15</v>
      </c>
      <c r="I2362" s="185" t="s">
        <v>15</v>
      </c>
      <c r="J2362" s="135" t="s">
        <v>1450</v>
      </c>
      <c r="K2362" s="186">
        <v>0.08</v>
      </c>
      <c r="L2362" s="187" t="s">
        <v>173</v>
      </c>
      <c r="M2362" s="187" t="s">
        <v>175</v>
      </c>
    </row>
    <row r="2363" spans="1:13" s="188" customFormat="1">
      <c r="A2363" s="185" t="s">
        <v>1447</v>
      </c>
      <c r="B2363" s="136" t="s">
        <v>5673</v>
      </c>
      <c r="C2363" s="185" t="s">
        <v>3023</v>
      </c>
      <c r="D2363" s="133" t="s">
        <v>1706</v>
      </c>
      <c r="E2363" s="134">
        <v>1</v>
      </c>
      <c r="F2363" s="135" t="s">
        <v>1449</v>
      </c>
      <c r="G2363" s="185" t="s">
        <v>15</v>
      </c>
      <c r="H2363" s="185" t="s">
        <v>15</v>
      </c>
      <c r="I2363" s="185" t="s">
        <v>15</v>
      </c>
      <c r="J2363" s="135" t="s">
        <v>1450</v>
      </c>
      <c r="K2363" s="186">
        <v>7.0000000000000007E-2</v>
      </c>
      <c r="L2363" s="187" t="s">
        <v>173</v>
      </c>
      <c r="M2363" s="187" t="s">
        <v>175</v>
      </c>
    </row>
    <row r="2364" spans="1:13" s="188" customFormat="1">
      <c r="A2364" s="185" t="s">
        <v>1447</v>
      </c>
      <c r="B2364" s="136" t="s">
        <v>5674</v>
      </c>
      <c r="C2364" s="185" t="s">
        <v>3023</v>
      </c>
      <c r="D2364" s="133" t="s">
        <v>1706</v>
      </c>
      <c r="E2364" s="134">
        <v>1</v>
      </c>
      <c r="F2364" s="135" t="s">
        <v>1449</v>
      </c>
      <c r="G2364" s="185" t="s">
        <v>15</v>
      </c>
      <c r="H2364" s="185" t="s">
        <v>15</v>
      </c>
      <c r="I2364" s="185" t="s">
        <v>15</v>
      </c>
      <c r="J2364" s="135" t="s">
        <v>1450</v>
      </c>
      <c r="K2364" s="186">
        <v>0.06</v>
      </c>
      <c r="L2364" s="187" t="s">
        <v>173</v>
      </c>
      <c r="M2364" s="187" t="s">
        <v>175</v>
      </c>
    </row>
    <row r="2365" spans="1:13" s="188" customFormat="1">
      <c r="A2365" s="185" t="s">
        <v>1447</v>
      </c>
      <c r="B2365" s="136" t="s">
        <v>5675</v>
      </c>
      <c r="C2365" s="185" t="s">
        <v>3023</v>
      </c>
      <c r="D2365" s="133" t="s">
        <v>5676</v>
      </c>
      <c r="E2365" s="134">
        <v>1</v>
      </c>
      <c r="F2365" s="135" t="s">
        <v>1449</v>
      </c>
      <c r="G2365" s="185" t="s">
        <v>15</v>
      </c>
      <c r="H2365" s="185" t="s">
        <v>15</v>
      </c>
      <c r="I2365" s="185" t="s">
        <v>15</v>
      </c>
      <c r="J2365" s="135" t="s">
        <v>1450</v>
      </c>
      <c r="K2365" s="186">
        <v>0.15</v>
      </c>
      <c r="L2365" s="187" t="s">
        <v>173</v>
      </c>
      <c r="M2365" s="187" t="s">
        <v>175</v>
      </c>
    </row>
    <row r="2366" spans="1:13" s="188" customFormat="1">
      <c r="A2366" s="185" t="s">
        <v>1447</v>
      </c>
      <c r="B2366" s="136" t="s">
        <v>5677</v>
      </c>
      <c r="C2366" s="185" t="s">
        <v>3023</v>
      </c>
      <c r="D2366" s="133" t="s">
        <v>5676</v>
      </c>
      <c r="E2366" s="134">
        <v>1</v>
      </c>
      <c r="F2366" s="135" t="s">
        <v>1449</v>
      </c>
      <c r="G2366" s="185" t="s">
        <v>15</v>
      </c>
      <c r="H2366" s="185" t="s">
        <v>15</v>
      </c>
      <c r="I2366" s="185" t="s">
        <v>15</v>
      </c>
      <c r="J2366" s="135" t="s">
        <v>1450</v>
      </c>
      <c r="K2366" s="186">
        <v>0.12</v>
      </c>
      <c r="L2366" s="187" t="s">
        <v>173</v>
      </c>
      <c r="M2366" s="187" t="s">
        <v>175</v>
      </c>
    </row>
    <row r="2367" spans="1:13" s="188" customFormat="1">
      <c r="A2367" s="185" t="s">
        <v>1447</v>
      </c>
      <c r="B2367" s="136" t="s">
        <v>5678</v>
      </c>
      <c r="C2367" s="185" t="s">
        <v>3023</v>
      </c>
      <c r="D2367" s="133" t="s">
        <v>5676</v>
      </c>
      <c r="E2367" s="134">
        <v>1</v>
      </c>
      <c r="F2367" s="135" t="s">
        <v>1449</v>
      </c>
      <c r="G2367" s="185" t="s">
        <v>15</v>
      </c>
      <c r="H2367" s="185" t="s">
        <v>15</v>
      </c>
      <c r="I2367" s="185" t="s">
        <v>15</v>
      </c>
      <c r="J2367" s="135" t="s">
        <v>1450</v>
      </c>
      <c r="K2367" s="186">
        <v>6.8000000000000005E-2</v>
      </c>
      <c r="L2367" s="187" t="s">
        <v>173</v>
      </c>
      <c r="M2367" s="187" t="s">
        <v>175</v>
      </c>
    </row>
    <row r="2368" spans="1:13" s="188" customFormat="1">
      <c r="A2368" s="185" t="s">
        <v>1447</v>
      </c>
      <c r="B2368" s="136" t="s">
        <v>5679</v>
      </c>
      <c r="C2368" s="185" t="s">
        <v>3023</v>
      </c>
      <c r="D2368" s="133" t="s">
        <v>5676</v>
      </c>
      <c r="E2368" s="134">
        <v>1</v>
      </c>
      <c r="F2368" s="135" t="s">
        <v>1449</v>
      </c>
      <c r="G2368" s="185" t="s">
        <v>15</v>
      </c>
      <c r="H2368" s="185" t="s">
        <v>15</v>
      </c>
      <c r="I2368" s="185" t="s">
        <v>15</v>
      </c>
      <c r="J2368" s="135" t="s">
        <v>1450</v>
      </c>
      <c r="K2368" s="186">
        <v>0.06</v>
      </c>
      <c r="L2368" s="187" t="s">
        <v>173</v>
      </c>
      <c r="M2368" s="187" t="s">
        <v>175</v>
      </c>
    </row>
    <row r="2369" spans="1:13" s="188" customFormat="1">
      <c r="A2369" s="185" t="s">
        <v>1447</v>
      </c>
      <c r="B2369" s="136" t="s">
        <v>5680</v>
      </c>
      <c r="C2369" s="185" t="s">
        <v>3023</v>
      </c>
      <c r="D2369" s="133" t="s">
        <v>5676</v>
      </c>
      <c r="E2369" s="134">
        <v>1</v>
      </c>
      <c r="F2369" s="135" t="s">
        <v>1449</v>
      </c>
      <c r="G2369" s="185" t="s">
        <v>15</v>
      </c>
      <c r="H2369" s="185" t="s">
        <v>15</v>
      </c>
      <c r="I2369" s="185" t="s">
        <v>15</v>
      </c>
      <c r="J2369" s="135" t="s">
        <v>1450</v>
      </c>
      <c r="K2369" s="186">
        <v>5.2999999999999999E-2</v>
      </c>
      <c r="L2369" s="187" t="s">
        <v>173</v>
      </c>
      <c r="M2369" s="187" t="s">
        <v>175</v>
      </c>
    </row>
    <row r="2370" spans="1:13" s="188" customFormat="1">
      <c r="A2370" s="185" t="s">
        <v>1447</v>
      </c>
      <c r="B2370" s="136" t="s">
        <v>5681</v>
      </c>
      <c r="C2370" s="185" t="s">
        <v>3023</v>
      </c>
      <c r="D2370" s="133" t="s">
        <v>5676</v>
      </c>
      <c r="E2370" s="134">
        <v>1</v>
      </c>
      <c r="F2370" s="135" t="s">
        <v>1449</v>
      </c>
      <c r="G2370" s="185" t="s">
        <v>15</v>
      </c>
      <c r="H2370" s="185" t="s">
        <v>15</v>
      </c>
      <c r="I2370" s="185" t="s">
        <v>15</v>
      </c>
      <c r="J2370" s="135" t="s">
        <v>1450</v>
      </c>
      <c r="K2370" s="186">
        <v>0.05</v>
      </c>
      <c r="L2370" s="187" t="s">
        <v>173</v>
      </c>
      <c r="M2370" s="187" t="s">
        <v>175</v>
      </c>
    </row>
    <row r="2371" spans="1:13" s="188" customFormat="1">
      <c r="A2371" s="185" t="s">
        <v>1447</v>
      </c>
      <c r="B2371" s="133" t="s">
        <v>5682</v>
      </c>
      <c r="C2371" s="185" t="s">
        <v>3023</v>
      </c>
      <c r="D2371" s="133" t="s">
        <v>5683</v>
      </c>
      <c r="E2371" s="134">
        <v>1</v>
      </c>
      <c r="F2371" s="135" t="s">
        <v>1449</v>
      </c>
      <c r="G2371" s="185" t="s">
        <v>15</v>
      </c>
      <c r="H2371" s="185" t="s">
        <v>15</v>
      </c>
      <c r="I2371" s="185" t="s">
        <v>15</v>
      </c>
      <c r="J2371" s="135" t="s">
        <v>1450</v>
      </c>
      <c r="K2371" s="186">
        <v>30</v>
      </c>
      <c r="L2371" s="187" t="s">
        <v>173</v>
      </c>
      <c r="M2371" s="187" t="s">
        <v>175</v>
      </c>
    </row>
    <row r="2372" spans="1:13" s="188" customFormat="1">
      <c r="A2372" s="185" t="s">
        <v>1447</v>
      </c>
      <c r="B2372" s="133" t="s">
        <v>5684</v>
      </c>
      <c r="C2372" s="185" t="s">
        <v>3023</v>
      </c>
      <c r="D2372" s="133" t="s">
        <v>5685</v>
      </c>
      <c r="E2372" s="134">
        <v>1</v>
      </c>
      <c r="F2372" s="135" t="s">
        <v>1449</v>
      </c>
      <c r="G2372" s="185" t="s">
        <v>15</v>
      </c>
      <c r="H2372" s="185" t="s">
        <v>15</v>
      </c>
      <c r="I2372" s="185" t="s">
        <v>15</v>
      </c>
      <c r="J2372" s="135" t="s">
        <v>1450</v>
      </c>
      <c r="K2372" s="186">
        <v>30</v>
      </c>
      <c r="L2372" s="187" t="s">
        <v>173</v>
      </c>
      <c r="M2372" s="187" t="s">
        <v>175</v>
      </c>
    </row>
    <row r="2373" spans="1:13" s="188" customFormat="1">
      <c r="A2373" s="185" t="s">
        <v>1447</v>
      </c>
      <c r="B2373" s="133" t="s">
        <v>5686</v>
      </c>
      <c r="C2373" s="185" t="s">
        <v>3023</v>
      </c>
      <c r="D2373" s="133" t="s">
        <v>1707</v>
      </c>
      <c r="E2373" s="134">
        <v>1</v>
      </c>
      <c r="F2373" s="135" t="s">
        <v>1449</v>
      </c>
      <c r="G2373" s="185" t="s">
        <v>15</v>
      </c>
      <c r="H2373" s="185" t="s">
        <v>15</v>
      </c>
      <c r="I2373" s="185" t="s">
        <v>15</v>
      </c>
      <c r="J2373" s="135" t="s">
        <v>1450</v>
      </c>
      <c r="K2373" s="186">
        <v>1.5</v>
      </c>
      <c r="L2373" s="187" t="s">
        <v>173</v>
      </c>
      <c r="M2373" s="187" t="s">
        <v>175</v>
      </c>
    </row>
    <row r="2374" spans="1:13" s="188" customFormat="1">
      <c r="A2374" s="185" t="s">
        <v>1447</v>
      </c>
      <c r="B2374" s="133" t="s">
        <v>5687</v>
      </c>
      <c r="C2374" s="185" t="s">
        <v>3023</v>
      </c>
      <c r="D2374" s="133" t="s">
        <v>1707</v>
      </c>
      <c r="E2374" s="134">
        <v>1</v>
      </c>
      <c r="F2374" s="135" t="s">
        <v>1449</v>
      </c>
      <c r="G2374" s="185" t="s">
        <v>15</v>
      </c>
      <c r="H2374" s="185" t="s">
        <v>15</v>
      </c>
      <c r="I2374" s="185" t="s">
        <v>15</v>
      </c>
      <c r="J2374" s="135" t="s">
        <v>1450</v>
      </c>
      <c r="K2374" s="186">
        <v>1.25</v>
      </c>
      <c r="L2374" s="187" t="s">
        <v>173</v>
      </c>
      <c r="M2374" s="187" t="s">
        <v>175</v>
      </c>
    </row>
    <row r="2375" spans="1:13" s="188" customFormat="1">
      <c r="A2375" s="185" t="s">
        <v>1447</v>
      </c>
      <c r="B2375" s="133" t="s">
        <v>5688</v>
      </c>
      <c r="C2375" s="185" t="s">
        <v>3023</v>
      </c>
      <c r="D2375" s="133" t="s">
        <v>1707</v>
      </c>
      <c r="E2375" s="134">
        <v>1</v>
      </c>
      <c r="F2375" s="135" t="s">
        <v>1449</v>
      </c>
      <c r="G2375" s="185" t="s">
        <v>15</v>
      </c>
      <c r="H2375" s="185" t="s">
        <v>15</v>
      </c>
      <c r="I2375" s="185" t="s">
        <v>15</v>
      </c>
      <c r="J2375" s="135" t="s">
        <v>1450</v>
      </c>
      <c r="K2375" s="186">
        <v>1</v>
      </c>
      <c r="L2375" s="187" t="s">
        <v>173</v>
      </c>
      <c r="M2375" s="187" t="s">
        <v>175</v>
      </c>
    </row>
    <row r="2376" spans="1:13" s="188" customFormat="1">
      <c r="A2376" s="185" t="s">
        <v>1447</v>
      </c>
      <c r="B2376" s="133" t="s">
        <v>5689</v>
      </c>
      <c r="C2376" s="185" t="s">
        <v>3023</v>
      </c>
      <c r="D2376" s="133" t="s">
        <v>1707</v>
      </c>
      <c r="E2376" s="134">
        <v>1</v>
      </c>
      <c r="F2376" s="135" t="s">
        <v>1449</v>
      </c>
      <c r="G2376" s="185" t="s">
        <v>15</v>
      </c>
      <c r="H2376" s="185" t="s">
        <v>15</v>
      </c>
      <c r="I2376" s="185" t="s">
        <v>15</v>
      </c>
      <c r="J2376" s="135" t="s">
        <v>1450</v>
      </c>
      <c r="K2376" s="186">
        <v>0.8</v>
      </c>
      <c r="L2376" s="187" t="s">
        <v>173</v>
      </c>
      <c r="M2376" s="187" t="s">
        <v>175</v>
      </c>
    </row>
    <row r="2377" spans="1:13" s="188" customFormat="1">
      <c r="A2377" s="185" t="s">
        <v>1447</v>
      </c>
      <c r="B2377" s="136" t="s">
        <v>5690</v>
      </c>
      <c r="C2377" s="185" t="s">
        <v>3023</v>
      </c>
      <c r="D2377" s="133" t="s">
        <v>1708</v>
      </c>
      <c r="E2377" s="134">
        <v>1</v>
      </c>
      <c r="F2377" s="135" t="s">
        <v>1449</v>
      </c>
      <c r="G2377" s="185" t="s">
        <v>15</v>
      </c>
      <c r="H2377" s="185" t="s">
        <v>15</v>
      </c>
      <c r="I2377" s="185" t="s">
        <v>15</v>
      </c>
      <c r="J2377" s="135" t="s">
        <v>1450</v>
      </c>
      <c r="K2377" s="186">
        <v>3.7999999999999999E-2</v>
      </c>
      <c r="L2377" s="187" t="s">
        <v>173</v>
      </c>
      <c r="M2377" s="187" t="s">
        <v>175</v>
      </c>
    </row>
    <row r="2378" spans="1:13" s="188" customFormat="1">
      <c r="A2378" s="185" t="s">
        <v>1447</v>
      </c>
      <c r="B2378" s="136" t="s">
        <v>5691</v>
      </c>
      <c r="C2378" s="185" t="s">
        <v>3023</v>
      </c>
      <c r="D2378" s="133" t="s">
        <v>1708</v>
      </c>
      <c r="E2378" s="134">
        <v>1</v>
      </c>
      <c r="F2378" s="135" t="s">
        <v>1449</v>
      </c>
      <c r="G2378" s="185" t="s">
        <v>15</v>
      </c>
      <c r="H2378" s="185" t="s">
        <v>15</v>
      </c>
      <c r="I2378" s="185" t="s">
        <v>15</v>
      </c>
      <c r="J2378" s="135" t="s">
        <v>1450</v>
      </c>
      <c r="K2378" s="186">
        <v>2.1000000000000001E-2</v>
      </c>
      <c r="L2378" s="187" t="s">
        <v>173</v>
      </c>
      <c r="M2378" s="187" t="s">
        <v>175</v>
      </c>
    </row>
    <row r="2379" spans="1:13" s="188" customFormat="1">
      <c r="A2379" s="185" t="s">
        <v>1447</v>
      </c>
      <c r="B2379" s="136" t="s">
        <v>5692</v>
      </c>
      <c r="C2379" s="185" t="s">
        <v>3023</v>
      </c>
      <c r="D2379" s="133" t="s">
        <v>1708</v>
      </c>
      <c r="E2379" s="134">
        <v>1</v>
      </c>
      <c r="F2379" s="135" t="s">
        <v>1449</v>
      </c>
      <c r="G2379" s="185" t="s">
        <v>15</v>
      </c>
      <c r="H2379" s="185" t="s">
        <v>15</v>
      </c>
      <c r="I2379" s="185" t="s">
        <v>15</v>
      </c>
      <c r="J2379" s="135" t="s">
        <v>1450</v>
      </c>
      <c r="K2379" s="186">
        <v>1.2999999999999999E-2</v>
      </c>
      <c r="L2379" s="187" t="s">
        <v>173</v>
      </c>
      <c r="M2379" s="187" t="s">
        <v>175</v>
      </c>
    </row>
    <row r="2380" spans="1:13" s="188" customFormat="1">
      <c r="A2380" s="185" t="s">
        <v>1447</v>
      </c>
      <c r="B2380" s="136" t="s">
        <v>5693</v>
      </c>
      <c r="C2380" s="185" t="s">
        <v>3023</v>
      </c>
      <c r="D2380" s="133" t="s">
        <v>1708</v>
      </c>
      <c r="E2380" s="134">
        <v>1</v>
      </c>
      <c r="F2380" s="135" t="s">
        <v>1449</v>
      </c>
      <c r="G2380" s="185" t="s">
        <v>15</v>
      </c>
      <c r="H2380" s="185" t="s">
        <v>15</v>
      </c>
      <c r="I2380" s="185" t="s">
        <v>15</v>
      </c>
      <c r="J2380" s="135" t="s">
        <v>1450</v>
      </c>
      <c r="K2380" s="186">
        <v>8.9999999999999993E-3</v>
      </c>
      <c r="L2380" s="187" t="s">
        <v>173</v>
      </c>
      <c r="M2380" s="187" t="s">
        <v>175</v>
      </c>
    </row>
    <row r="2381" spans="1:13" s="188" customFormat="1">
      <c r="A2381" s="185" t="s">
        <v>1447</v>
      </c>
      <c r="B2381" s="136" t="s">
        <v>5694</v>
      </c>
      <c r="C2381" s="185" t="s">
        <v>3023</v>
      </c>
      <c r="D2381" s="133" t="s">
        <v>1708</v>
      </c>
      <c r="E2381" s="134">
        <v>1</v>
      </c>
      <c r="F2381" s="135" t="s">
        <v>1449</v>
      </c>
      <c r="G2381" s="185" t="s">
        <v>15</v>
      </c>
      <c r="H2381" s="185" t="s">
        <v>15</v>
      </c>
      <c r="I2381" s="185" t="s">
        <v>15</v>
      </c>
      <c r="J2381" s="135" t="s">
        <v>1450</v>
      </c>
      <c r="K2381" s="186">
        <v>7.0000000000000001E-3</v>
      </c>
      <c r="L2381" s="187" t="s">
        <v>173</v>
      </c>
      <c r="M2381" s="187" t="s">
        <v>175</v>
      </c>
    </row>
    <row r="2382" spans="1:13" s="188" customFormat="1">
      <c r="A2382" s="185" t="s">
        <v>1447</v>
      </c>
      <c r="B2382" s="136" t="s">
        <v>5695</v>
      </c>
      <c r="C2382" s="185" t="s">
        <v>3023</v>
      </c>
      <c r="D2382" s="133" t="s">
        <v>1708</v>
      </c>
      <c r="E2382" s="134">
        <v>1</v>
      </c>
      <c r="F2382" s="135" t="s">
        <v>1449</v>
      </c>
      <c r="G2382" s="185" t="s">
        <v>15</v>
      </c>
      <c r="H2382" s="185" t="s">
        <v>15</v>
      </c>
      <c r="I2382" s="185" t="s">
        <v>15</v>
      </c>
      <c r="J2382" s="135" t="s">
        <v>1450</v>
      </c>
      <c r="K2382" s="186">
        <v>6.0000000000000001E-3</v>
      </c>
      <c r="L2382" s="187" t="s">
        <v>173</v>
      </c>
      <c r="M2382" s="187" t="s">
        <v>175</v>
      </c>
    </row>
    <row r="2383" spans="1:13" s="188" customFormat="1">
      <c r="A2383" s="185" t="s">
        <v>1447</v>
      </c>
      <c r="B2383" s="133" t="s">
        <v>5696</v>
      </c>
      <c r="C2383" s="185" t="s">
        <v>3023</v>
      </c>
      <c r="D2383" s="133" t="s">
        <v>1709</v>
      </c>
      <c r="E2383" s="134">
        <v>1</v>
      </c>
      <c r="F2383" s="135" t="s">
        <v>1449</v>
      </c>
      <c r="G2383" s="185" t="s">
        <v>15</v>
      </c>
      <c r="H2383" s="185" t="s">
        <v>15</v>
      </c>
      <c r="I2383" s="185" t="s">
        <v>15</v>
      </c>
      <c r="J2383" s="135" t="s">
        <v>1450</v>
      </c>
      <c r="K2383" s="186">
        <v>80004</v>
      </c>
      <c r="L2383" s="187" t="s">
        <v>173</v>
      </c>
      <c r="M2383" s="187" t="s">
        <v>175</v>
      </c>
    </row>
    <row r="2384" spans="1:13" s="188" customFormat="1">
      <c r="A2384" s="185" t="s">
        <v>1447</v>
      </c>
      <c r="B2384" s="133" t="s">
        <v>5697</v>
      </c>
      <c r="C2384" s="185" t="s">
        <v>3023</v>
      </c>
      <c r="D2384" s="133" t="s">
        <v>5698</v>
      </c>
      <c r="E2384" s="134">
        <v>1</v>
      </c>
      <c r="F2384" s="135" t="s">
        <v>1449</v>
      </c>
      <c r="G2384" s="185" t="s">
        <v>15</v>
      </c>
      <c r="H2384" s="185" t="s">
        <v>15</v>
      </c>
      <c r="I2384" s="185" t="s">
        <v>15</v>
      </c>
      <c r="J2384" s="135" t="s">
        <v>1450</v>
      </c>
      <c r="K2384" s="186">
        <v>940</v>
      </c>
      <c r="L2384" s="187" t="s">
        <v>173</v>
      </c>
      <c r="M2384" s="187" t="s">
        <v>175</v>
      </c>
    </row>
    <row r="2385" spans="1:13" s="188" customFormat="1">
      <c r="A2385" s="185" t="s">
        <v>1447</v>
      </c>
      <c r="B2385" s="133" t="s">
        <v>5699</v>
      </c>
      <c r="C2385" s="185" t="s">
        <v>3023</v>
      </c>
      <c r="D2385" s="133" t="s">
        <v>5698</v>
      </c>
      <c r="E2385" s="134">
        <v>1</v>
      </c>
      <c r="F2385" s="135" t="s">
        <v>1449</v>
      </c>
      <c r="G2385" s="185" t="s">
        <v>15</v>
      </c>
      <c r="H2385" s="185" t="s">
        <v>15</v>
      </c>
      <c r="I2385" s="185" t="s">
        <v>15</v>
      </c>
      <c r="J2385" s="135" t="s">
        <v>1450</v>
      </c>
      <c r="K2385" s="186">
        <v>825</v>
      </c>
      <c r="L2385" s="187" t="s">
        <v>173</v>
      </c>
      <c r="M2385" s="187" t="s">
        <v>175</v>
      </c>
    </row>
    <row r="2386" spans="1:13" s="188" customFormat="1">
      <c r="A2386" s="185" t="s">
        <v>1447</v>
      </c>
      <c r="B2386" s="133" t="s">
        <v>5700</v>
      </c>
      <c r="C2386" s="185" t="s">
        <v>3023</v>
      </c>
      <c r="D2386" s="133" t="s">
        <v>5698</v>
      </c>
      <c r="E2386" s="134">
        <v>1</v>
      </c>
      <c r="F2386" s="135" t="s">
        <v>1449</v>
      </c>
      <c r="G2386" s="185" t="s">
        <v>15</v>
      </c>
      <c r="H2386" s="185" t="s">
        <v>15</v>
      </c>
      <c r="I2386" s="185" t="s">
        <v>15</v>
      </c>
      <c r="J2386" s="135" t="s">
        <v>1450</v>
      </c>
      <c r="K2386" s="186">
        <v>725</v>
      </c>
      <c r="L2386" s="187" t="s">
        <v>173</v>
      </c>
      <c r="M2386" s="187" t="s">
        <v>175</v>
      </c>
    </row>
    <row r="2387" spans="1:13" s="188" customFormat="1">
      <c r="A2387" s="185" t="s">
        <v>1447</v>
      </c>
      <c r="B2387" s="133" t="s">
        <v>5701</v>
      </c>
      <c r="C2387" s="185" t="s">
        <v>3023</v>
      </c>
      <c r="D2387" s="133" t="s">
        <v>5698</v>
      </c>
      <c r="E2387" s="134">
        <v>1</v>
      </c>
      <c r="F2387" s="135" t="s">
        <v>1449</v>
      </c>
      <c r="G2387" s="185" t="s">
        <v>15</v>
      </c>
      <c r="H2387" s="185" t="s">
        <v>15</v>
      </c>
      <c r="I2387" s="185" t="s">
        <v>15</v>
      </c>
      <c r="J2387" s="135" t="s">
        <v>1450</v>
      </c>
      <c r="K2387" s="186">
        <v>680</v>
      </c>
      <c r="L2387" s="187" t="s">
        <v>173</v>
      </c>
      <c r="M2387" s="187" t="s">
        <v>175</v>
      </c>
    </row>
    <row r="2388" spans="1:13" s="188" customFormat="1">
      <c r="A2388" s="185" t="s">
        <v>1447</v>
      </c>
      <c r="B2388" s="133" t="s">
        <v>5702</v>
      </c>
      <c r="C2388" s="185" t="s">
        <v>3023</v>
      </c>
      <c r="D2388" s="133" t="s">
        <v>5703</v>
      </c>
      <c r="E2388" s="134">
        <v>1</v>
      </c>
      <c r="F2388" s="135" t="s">
        <v>1449</v>
      </c>
      <c r="G2388" s="185" t="s">
        <v>15</v>
      </c>
      <c r="H2388" s="185" t="s">
        <v>15</v>
      </c>
      <c r="I2388" s="185" t="s">
        <v>15</v>
      </c>
      <c r="J2388" s="135" t="s">
        <v>1450</v>
      </c>
      <c r="K2388" s="186">
        <v>75000</v>
      </c>
      <c r="L2388" s="187" t="s">
        <v>173</v>
      </c>
      <c r="M2388" s="187" t="s">
        <v>175</v>
      </c>
    </row>
    <row r="2389" spans="1:13" s="188" customFormat="1">
      <c r="A2389" s="185" t="s">
        <v>1447</v>
      </c>
      <c r="B2389" s="133" t="s">
        <v>5704</v>
      </c>
      <c r="C2389" s="185" t="s">
        <v>3023</v>
      </c>
      <c r="D2389" s="133" t="s">
        <v>1710</v>
      </c>
      <c r="E2389" s="134">
        <v>1</v>
      </c>
      <c r="F2389" s="135" t="s">
        <v>1449</v>
      </c>
      <c r="G2389" s="185" t="s">
        <v>15</v>
      </c>
      <c r="H2389" s="185" t="s">
        <v>15</v>
      </c>
      <c r="I2389" s="185" t="s">
        <v>15</v>
      </c>
      <c r="J2389" s="135" t="s">
        <v>1450</v>
      </c>
      <c r="K2389" s="186">
        <v>0.85</v>
      </c>
      <c r="L2389" s="187" t="s">
        <v>173</v>
      </c>
      <c r="M2389" s="187" t="s">
        <v>175</v>
      </c>
    </row>
    <row r="2390" spans="1:13" s="188" customFormat="1">
      <c r="A2390" s="185" t="s">
        <v>1447</v>
      </c>
      <c r="B2390" s="133" t="s">
        <v>5705</v>
      </c>
      <c r="C2390" s="185" t="s">
        <v>3023</v>
      </c>
      <c r="D2390" s="133" t="s">
        <v>1710</v>
      </c>
      <c r="E2390" s="134">
        <v>1</v>
      </c>
      <c r="F2390" s="135" t="s">
        <v>1449</v>
      </c>
      <c r="G2390" s="185" t="s">
        <v>15</v>
      </c>
      <c r="H2390" s="185" t="s">
        <v>15</v>
      </c>
      <c r="I2390" s="185" t="s">
        <v>15</v>
      </c>
      <c r="J2390" s="135" t="s">
        <v>1450</v>
      </c>
      <c r="K2390" s="186">
        <v>0.82499999999999996</v>
      </c>
      <c r="L2390" s="187" t="s">
        <v>173</v>
      </c>
      <c r="M2390" s="187" t="s">
        <v>175</v>
      </c>
    </row>
    <row r="2391" spans="1:13" s="188" customFormat="1">
      <c r="A2391" s="185" t="s">
        <v>1447</v>
      </c>
      <c r="B2391" s="133" t="s">
        <v>5706</v>
      </c>
      <c r="C2391" s="185" t="s">
        <v>3023</v>
      </c>
      <c r="D2391" s="133" t="s">
        <v>1710</v>
      </c>
      <c r="E2391" s="134">
        <v>1</v>
      </c>
      <c r="F2391" s="135" t="s">
        <v>1449</v>
      </c>
      <c r="G2391" s="185" t="s">
        <v>15</v>
      </c>
      <c r="H2391" s="185" t="s">
        <v>15</v>
      </c>
      <c r="I2391" s="185" t="s">
        <v>15</v>
      </c>
      <c r="J2391" s="135" t="s">
        <v>1450</v>
      </c>
      <c r="K2391" s="186">
        <v>0.8</v>
      </c>
      <c r="L2391" s="187" t="s">
        <v>173</v>
      </c>
      <c r="M2391" s="187" t="s">
        <v>175</v>
      </c>
    </row>
    <row r="2392" spans="1:13" s="188" customFormat="1">
      <c r="A2392" s="185" t="s">
        <v>1447</v>
      </c>
      <c r="B2392" s="133" t="s">
        <v>5707</v>
      </c>
      <c r="C2392" s="185" t="s">
        <v>3023</v>
      </c>
      <c r="D2392" s="133" t="s">
        <v>1710</v>
      </c>
      <c r="E2392" s="134">
        <v>1</v>
      </c>
      <c r="F2392" s="135" t="s">
        <v>1449</v>
      </c>
      <c r="G2392" s="185" t="s">
        <v>15</v>
      </c>
      <c r="H2392" s="185" t="s">
        <v>15</v>
      </c>
      <c r="I2392" s="185" t="s">
        <v>15</v>
      </c>
      <c r="J2392" s="135" t="s">
        <v>1450</v>
      </c>
      <c r="K2392" s="186">
        <v>0.77500000000000002</v>
      </c>
      <c r="L2392" s="187" t="s">
        <v>173</v>
      </c>
      <c r="M2392" s="187" t="s">
        <v>175</v>
      </c>
    </row>
    <row r="2393" spans="1:13" s="188" customFormat="1">
      <c r="A2393" s="185" t="s">
        <v>1447</v>
      </c>
      <c r="B2393" s="133" t="s">
        <v>5708</v>
      </c>
      <c r="C2393" s="185" t="s">
        <v>3023</v>
      </c>
      <c r="D2393" s="133" t="s">
        <v>1710</v>
      </c>
      <c r="E2393" s="134">
        <v>1</v>
      </c>
      <c r="F2393" s="135" t="s">
        <v>1449</v>
      </c>
      <c r="G2393" s="185" t="s">
        <v>15</v>
      </c>
      <c r="H2393" s="185" t="s">
        <v>15</v>
      </c>
      <c r="I2393" s="185" t="s">
        <v>15</v>
      </c>
      <c r="J2393" s="135" t="s">
        <v>1450</v>
      </c>
      <c r="K2393" s="186">
        <v>0.75</v>
      </c>
      <c r="L2393" s="187" t="s">
        <v>173</v>
      </c>
      <c r="M2393" s="187" t="s">
        <v>175</v>
      </c>
    </row>
    <row r="2394" spans="1:13" s="188" customFormat="1">
      <c r="A2394" s="185" t="s">
        <v>1447</v>
      </c>
      <c r="B2394" s="133" t="s">
        <v>5709</v>
      </c>
      <c r="C2394" s="185" t="s">
        <v>3023</v>
      </c>
      <c r="D2394" s="133" t="s">
        <v>1710</v>
      </c>
      <c r="E2394" s="134">
        <v>1</v>
      </c>
      <c r="F2394" s="135" t="s">
        <v>1449</v>
      </c>
      <c r="G2394" s="185" t="s">
        <v>15</v>
      </c>
      <c r="H2394" s="185" t="s">
        <v>15</v>
      </c>
      <c r="I2394" s="185" t="s">
        <v>15</v>
      </c>
      <c r="J2394" s="135" t="s">
        <v>1450</v>
      </c>
      <c r="K2394" s="186">
        <v>0.72499999999999998</v>
      </c>
      <c r="L2394" s="187" t="s">
        <v>173</v>
      </c>
      <c r="M2394" s="187" t="s">
        <v>175</v>
      </c>
    </row>
    <row r="2395" spans="1:13" s="188" customFormat="1">
      <c r="A2395" s="185" t="s">
        <v>1447</v>
      </c>
      <c r="B2395" s="133" t="s">
        <v>5710</v>
      </c>
      <c r="C2395" s="185" t="s">
        <v>3023</v>
      </c>
      <c r="D2395" s="133" t="s">
        <v>1711</v>
      </c>
      <c r="E2395" s="134">
        <v>1</v>
      </c>
      <c r="F2395" s="135" t="s">
        <v>1449</v>
      </c>
      <c r="G2395" s="185" t="s">
        <v>15</v>
      </c>
      <c r="H2395" s="185" t="s">
        <v>15</v>
      </c>
      <c r="I2395" s="185" t="s">
        <v>15</v>
      </c>
      <c r="J2395" s="135" t="s">
        <v>1450</v>
      </c>
      <c r="K2395" s="186">
        <v>0.67</v>
      </c>
      <c r="L2395" s="187" t="s">
        <v>173</v>
      </c>
      <c r="M2395" s="187" t="s">
        <v>175</v>
      </c>
    </row>
    <row r="2396" spans="1:13" s="188" customFormat="1">
      <c r="A2396" s="185" t="s">
        <v>1447</v>
      </c>
      <c r="B2396" s="136" t="s">
        <v>5711</v>
      </c>
      <c r="C2396" s="185" t="s">
        <v>3023</v>
      </c>
      <c r="D2396" s="133" t="s">
        <v>1711</v>
      </c>
      <c r="E2396" s="134">
        <v>1</v>
      </c>
      <c r="F2396" s="135" t="s">
        <v>1449</v>
      </c>
      <c r="G2396" s="185" t="s">
        <v>15</v>
      </c>
      <c r="H2396" s="185" t="s">
        <v>15</v>
      </c>
      <c r="I2396" s="185" t="s">
        <v>15</v>
      </c>
      <c r="J2396" s="135" t="s">
        <v>1450</v>
      </c>
      <c r="K2396" s="186">
        <v>0.49</v>
      </c>
      <c r="L2396" s="187" t="s">
        <v>173</v>
      </c>
      <c r="M2396" s="187" t="s">
        <v>175</v>
      </c>
    </row>
    <row r="2397" spans="1:13" s="188" customFormat="1">
      <c r="A2397" s="185" t="s">
        <v>1447</v>
      </c>
      <c r="B2397" s="136" t="s">
        <v>5712</v>
      </c>
      <c r="C2397" s="185" t="s">
        <v>3023</v>
      </c>
      <c r="D2397" s="133" t="s">
        <v>1711</v>
      </c>
      <c r="E2397" s="134">
        <v>1</v>
      </c>
      <c r="F2397" s="135" t="s">
        <v>1449</v>
      </c>
      <c r="G2397" s="185" t="s">
        <v>15</v>
      </c>
      <c r="H2397" s="185" t="s">
        <v>15</v>
      </c>
      <c r="I2397" s="185" t="s">
        <v>15</v>
      </c>
      <c r="J2397" s="135" t="s">
        <v>1450</v>
      </c>
      <c r="K2397" s="186">
        <v>0.48</v>
      </c>
      <c r="L2397" s="187" t="s">
        <v>173</v>
      </c>
      <c r="M2397" s="187" t="s">
        <v>175</v>
      </c>
    </row>
    <row r="2398" spans="1:13" s="188" customFormat="1">
      <c r="A2398" s="185" t="s">
        <v>1447</v>
      </c>
      <c r="B2398" s="136" t="s">
        <v>5713</v>
      </c>
      <c r="C2398" s="185" t="s">
        <v>3023</v>
      </c>
      <c r="D2398" s="133" t="s">
        <v>1711</v>
      </c>
      <c r="E2398" s="134">
        <v>1</v>
      </c>
      <c r="F2398" s="135" t="s">
        <v>1449</v>
      </c>
      <c r="G2398" s="185" t="s">
        <v>15</v>
      </c>
      <c r="H2398" s="185" t="s">
        <v>15</v>
      </c>
      <c r="I2398" s="185" t="s">
        <v>15</v>
      </c>
      <c r="J2398" s="135" t="s">
        <v>1450</v>
      </c>
      <c r="K2398" s="186">
        <v>0.47</v>
      </c>
      <c r="L2398" s="187" t="s">
        <v>173</v>
      </c>
      <c r="M2398" s="187" t="s">
        <v>175</v>
      </c>
    </row>
    <row r="2399" spans="1:13" s="188" customFormat="1">
      <c r="A2399" s="185" t="s">
        <v>1447</v>
      </c>
      <c r="B2399" s="136" t="s">
        <v>5714</v>
      </c>
      <c r="C2399" s="185" t="s">
        <v>3023</v>
      </c>
      <c r="D2399" s="133" t="s">
        <v>1711</v>
      </c>
      <c r="E2399" s="134">
        <v>1</v>
      </c>
      <c r="F2399" s="135" t="s">
        <v>1449</v>
      </c>
      <c r="G2399" s="185" t="s">
        <v>15</v>
      </c>
      <c r="H2399" s="185" t="s">
        <v>15</v>
      </c>
      <c r="I2399" s="185" t="s">
        <v>15</v>
      </c>
      <c r="J2399" s="135" t="s">
        <v>1450</v>
      </c>
      <c r="K2399" s="186">
        <v>0.46</v>
      </c>
      <c r="L2399" s="187" t="s">
        <v>173</v>
      </c>
      <c r="M2399" s="187" t="s">
        <v>175</v>
      </c>
    </row>
    <row r="2400" spans="1:13" s="188" customFormat="1">
      <c r="A2400" s="185" t="s">
        <v>1447</v>
      </c>
      <c r="B2400" s="136" t="s">
        <v>5715</v>
      </c>
      <c r="C2400" s="185" t="s">
        <v>3023</v>
      </c>
      <c r="D2400" s="133" t="s">
        <v>1711</v>
      </c>
      <c r="E2400" s="134">
        <v>1</v>
      </c>
      <c r="F2400" s="135" t="s">
        <v>1449</v>
      </c>
      <c r="G2400" s="185" t="s">
        <v>15</v>
      </c>
      <c r="H2400" s="185" t="s">
        <v>15</v>
      </c>
      <c r="I2400" s="185" t="s">
        <v>15</v>
      </c>
      <c r="J2400" s="135" t="s">
        <v>1450</v>
      </c>
      <c r="K2400" s="186">
        <v>0.45</v>
      </c>
      <c r="L2400" s="187" t="s">
        <v>173</v>
      </c>
      <c r="M2400" s="187" t="s">
        <v>175</v>
      </c>
    </row>
    <row r="2401" spans="1:13" s="188" customFormat="1">
      <c r="A2401" s="185" t="s">
        <v>1447</v>
      </c>
      <c r="B2401" s="133" t="s">
        <v>5716</v>
      </c>
      <c r="C2401" s="185" t="s">
        <v>3023</v>
      </c>
      <c r="D2401" s="133" t="s">
        <v>1712</v>
      </c>
      <c r="E2401" s="134">
        <v>1</v>
      </c>
      <c r="F2401" s="135" t="s">
        <v>1449</v>
      </c>
      <c r="G2401" s="185" t="s">
        <v>15</v>
      </c>
      <c r="H2401" s="185" t="s">
        <v>15</v>
      </c>
      <c r="I2401" s="185" t="s">
        <v>15</v>
      </c>
      <c r="J2401" s="135" t="s">
        <v>1450</v>
      </c>
      <c r="K2401" s="186">
        <v>80004</v>
      </c>
      <c r="L2401" s="187" t="s">
        <v>173</v>
      </c>
      <c r="M2401" s="187" t="s">
        <v>175</v>
      </c>
    </row>
    <row r="2402" spans="1:13" s="188" customFormat="1">
      <c r="A2402" s="185" t="s">
        <v>1447</v>
      </c>
      <c r="B2402" s="133" t="s">
        <v>5717</v>
      </c>
      <c r="C2402" s="185" t="s">
        <v>3023</v>
      </c>
      <c r="D2402" s="133" t="s">
        <v>1713</v>
      </c>
      <c r="E2402" s="134">
        <v>1</v>
      </c>
      <c r="F2402" s="135" t="s">
        <v>1449</v>
      </c>
      <c r="G2402" s="185" t="s">
        <v>15</v>
      </c>
      <c r="H2402" s="185" t="s">
        <v>15</v>
      </c>
      <c r="I2402" s="185" t="s">
        <v>15</v>
      </c>
      <c r="J2402" s="135" t="s">
        <v>1450</v>
      </c>
      <c r="K2402" s="186">
        <v>0.67</v>
      </c>
      <c r="L2402" s="187" t="s">
        <v>173</v>
      </c>
      <c r="M2402" s="187" t="s">
        <v>175</v>
      </c>
    </row>
    <row r="2403" spans="1:13" s="188" customFormat="1">
      <c r="A2403" s="185" t="s">
        <v>1447</v>
      </c>
      <c r="B2403" s="133" t="s">
        <v>5718</v>
      </c>
      <c r="C2403" s="185" t="s">
        <v>3023</v>
      </c>
      <c r="D2403" s="133" t="s">
        <v>1713</v>
      </c>
      <c r="E2403" s="134">
        <v>1</v>
      </c>
      <c r="F2403" s="135" t="s">
        <v>1449</v>
      </c>
      <c r="G2403" s="185" t="s">
        <v>15</v>
      </c>
      <c r="H2403" s="185" t="s">
        <v>15</v>
      </c>
      <c r="I2403" s="185" t="s">
        <v>15</v>
      </c>
      <c r="J2403" s="135" t="s">
        <v>1450</v>
      </c>
      <c r="K2403" s="186">
        <v>0.6</v>
      </c>
      <c r="L2403" s="187" t="s">
        <v>173</v>
      </c>
      <c r="M2403" s="187" t="s">
        <v>175</v>
      </c>
    </row>
    <row r="2404" spans="1:13" s="188" customFormat="1">
      <c r="A2404" s="185" t="s">
        <v>1447</v>
      </c>
      <c r="B2404" s="136" t="s">
        <v>5719</v>
      </c>
      <c r="C2404" s="185" t="s">
        <v>3023</v>
      </c>
      <c r="D2404" s="133" t="s">
        <v>1713</v>
      </c>
      <c r="E2404" s="134">
        <v>1</v>
      </c>
      <c r="F2404" s="135" t="s">
        <v>1449</v>
      </c>
      <c r="G2404" s="185" t="s">
        <v>15</v>
      </c>
      <c r="H2404" s="185" t="s">
        <v>15</v>
      </c>
      <c r="I2404" s="185" t="s">
        <v>15</v>
      </c>
      <c r="J2404" s="135" t="s">
        <v>1450</v>
      </c>
      <c r="K2404" s="186">
        <v>0.49</v>
      </c>
      <c r="L2404" s="187" t="s">
        <v>173</v>
      </c>
      <c r="M2404" s="187" t="s">
        <v>175</v>
      </c>
    </row>
    <row r="2405" spans="1:13" s="188" customFormat="1">
      <c r="A2405" s="185" t="s">
        <v>1447</v>
      </c>
      <c r="B2405" s="136" t="s">
        <v>5720</v>
      </c>
      <c r="C2405" s="185" t="s">
        <v>3023</v>
      </c>
      <c r="D2405" s="133" t="s">
        <v>1713</v>
      </c>
      <c r="E2405" s="134">
        <v>1</v>
      </c>
      <c r="F2405" s="135" t="s">
        <v>1449</v>
      </c>
      <c r="G2405" s="185" t="s">
        <v>15</v>
      </c>
      <c r="H2405" s="185" t="s">
        <v>15</v>
      </c>
      <c r="I2405" s="185" t="s">
        <v>15</v>
      </c>
      <c r="J2405" s="135" t="s">
        <v>1450</v>
      </c>
      <c r="K2405" s="186">
        <v>0.47</v>
      </c>
      <c r="L2405" s="187" t="s">
        <v>173</v>
      </c>
      <c r="M2405" s="187" t="s">
        <v>175</v>
      </c>
    </row>
    <row r="2406" spans="1:13" s="188" customFormat="1">
      <c r="A2406" s="185" t="s">
        <v>1447</v>
      </c>
      <c r="B2406" s="136" t="s">
        <v>5721</v>
      </c>
      <c r="C2406" s="185" t="s">
        <v>3023</v>
      </c>
      <c r="D2406" s="133" t="s">
        <v>1713</v>
      </c>
      <c r="E2406" s="134">
        <v>1</v>
      </c>
      <c r="F2406" s="135" t="s">
        <v>1449</v>
      </c>
      <c r="G2406" s="185" t="s">
        <v>15</v>
      </c>
      <c r="H2406" s="185" t="s">
        <v>15</v>
      </c>
      <c r="I2406" s="185" t="s">
        <v>15</v>
      </c>
      <c r="J2406" s="135" t="s">
        <v>1450</v>
      </c>
      <c r="K2406" s="186">
        <v>0.44</v>
      </c>
      <c r="L2406" s="187" t="s">
        <v>173</v>
      </c>
      <c r="M2406" s="187" t="s">
        <v>175</v>
      </c>
    </row>
    <row r="2407" spans="1:13" s="188" customFormat="1">
      <c r="A2407" s="185" t="s">
        <v>1447</v>
      </c>
      <c r="B2407" s="136" t="s">
        <v>5722</v>
      </c>
      <c r="C2407" s="185" t="s">
        <v>3023</v>
      </c>
      <c r="D2407" s="133" t="s">
        <v>1713</v>
      </c>
      <c r="E2407" s="134">
        <v>1</v>
      </c>
      <c r="F2407" s="135" t="s">
        <v>1449</v>
      </c>
      <c r="G2407" s="185" t="s">
        <v>15</v>
      </c>
      <c r="H2407" s="185" t="s">
        <v>15</v>
      </c>
      <c r="I2407" s="185" t="s">
        <v>15</v>
      </c>
      <c r="J2407" s="135" t="s">
        <v>1450</v>
      </c>
      <c r="K2407" s="186">
        <v>0.4</v>
      </c>
      <c r="L2407" s="187" t="s">
        <v>173</v>
      </c>
      <c r="M2407" s="187" t="s">
        <v>175</v>
      </c>
    </row>
    <row r="2408" spans="1:13" s="188" customFormat="1">
      <c r="A2408" s="185" t="s">
        <v>1447</v>
      </c>
      <c r="B2408" s="136" t="s">
        <v>5723</v>
      </c>
      <c r="C2408" s="185" t="s">
        <v>3023</v>
      </c>
      <c r="D2408" s="133" t="s">
        <v>1713</v>
      </c>
      <c r="E2408" s="134">
        <v>1</v>
      </c>
      <c r="F2408" s="135" t="s">
        <v>1449</v>
      </c>
      <c r="G2408" s="185" t="s">
        <v>15</v>
      </c>
      <c r="H2408" s="185" t="s">
        <v>15</v>
      </c>
      <c r="I2408" s="185" t="s">
        <v>15</v>
      </c>
      <c r="J2408" s="135" t="s">
        <v>1450</v>
      </c>
      <c r="K2408" s="186">
        <v>0.3</v>
      </c>
      <c r="L2408" s="187" t="s">
        <v>173</v>
      </c>
      <c r="M2408" s="187" t="s">
        <v>175</v>
      </c>
    </row>
    <row r="2409" spans="1:13" s="188" customFormat="1">
      <c r="A2409" s="185" t="s">
        <v>1447</v>
      </c>
      <c r="B2409" s="136" t="s">
        <v>5724</v>
      </c>
      <c r="C2409" s="185" t="s">
        <v>3023</v>
      </c>
      <c r="D2409" s="133" t="s">
        <v>1713</v>
      </c>
      <c r="E2409" s="134">
        <v>1</v>
      </c>
      <c r="F2409" s="135" t="s">
        <v>1449</v>
      </c>
      <c r="G2409" s="185" t="s">
        <v>15</v>
      </c>
      <c r="H2409" s="185" t="s">
        <v>15</v>
      </c>
      <c r="I2409" s="185" t="s">
        <v>15</v>
      </c>
      <c r="J2409" s="135" t="s">
        <v>1450</v>
      </c>
      <c r="K2409" s="186">
        <v>0.22</v>
      </c>
      <c r="L2409" s="187" t="s">
        <v>173</v>
      </c>
      <c r="M2409" s="187" t="s">
        <v>175</v>
      </c>
    </row>
    <row r="2410" spans="1:13" s="188" customFormat="1">
      <c r="A2410" s="185" t="s">
        <v>1447</v>
      </c>
      <c r="B2410" s="133" t="s">
        <v>5725</v>
      </c>
      <c r="C2410" s="185" t="s">
        <v>3023</v>
      </c>
      <c r="D2410" s="133" t="s">
        <v>1714</v>
      </c>
      <c r="E2410" s="134">
        <v>1</v>
      </c>
      <c r="F2410" s="135" t="s">
        <v>1449</v>
      </c>
      <c r="G2410" s="185" t="s">
        <v>15</v>
      </c>
      <c r="H2410" s="185" t="s">
        <v>15</v>
      </c>
      <c r="I2410" s="185" t="s">
        <v>15</v>
      </c>
      <c r="J2410" s="135" t="s">
        <v>1450</v>
      </c>
      <c r="K2410" s="186">
        <v>0.79</v>
      </c>
      <c r="L2410" s="187" t="s">
        <v>173</v>
      </c>
      <c r="M2410" s="187" t="s">
        <v>175</v>
      </c>
    </row>
    <row r="2411" spans="1:13" s="188" customFormat="1">
      <c r="A2411" s="185" t="s">
        <v>1447</v>
      </c>
      <c r="B2411" s="133" t="s">
        <v>5726</v>
      </c>
      <c r="C2411" s="185" t="s">
        <v>3023</v>
      </c>
      <c r="D2411" s="133" t="s">
        <v>1714</v>
      </c>
      <c r="E2411" s="134">
        <v>1</v>
      </c>
      <c r="F2411" s="135" t="s">
        <v>1449</v>
      </c>
      <c r="G2411" s="185" t="s">
        <v>15</v>
      </c>
      <c r="H2411" s="185" t="s">
        <v>15</v>
      </c>
      <c r="I2411" s="185" t="s">
        <v>15</v>
      </c>
      <c r="J2411" s="135" t="s">
        <v>1450</v>
      </c>
      <c r="K2411" s="186">
        <v>0.6</v>
      </c>
      <c r="L2411" s="187" t="s">
        <v>173</v>
      </c>
      <c r="M2411" s="187" t="s">
        <v>175</v>
      </c>
    </row>
    <row r="2412" spans="1:13" s="188" customFormat="1">
      <c r="A2412" s="185" t="s">
        <v>1447</v>
      </c>
      <c r="B2412" s="136" t="s">
        <v>5727</v>
      </c>
      <c r="C2412" s="185" t="s">
        <v>3023</v>
      </c>
      <c r="D2412" s="133" t="s">
        <v>1714</v>
      </c>
      <c r="E2412" s="134">
        <v>1</v>
      </c>
      <c r="F2412" s="135" t="s">
        <v>1449</v>
      </c>
      <c r="G2412" s="185" t="s">
        <v>15</v>
      </c>
      <c r="H2412" s="185" t="s">
        <v>15</v>
      </c>
      <c r="I2412" s="185" t="s">
        <v>15</v>
      </c>
      <c r="J2412" s="135" t="s">
        <v>1450</v>
      </c>
      <c r="K2412" s="186">
        <v>0.49</v>
      </c>
      <c r="L2412" s="187" t="s">
        <v>173</v>
      </c>
      <c r="M2412" s="187" t="s">
        <v>175</v>
      </c>
    </row>
    <row r="2413" spans="1:13" s="188" customFormat="1">
      <c r="A2413" s="185" t="s">
        <v>1447</v>
      </c>
      <c r="B2413" s="136" t="s">
        <v>5728</v>
      </c>
      <c r="C2413" s="185" t="s">
        <v>3023</v>
      </c>
      <c r="D2413" s="133" t="s">
        <v>1714</v>
      </c>
      <c r="E2413" s="134">
        <v>1</v>
      </c>
      <c r="F2413" s="135" t="s">
        <v>1449</v>
      </c>
      <c r="G2413" s="185" t="s">
        <v>15</v>
      </c>
      <c r="H2413" s="185" t="s">
        <v>15</v>
      </c>
      <c r="I2413" s="185" t="s">
        <v>15</v>
      </c>
      <c r="J2413" s="135" t="s">
        <v>1450</v>
      </c>
      <c r="K2413" s="186">
        <v>0.47</v>
      </c>
      <c r="L2413" s="187" t="s">
        <v>173</v>
      </c>
      <c r="M2413" s="187" t="s">
        <v>175</v>
      </c>
    </row>
    <row r="2414" spans="1:13" s="188" customFormat="1">
      <c r="A2414" s="185" t="s">
        <v>1447</v>
      </c>
      <c r="B2414" s="136" t="s">
        <v>5729</v>
      </c>
      <c r="C2414" s="185" t="s">
        <v>3023</v>
      </c>
      <c r="D2414" s="133" t="s">
        <v>1714</v>
      </c>
      <c r="E2414" s="134">
        <v>1</v>
      </c>
      <c r="F2414" s="135" t="s">
        <v>1449</v>
      </c>
      <c r="G2414" s="185" t="s">
        <v>15</v>
      </c>
      <c r="H2414" s="185" t="s">
        <v>15</v>
      </c>
      <c r="I2414" s="185" t="s">
        <v>15</v>
      </c>
      <c r="J2414" s="135" t="s">
        <v>1450</v>
      </c>
      <c r="K2414" s="186">
        <v>0.44</v>
      </c>
      <c r="L2414" s="187" t="s">
        <v>173</v>
      </c>
      <c r="M2414" s="187" t="s">
        <v>175</v>
      </c>
    </row>
    <row r="2415" spans="1:13" s="188" customFormat="1">
      <c r="A2415" s="185" t="s">
        <v>1447</v>
      </c>
      <c r="B2415" s="136" t="s">
        <v>5730</v>
      </c>
      <c r="C2415" s="185" t="s">
        <v>3023</v>
      </c>
      <c r="D2415" s="133" t="s">
        <v>1714</v>
      </c>
      <c r="E2415" s="134">
        <v>1</v>
      </c>
      <c r="F2415" s="135" t="s">
        <v>1449</v>
      </c>
      <c r="G2415" s="185" t="s">
        <v>15</v>
      </c>
      <c r="H2415" s="185" t="s">
        <v>15</v>
      </c>
      <c r="I2415" s="185" t="s">
        <v>15</v>
      </c>
      <c r="J2415" s="135" t="s">
        <v>1450</v>
      </c>
      <c r="K2415" s="186">
        <v>0.4</v>
      </c>
      <c r="L2415" s="187" t="s">
        <v>173</v>
      </c>
      <c r="M2415" s="187" t="s">
        <v>175</v>
      </c>
    </row>
    <row r="2416" spans="1:13" s="188" customFormat="1">
      <c r="A2416" s="185" t="s">
        <v>1447</v>
      </c>
      <c r="B2416" s="136" t="s">
        <v>5731</v>
      </c>
      <c r="C2416" s="185" t="s">
        <v>3023</v>
      </c>
      <c r="D2416" s="133" t="s">
        <v>1714</v>
      </c>
      <c r="E2416" s="134">
        <v>1</v>
      </c>
      <c r="F2416" s="135" t="s">
        <v>1449</v>
      </c>
      <c r="G2416" s="185" t="s">
        <v>15</v>
      </c>
      <c r="H2416" s="185" t="s">
        <v>15</v>
      </c>
      <c r="I2416" s="185" t="s">
        <v>15</v>
      </c>
      <c r="J2416" s="135" t="s">
        <v>1450</v>
      </c>
      <c r="K2416" s="186">
        <v>0.3</v>
      </c>
      <c r="L2416" s="187" t="s">
        <v>173</v>
      </c>
      <c r="M2416" s="187" t="s">
        <v>175</v>
      </c>
    </row>
    <row r="2417" spans="1:13" s="188" customFormat="1">
      <c r="A2417" s="185" t="s">
        <v>1447</v>
      </c>
      <c r="B2417" s="136" t="s">
        <v>5732</v>
      </c>
      <c r="C2417" s="185" t="s">
        <v>3023</v>
      </c>
      <c r="D2417" s="133" t="s">
        <v>1714</v>
      </c>
      <c r="E2417" s="134">
        <v>1</v>
      </c>
      <c r="F2417" s="135" t="s">
        <v>1449</v>
      </c>
      <c r="G2417" s="185" t="s">
        <v>15</v>
      </c>
      <c r="H2417" s="185" t="s">
        <v>15</v>
      </c>
      <c r="I2417" s="185" t="s">
        <v>15</v>
      </c>
      <c r="J2417" s="135" t="s">
        <v>1450</v>
      </c>
      <c r="K2417" s="186">
        <v>0.22</v>
      </c>
      <c r="L2417" s="187" t="s">
        <v>173</v>
      </c>
      <c r="M2417" s="187" t="s">
        <v>175</v>
      </c>
    </row>
    <row r="2418" spans="1:13" s="188" customFormat="1">
      <c r="A2418" s="185" t="s">
        <v>1447</v>
      </c>
      <c r="B2418" s="133" t="s">
        <v>5733</v>
      </c>
      <c r="C2418" s="185" t="s">
        <v>3023</v>
      </c>
      <c r="D2418" s="133" t="s">
        <v>1715</v>
      </c>
      <c r="E2418" s="134">
        <v>1</v>
      </c>
      <c r="F2418" s="135" t="s">
        <v>1449</v>
      </c>
      <c r="G2418" s="185" t="s">
        <v>15</v>
      </c>
      <c r="H2418" s="185" t="s">
        <v>15</v>
      </c>
      <c r="I2418" s="185" t="s">
        <v>15</v>
      </c>
      <c r="J2418" s="135" t="s">
        <v>1450</v>
      </c>
      <c r="K2418" s="186">
        <v>30336</v>
      </c>
      <c r="L2418" s="187" t="s">
        <v>173</v>
      </c>
      <c r="M2418" s="187" t="s">
        <v>175</v>
      </c>
    </row>
    <row r="2419" spans="1:13" s="188" customFormat="1">
      <c r="A2419" s="185" t="s">
        <v>1447</v>
      </c>
      <c r="B2419" s="133" t="s">
        <v>5734</v>
      </c>
      <c r="C2419" s="185" t="s">
        <v>3023</v>
      </c>
      <c r="D2419" s="133" t="s">
        <v>1715</v>
      </c>
      <c r="E2419" s="134">
        <v>1</v>
      </c>
      <c r="F2419" s="135" t="s">
        <v>1449</v>
      </c>
      <c r="G2419" s="185" t="s">
        <v>15</v>
      </c>
      <c r="H2419" s="185" t="s">
        <v>15</v>
      </c>
      <c r="I2419" s="185" t="s">
        <v>15</v>
      </c>
      <c r="J2419" s="135" t="s">
        <v>1450</v>
      </c>
      <c r="K2419" s="186">
        <v>23652</v>
      </c>
      <c r="L2419" s="187" t="s">
        <v>173</v>
      </c>
      <c r="M2419" s="187" t="s">
        <v>175</v>
      </c>
    </row>
    <row r="2420" spans="1:13" s="188" customFormat="1">
      <c r="A2420" s="185" t="s">
        <v>1447</v>
      </c>
      <c r="B2420" s="133" t="s">
        <v>5735</v>
      </c>
      <c r="C2420" s="185" t="s">
        <v>3023</v>
      </c>
      <c r="D2420" s="133" t="s">
        <v>1715</v>
      </c>
      <c r="E2420" s="134">
        <v>1</v>
      </c>
      <c r="F2420" s="135" t="s">
        <v>1449</v>
      </c>
      <c r="G2420" s="185" t="s">
        <v>15</v>
      </c>
      <c r="H2420" s="185" t="s">
        <v>15</v>
      </c>
      <c r="I2420" s="185" t="s">
        <v>15</v>
      </c>
      <c r="J2420" s="135" t="s">
        <v>1450</v>
      </c>
      <c r="K2420" s="186">
        <v>16248</v>
      </c>
      <c r="L2420" s="187" t="s">
        <v>173</v>
      </c>
      <c r="M2420" s="187" t="s">
        <v>175</v>
      </c>
    </row>
    <row r="2421" spans="1:13" s="188" customFormat="1">
      <c r="A2421" s="185" t="s">
        <v>1447</v>
      </c>
      <c r="B2421" s="133" t="s">
        <v>5736</v>
      </c>
      <c r="C2421" s="185" t="s">
        <v>3023</v>
      </c>
      <c r="D2421" s="133" t="s">
        <v>1715</v>
      </c>
      <c r="E2421" s="134">
        <v>1</v>
      </c>
      <c r="F2421" s="135" t="s">
        <v>1449</v>
      </c>
      <c r="G2421" s="185" t="s">
        <v>15</v>
      </c>
      <c r="H2421" s="185" t="s">
        <v>15</v>
      </c>
      <c r="I2421" s="185" t="s">
        <v>15</v>
      </c>
      <c r="J2421" s="135" t="s">
        <v>1450</v>
      </c>
      <c r="K2421" s="186">
        <v>13008</v>
      </c>
      <c r="L2421" s="187" t="s">
        <v>173</v>
      </c>
      <c r="M2421" s="187" t="s">
        <v>175</v>
      </c>
    </row>
    <row r="2422" spans="1:13" s="188" customFormat="1">
      <c r="A2422" s="185" t="s">
        <v>1447</v>
      </c>
      <c r="B2422" s="133" t="s">
        <v>5737</v>
      </c>
      <c r="C2422" s="185" t="s">
        <v>3023</v>
      </c>
      <c r="D2422" s="133" t="s">
        <v>1715</v>
      </c>
      <c r="E2422" s="134">
        <v>1</v>
      </c>
      <c r="F2422" s="135" t="s">
        <v>1449</v>
      </c>
      <c r="G2422" s="185" t="s">
        <v>15</v>
      </c>
      <c r="H2422" s="185" t="s">
        <v>15</v>
      </c>
      <c r="I2422" s="185" t="s">
        <v>15</v>
      </c>
      <c r="J2422" s="135" t="s">
        <v>1450</v>
      </c>
      <c r="K2422" s="186">
        <v>11676</v>
      </c>
      <c r="L2422" s="187" t="s">
        <v>173</v>
      </c>
      <c r="M2422" s="187" t="s">
        <v>175</v>
      </c>
    </row>
    <row r="2423" spans="1:13" s="188" customFormat="1">
      <c r="A2423" s="185" t="s">
        <v>1447</v>
      </c>
      <c r="B2423" s="133" t="s">
        <v>5738</v>
      </c>
      <c r="C2423" s="185" t="s">
        <v>3023</v>
      </c>
      <c r="D2423" s="133" t="s">
        <v>1716</v>
      </c>
      <c r="E2423" s="134">
        <v>1</v>
      </c>
      <c r="F2423" s="135" t="s">
        <v>1449</v>
      </c>
      <c r="G2423" s="185" t="s">
        <v>15</v>
      </c>
      <c r="H2423" s="185" t="s">
        <v>15</v>
      </c>
      <c r="I2423" s="185" t="s">
        <v>15</v>
      </c>
      <c r="J2423" s="135" t="s">
        <v>1450</v>
      </c>
      <c r="K2423" s="186">
        <v>780000</v>
      </c>
      <c r="L2423" s="187" t="s">
        <v>173</v>
      </c>
      <c r="M2423" s="187" t="s">
        <v>175</v>
      </c>
    </row>
    <row r="2424" spans="1:13" s="188" customFormat="1">
      <c r="A2424" s="185" t="s">
        <v>1447</v>
      </c>
      <c r="B2424" s="133" t="s">
        <v>5739</v>
      </c>
      <c r="C2424" s="185" t="s">
        <v>3023</v>
      </c>
      <c r="D2424" s="133" t="s">
        <v>1717</v>
      </c>
      <c r="E2424" s="134">
        <v>1</v>
      </c>
      <c r="F2424" s="135" t="s">
        <v>1449</v>
      </c>
      <c r="G2424" s="185" t="s">
        <v>15</v>
      </c>
      <c r="H2424" s="185" t="s">
        <v>15</v>
      </c>
      <c r="I2424" s="185" t="s">
        <v>15</v>
      </c>
      <c r="J2424" s="135" t="s">
        <v>1450</v>
      </c>
      <c r="K2424" s="186">
        <v>16260</v>
      </c>
      <c r="L2424" s="187" t="s">
        <v>173</v>
      </c>
      <c r="M2424" s="187" t="s">
        <v>175</v>
      </c>
    </row>
    <row r="2425" spans="1:13" s="188" customFormat="1">
      <c r="A2425" s="185" t="s">
        <v>1447</v>
      </c>
      <c r="B2425" s="133" t="s">
        <v>5740</v>
      </c>
      <c r="C2425" s="185" t="s">
        <v>3023</v>
      </c>
      <c r="D2425" s="133" t="s">
        <v>1717</v>
      </c>
      <c r="E2425" s="134">
        <v>1</v>
      </c>
      <c r="F2425" s="135" t="s">
        <v>1449</v>
      </c>
      <c r="G2425" s="185" t="s">
        <v>15</v>
      </c>
      <c r="H2425" s="185" t="s">
        <v>15</v>
      </c>
      <c r="I2425" s="185" t="s">
        <v>15</v>
      </c>
      <c r="J2425" s="135" t="s">
        <v>1450</v>
      </c>
      <c r="K2425" s="186">
        <v>13260</v>
      </c>
      <c r="L2425" s="187" t="s">
        <v>173</v>
      </c>
      <c r="M2425" s="187" t="s">
        <v>175</v>
      </c>
    </row>
    <row r="2426" spans="1:13" s="188" customFormat="1">
      <c r="A2426" s="185" t="s">
        <v>1447</v>
      </c>
      <c r="B2426" s="133" t="s">
        <v>5741</v>
      </c>
      <c r="C2426" s="185" t="s">
        <v>3023</v>
      </c>
      <c r="D2426" s="133" t="s">
        <v>1717</v>
      </c>
      <c r="E2426" s="134">
        <v>1</v>
      </c>
      <c r="F2426" s="135" t="s">
        <v>1449</v>
      </c>
      <c r="G2426" s="185" t="s">
        <v>15</v>
      </c>
      <c r="H2426" s="185" t="s">
        <v>15</v>
      </c>
      <c r="I2426" s="185" t="s">
        <v>15</v>
      </c>
      <c r="J2426" s="135" t="s">
        <v>1450</v>
      </c>
      <c r="K2426" s="186">
        <v>7892</v>
      </c>
      <c r="L2426" s="187" t="s">
        <v>173</v>
      </c>
      <c r="M2426" s="187" t="s">
        <v>175</v>
      </c>
    </row>
    <row r="2427" spans="1:13" s="188" customFormat="1">
      <c r="A2427" s="185" t="s">
        <v>1447</v>
      </c>
      <c r="B2427" s="133" t="s">
        <v>5742</v>
      </c>
      <c r="C2427" s="185" t="s">
        <v>3023</v>
      </c>
      <c r="D2427" s="133" t="s">
        <v>1717</v>
      </c>
      <c r="E2427" s="134">
        <v>1</v>
      </c>
      <c r="F2427" s="135" t="s">
        <v>1449</v>
      </c>
      <c r="G2427" s="185" t="s">
        <v>15</v>
      </c>
      <c r="H2427" s="185" t="s">
        <v>15</v>
      </c>
      <c r="I2427" s="185" t="s">
        <v>15</v>
      </c>
      <c r="J2427" s="135" t="s">
        <v>1450</v>
      </c>
      <c r="K2427" s="186">
        <v>6949</v>
      </c>
      <c r="L2427" s="187" t="s">
        <v>173</v>
      </c>
      <c r="M2427" s="187" t="s">
        <v>175</v>
      </c>
    </row>
    <row r="2428" spans="1:13" s="188" customFormat="1">
      <c r="A2428" s="185" t="s">
        <v>1447</v>
      </c>
      <c r="B2428" s="133" t="s">
        <v>5743</v>
      </c>
      <c r="C2428" s="185" t="s">
        <v>3023</v>
      </c>
      <c r="D2428" s="133" t="s">
        <v>1717</v>
      </c>
      <c r="E2428" s="134">
        <v>1</v>
      </c>
      <c r="F2428" s="135" t="s">
        <v>1449</v>
      </c>
      <c r="G2428" s="185" t="s">
        <v>15</v>
      </c>
      <c r="H2428" s="185" t="s">
        <v>15</v>
      </c>
      <c r="I2428" s="185" t="s">
        <v>15</v>
      </c>
      <c r="J2428" s="135" t="s">
        <v>1450</v>
      </c>
      <c r="K2428" s="186">
        <v>6098</v>
      </c>
      <c r="L2428" s="187" t="s">
        <v>173</v>
      </c>
      <c r="M2428" s="187" t="s">
        <v>175</v>
      </c>
    </row>
    <row r="2429" spans="1:13" s="188" customFormat="1">
      <c r="A2429" s="185" t="s">
        <v>1447</v>
      </c>
      <c r="B2429" s="133" t="s">
        <v>5744</v>
      </c>
      <c r="C2429" s="185" t="s">
        <v>3023</v>
      </c>
      <c r="D2429" s="133" t="s">
        <v>1717</v>
      </c>
      <c r="E2429" s="134">
        <v>1</v>
      </c>
      <c r="F2429" s="135" t="s">
        <v>1449</v>
      </c>
      <c r="G2429" s="185" t="s">
        <v>15</v>
      </c>
      <c r="H2429" s="185" t="s">
        <v>15</v>
      </c>
      <c r="I2429" s="185" t="s">
        <v>15</v>
      </c>
      <c r="J2429" s="135" t="s">
        <v>1450</v>
      </c>
      <c r="K2429" s="186">
        <v>5798</v>
      </c>
      <c r="L2429" s="187" t="s">
        <v>173</v>
      </c>
      <c r="M2429" s="187" t="s">
        <v>175</v>
      </c>
    </row>
    <row r="2430" spans="1:13" s="188" customFormat="1">
      <c r="A2430" s="185" t="s">
        <v>1447</v>
      </c>
      <c r="B2430" s="133" t="s">
        <v>5745</v>
      </c>
      <c r="C2430" s="185" t="s">
        <v>3023</v>
      </c>
      <c r="D2430" s="133" t="s">
        <v>1718</v>
      </c>
      <c r="E2430" s="134">
        <v>1</v>
      </c>
      <c r="F2430" s="135" t="s">
        <v>1449</v>
      </c>
      <c r="G2430" s="185" t="s">
        <v>15</v>
      </c>
      <c r="H2430" s="185" t="s">
        <v>15</v>
      </c>
      <c r="I2430" s="185" t="s">
        <v>15</v>
      </c>
      <c r="J2430" s="135" t="s">
        <v>1450</v>
      </c>
      <c r="K2430" s="186">
        <v>1.05</v>
      </c>
      <c r="L2430" s="187" t="s">
        <v>173</v>
      </c>
      <c r="M2430" s="187" t="s">
        <v>175</v>
      </c>
    </row>
    <row r="2431" spans="1:13" s="188" customFormat="1">
      <c r="A2431" s="185" t="s">
        <v>1447</v>
      </c>
      <c r="B2431" s="133" t="s">
        <v>5746</v>
      </c>
      <c r="C2431" s="185" t="s">
        <v>3023</v>
      </c>
      <c r="D2431" s="133" t="s">
        <v>1719</v>
      </c>
      <c r="E2431" s="134">
        <v>1</v>
      </c>
      <c r="F2431" s="135" t="s">
        <v>1449</v>
      </c>
      <c r="G2431" s="185" t="s">
        <v>15</v>
      </c>
      <c r="H2431" s="185" t="s">
        <v>15</v>
      </c>
      <c r="I2431" s="185" t="s">
        <v>15</v>
      </c>
      <c r="J2431" s="135" t="s">
        <v>1450</v>
      </c>
      <c r="K2431" s="186">
        <v>0.6</v>
      </c>
      <c r="L2431" s="187" t="s">
        <v>173</v>
      </c>
      <c r="M2431" s="187" t="s">
        <v>175</v>
      </c>
    </row>
    <row r="2432" spans="1:13" s="188" customFormat="1">
      <c r="A2432" s="185" t="s">
        <v>1447</v>
      </c>
      <c r="B2432" s="133" t="s">
        <v>5747</v>
      </c>
      <c r="C2432" s="185" t="s">
        <v>3023</v>
      </c>
      <c r="D2432" s="133" t="s">
        <v>1720</v>
      </c>
      <c r="E2432" s="134">
        <v>1</v>
      </c>
      <c r="F2432" s="135" t="s">
        <v>1449</v>
      </c>
      <c r="G2432" s="185" t="s">
        <v>15</v>
      </c>
      <c r="H2432" s="185" t="s">
        <v>15</v>
      </c>
      <c r="I2432" s="185" t="s">
        <v>15</v>
      </c>
      <c r="J2432" s="135" t="s">
        <v>1450</v>
      </c>
      <c r="K2432" s="186">
        <v>19764</v>
      </c>
      <c r="L2432" s="187" t="s">
        <v>173</v>
      </c>
      <c r="M2432" s="187" t="s">
        <v>175</v>
      </c>
    </row>
    <row r="2433" spans="1:13" s="188" customFormat="1">
      <c r="A2433" s="185" t="s">
        <v>1447</v>
      </c>
      <c r="B2433" s="133" t="s">
        <v>5748</v>
      </c>
      <c r="C2433" s="185" t="s">
        <v>3023</v>
      </c>
      <c r="D2433" s="133" t="s">
        <v>1720</v>
      </c>
      <c r="E2433" s="134">
        <v>1</v>
      </c>
      <c r="F2433" s="135" t="s">
        <v>1449</v>
      </c>
      <c r="G2433" s="185" t="s">
        <v>15</v>
      </c>
      <c r="H2433" s="185" t="s">
        <v>15</v>
      </c>
      <c r="I2433" s="185" t="s">
        <v>15</v>
      </c>
      <c r="J2433" s="135" t="s">
        <v>1450</v>
      </c>
      <c r="K2433" s="186">
        <v>13608</v>
      </c>
      <c r="L2433" s="187" t="s">
        <v>173</v>
      </c>
      <c r="M2433" s="187" t="s">
        <v>175</v>
      </c>
    </row>
    <row r="2434" spans="1:13" s="188" customFormat="1">
      <c r="A2434" s="185" t="s">
        <v>1447</v>
      </c>
      <c r="B2434" s="133" t="s">
        <v>5749</v>
      </c>
      <c r="C2434" s="185" t="s">
        <v>3023</v>
      </c>
      <c r="D2434" s="133" t="s">
        <v>1720</v>
      </c>
      <c r="E2434" s="134">
        <v>1</v>
      </c>
      <c r="F2434" s="135" t="s">
        <v>1449</v>
      </c>
      <c r="G2434" s="185" t="s">
        <v>15</v>
      </c>
      <c r="H2434" s="185" t="s">
        <v>15</v>
      </c>
      <c r="I2434" s="185" t="s">
        <v>15</v>
      </c>
      <c r="J2434" s="135" t="s">
        <v>1450</v>
      </c>
      <c r="K2434" s="186">
        <v>8748</v>
      </c>
      <c r="L2434" s="187" t="s">
        <v>173</v>
      </c>
      <c r="M2434" s="187" t="s">
        <v>175</v>
      </c>
    </row>
    <row r="2435" spans="1:13" s="188" customFormat="1">
      <c r="A2435" s="185" t="s">
        <v>1447</v>
      </c>
      <c r="B2435" s="133" t="s">
        <v>5750</v>
      </c>
      <c r="C2435" s="185" t="s">
        <v>3023</v>
      </c>
      <c r="D2435" s="133" t="s">
        <v>1720</v>
      </c>
      <c r="E2435" s="134">
        <v>1</v>
      </c>
      <c r="F2435" s="135" t="s">
        <v>1449</v>
      </c>
      <c r="G2435" s="185" t="s">
        <v>15</v>
      </c>
      <c r="H2435" s="185" t="s">
        <v>15</v>
      </c>
      <c r="I2435" s="185" t="s">
        <v>15</v>
      </c>
      <c r="J2435" s="135" t="s">
        <v>1450</v>
      </c>
      <c r="K2435" s="186">
        <v>7560</v>
      </c>
      <c r="L2435" s="187" t="s">
        <v>173</v>
      </c>
      <c r="M2435" s="187" t="s">
        <v>175</v>
      </c>
    </row>
    <row r="2436" spans="1:13" s="188" customFormat="1">
      <c r="A2436" s="185" t="s">
        <v>1447</v>
      </c>
      <c r="B2436" s="133" t="s">
        <v>5751</v>
      </c>
      <c r="C2436" s="185" t="s">
        <v>3023</v>
      </c>
      <c r="D2436" s="133" t="s">
        <v>1720</v>
      </c>
      <c r="E2436" s="134">
        <v>1</v>
      </c>
      <c r="F2436" s="135" t="s">
        <v>1449</v>
      </c>
      <c r="G2436" s="185" t="s">
        <v>15</v>
      </c>
      <c r="H2436" s="185" t="s">
        <v>15</v>
      </c>
      <c r="I2436" s="185" t="s">
        <v>15</v>
      </c>
      <c r="J2436" s="135" t="s">
        <v>1450</v>
      </c>
      <c r="K2436" s="186">
        <v>6804</v>
      </c>
      <c r="L2436" s="187" t="s">
        <v>173</v>
      </c>
      <c r="M2436" s="187" t="s">
        <v>175</v>
      </c>
    </row>
    <row r="2437" spans="1:13" s="188" customFormat="1">
      <c r="A2437" s="185" t="s">
        <v>1447</v>
      </c>
      <c r="B2437" s="133" t="s">
        <v>5752</v>
      </c>
      <c r="C2437" s="185" t="s">
        <v>3023</v>
      </c>
      <c r="D2437" s="133" t="s">
        <v>1721</v>
      </c>
      <c r="E2437" s="134">
        <v>1</v>
      </c>
      <c r="F2437" s="135" t="s">
        <v>1449</v>
      </c>
      <c r="G2437" s="185" t="s">
        <v>15</v>
      </c>
      <c r="H2437" s="185" t="s">
        <v>15</v>
      </c>
      <c r="I2437" s="185" t="s">
        <v>15</v>
      </c>
      <c r="J2437" s="135" t="s">
        <v>1450</v>
      </c>
      <c r="K2437" s="186">
        <v>0.64</v>
      </c>
      <c r="L2437" s="187" t="s">
        <v>173</v>
      </c>
      <c r="M2437" s="187" t="s">
        <v>175</v>
      </c>
    </row>
    <row r="2438" spans="1:13" s="188" customFormat="1">
      <c r="A2438" s="185" t="s">
        <v>1447</v>
      </c>
      <c r="B2438" s="136" t="s">
        <v>5753</v>
      </c>
      <c r="C2438" s="185" t="s">
        <v>3023</v>
      </c>
      <c r="D2438" s="133" t="s">
        <v>1721</v>
      </c>
      <c r="E2438" s="134">
        <v>1</v>
      </c>
      <c r="F2438" s="135" t="s">
        <v>1449</v>
      </c>
      <c r="G2438" s="185" t="s">
        <v>15</v>
      </c>
      <c r="H2438" s="185" t="s">
        <v>15</v>
      </c>
      <c r="I2438" s="185" t="s">
        <v>15</v>
      </c>
      <c r="J2438" s="135" t="s">
        <v>1450</v>
      </c>
      <c r="K2438" s="186">
        <v>0.46</v>
      </c>
      <c r="L2438" s="187" t="s">
        <v>173</v>
      </c>
      <c r="M2438" s="187" t="s">
        <v>175</v>
      </c>
    </row>
    <row r="2439" spans="1:13" s="188" customFormat="1">
      <c r="A2439" s="185" t="s">
        <v>1447</v>
      </c>
      <c r="B2439" s="136" t="s">
        <v>5754</v>
      </c>
      <c r="C2439" s="185" t="s">
        <v>3023</v>
      </c>
      <c r="D2439" s="133" t="s">
        <v>1721</v>
      </c>
      <c r="E2439" s="134">
        <v>1</v>
      </c>
      <c r="F2439" s="135" t="s">
        <v>1449</v>
      </c>
      <c r="G2439" s="185" t="s">
        <v>15</v>
      </c>
      <c r="H2439" s="185" t="s">
        <v>15</v>
      </c>
      <c r="I2439" s="185" t="s">
        <v>15</v>
      </c>
      <c r="J2439" s="135" t="s">
        <v>1450</v>
      </c>
      <c r="K2439" s="186">
        <v>0.28000000000000003</v>
      </c>
      <c r="L2439" s="187" t="s">
        <v>173</v>
      </c>
      <c r="M2439" s="187" t="s">
        <v>175</v>
      </c>
    </row>
    <row r="2440" spans="1:13" s="188" customFormat="1">
      <c r="A2440" s="185" t="s">
        <v>1447</v>
      </c>
      <c r="B2440" s="136" t="s">
        <v>5755</v>
      </c>
      <c r="C2440" s="185" t="s">
        <v>3023</v>
      </c>
      <c r="D2440" s="133" t="s">
        <v>1721</v>
      </c>
      <c r="E2440" s="134">
        <v>1</v>
      </c>
      <c r="F2440" s="135" t="s">
        <v>1449</v>
      </c>
      <c r="G2440" s="185" t="s">
        <v>15</v>
      </c>
      <c r="H2440" s="185" t="s">
        <v>15</v>
      </c>
      <c r="I2440" s="185" t="s">
        <v>15</v>
      </c>
      <c r="J2440" s="135" t="s">
        <v>1450</v>
      </c>
      <c r="K2440" s="186">
        <v>0.23</v>
      </c>
      <c r="L2440" s="187" t="s">
        <v>173</v>
      </c>
      <c r="M2440" s="187" t="s">
        <v>175</v>
      </c>
    </row>
    <row r="2441" spans="1:13" s="188" customFormat="1">
      <c r="A2441" s="185" t="s">
        <v>1447</v>
      </c>
      <c r="B2441" s="136" t="s">
        <v>5756</v>
      </c>
      <c r="C2441" s="185" t="s">
        <v>3023</v>
      </c>
      <c r="D2441" s="133" t="s">
        <v>1721</v>
      </c>
      <c r="E2441" s="134">
        <v>1</v>
      </c>
      <c r="F2441" s="135" t="s">
        <v>1449</v>
      </c>
      <c r="G2441" s="185" t="s">
        <v>15</v>
      </c>
      <c r="H2441" s="185" t="s">
        <v>15</v>
      </c>
      <c r="I2441" s="185" t="s">
        <v>15</v>
      </c>
      <c r="J2441" s="135" t="s">
        <v>1450</v>
      </c>
      <c r="K2441" s="186">
        <v>0.16800000000000001</v>
      </c>
      <c r="L2441" s="187" t="s">
        <v>173</v>
      </c>
      <c r="M2441" s="187" t="s">
        <v>175</v>
      </c>
    </row>
    <row r="2442" spans="1:13" s="188" customFormat="1">
      <c r="A2442" s="185" t="s">
        <v>1447</v>
      </c>
      <c r="B2442" s="136" t="s">
        <v>5757</v>
      </c>
      <c r="C2442" s="185" t="s">
        <v>3023</v>
      </c>
      <c r="D2442" s="133" t="s">
        <v>1721</v>
      </c>
      <c r="E2442" s="134">
        <v>1</v>
      </c>
      <c r="F2442" s="135" t="s">
        <v>1449</v>
      </c>
      <c r="G2442" s="185" t="s">
        <v>15</v>
      </c>
      <c r="H2442" s="185" t="s">
        <v>15</v>
      </c>
      <c r="I2442" s="185" t="s">
        <v>15</v>
      </c>
      <c r="J2442" s="135" t="s">
        <v>1450</v>
      </c>
      <c r="K2442" s="186">
        <v>0.128</v>
      </c>
      <c r="L2442" s="187" t="s">
        <v>173</v>
      </c>
      <c r="M2442" s="187" t="s">
        <v>175</v>
      </c>
    </row>
    <row r="2443" spans="1:13" s="188" customFormat="1">
      <c r="A2443" s="185" t="s">
        <v>1447</v>
      </c>
      <c r="B2443" s="136" t="s">
        <v>5758</v>
      </c>
      <c r="C2443" s="185" t="s">
        <v>3023</v>
      </c>
      <c r="D2443" s="133" t="s">
        <v>1721</v>
      </c>
      <c r="E2443" s="134">
        <v>1</v>
      </c>
      <c r="F2443" s="135" t="s">
        <v>1449</v>
      </c>
      <c r="G2443" s="185" t="s">
        <v>15</v>
      </c>
      <c r="H2443" s="185" t="s">
        <v>15</v>
      </c>
      <c r="I2443" s="185" t="s">
        <v>15</v>
      </c>
      <c r="J2443" s="135" t="s">
        <v>1450</v>
      </c>
      <c r="K2443" s="186">
        <v>6.4000000000000001E-2</v>
      </c>
      <c r="L2443" s="187" t="s">
        <v>173</v>
      </c>
      <c r="M2443" s="187" t="s">
        <v>175</v>
      </c>
    </row>
    <row r="2444" spans="1:13" s="188" customFormat="1">
      <c r="A2444" s="185" t="s">
        <v>1447</v>
      </c>
      <c r="B2444" s="136" t="s">
        <v>5759</v>
      </c>
      <c r="C2444" s="185" t="s">
        <v>3023</v>
      </c>
      <c r="D2444" s="133" t="s">
        <v>1721</v>
      </c>
      <c r="E2444" s="134">
        <v>1</v>
      </c>
      <c r="F2444" s="135" t="s">
        <v>1449</v>
      </c>
      <c r="G2444" s="185" t="s">
        <v>15</v>
      </c>
      <c r="H2444" s="185" t="s">
        <v>15</v>
      </c>
      <c r="I2444" s="185" t="s">
        <v>15</v>
      </c>
      <c r="J2444" s="135" t="s">
        <v>1450</v>
      </c>
      <c r="K2444" s="186">
        <v>5.6000000000000001E-2</v>
      </c>
      <c r="L2444" s="187" t="s">
        <v>173</v>
      </c>
      <c r="M2444" s="187" t="s">
        <v>175</v>
      </c>
    </row>
    <row r="2445" spans="1:13" s="188" customFormat="1">
      <c r="A2445" s="185" t="s">
        <v>1447</v>
      </c>
      <c r="B2445" s="136" t="s">
        <v>5760</v>
      </c>
      <c r="C2445" s="185" t="s">
        <v>3023</v>
      </c>
      <c r="D2445" s="133" t="s">
        <v>1721</v>
      </c>
      <c r="E2445" s="134">
        <v>1</v>
      </c>
      <c r="F2445" s="135" t="s">
        <v>1449</v>
      </c>
      <c r="G2445" s="185" t="s">
        <v>15</v>
      </c>
      <c r="H2445" s="185" t="s">
        <v>15</v>
      </c>
      <c r="I2445" s="185" t="s">
        <v>15</v>
      </c>
      <c r="J2445" s="135" t="s">
        <v>1450</v>
      </c>
      <c r="K2445" s="186">
        <v>4.8000000000000001E-2</v>
      </c>
      <c r="L2445" s="187" t="s">
        <v>173</v>
      </c>
      <c r="M2445" s="187" t="s">
        <v>175</v>
      </c>
    </row>
    <row r="2446" spans="1:13" s="188" customFormat="1">
      <c r="A2446" s="185" t="s">
        <v>1447</v>
      </c>
      <c r="B2446" s="133" t="s">
        <v>5761</v>
      </c>
      <c r="C2446" s="185" t="s">
        <v>3023</v>
      </c>
      <c r="D2446" s="133" t="s">
        <v>5762</v>
      </c>
      <c r="E2446" s="134">
        <v>1</v>
      </c>
      <c r="F2446" s="135" t="s">
        <v>1449</v>
      </c>
      <c r="G2446" s="185" t="s">
        <v>15</v>
      </c>
      <c r="H2446" s="185" t="s">
        <v>15</v>
      </c>
      <c r="I2446" s="185" t="s">
        <v>15</v>
      </c>
      <c r="J2446" s="135" t="s">
        <v>1450</v>
      </c>
      <c r="K2446" s="186">
        <v>200000</v>
      </c>
      <c r="L2446" s="187" t="s">
        <v>173</v>
      </c>
      <c r="M2446" s="187" t="s">
        <v>175</v>
      </c>
    </row>
    <row r="2447" spans="1:13" s="188" customFormat="1">
      <c r="A2447" s="185" t="s">
        <v>1447</v>
      </c>
      <c r="B2447" s="133" t="s">
        <v>5763</v>
      </c>
      <c r="C2447" s="185" t="s">
        <v>3023</v>
      </c>
      <c r="D2447" s="133" t="s">
        <v>1722</v>
      </c>
      <c r="E2447" s="134">
        <v>1</v>
      </c>
      <c r="F2447" s="135" t="s">
        <v>1449</v>
      </c>
      <c r="G2447" s="185" t="s">
        <v>15</v>
      </c>
      <c r="H2447" s="185" t="s">
        <v>15</v>
      </c>
      <c r="I2447" s="185" t="s">
        <v>15</v>
      </c>
      <c r="J2447" s="135" t="s">
        <v>1450</v>
      </c>
      <c r="K2447" s="186">
        <v>0.85</v>
      </c>
      <c r="L2447" s="187" t="s">
        <v>173</v>
      </c>
      <c r="M2447" s="187" t="s">
        <v>175</v>
      </c>
    </row>
    <row r="2448" spans="1:13" s="188" customFormat="1">
      <c r="A2448" s="185" t="s">
        <v>1447</v>
      </c>
      <c r="B2448" s="133" t="s">
        <v>5764</v>
      </c>
      <c r="C2448" s="185" t="s">
        <v>3023</v>
      </c>
      <c r="D2448" s="133" t="s">
        <v>1723</v>
      </c>
      <c r="E2448" s="134">
        <v>1</v>
      </c>
      <c r="F2448" s="135" t="s">
        <v>1449</v>
      </c>
      <c r="G2448" s="185" t="s">
        <v>15</v>
      </c>
      <c r="H2448" s="185" t="s">
        <v>15</v>
      </c>
      <c r="I2448" s="185" t="s">
        <v>15</v>
      </c>
      <c r="J2448" s="135" t="s">
        <v>1450</v>
      </c>
      <c r="K2448" s="186">
        <v>0.6</v>
      </c>
      <c r="L2448" s="187" t="s">
        <v>173</v>
      </c>
      <c r="M2448" s="187" t="s">
        <v>175</v>
      </c>
    </row>
    <row r="2449" spans="1:13" s="188" customFormat="1">
      <c r="A2449" s="185" t="s">
        <v>1447</v>
      </c>
      <c r="B2449" s="133" t="s">
        <v>5765</v>
      </c>
      <c r="C2449" s="185" t="s">
        <v>3023</v>
      </c>
      <c r="D2449" s="133" t="s">
        <v>1724</v>
      </c>
      <c r="E2449" s="134">
        <v>1</v>
      </c>
      <c r="F2449" s="135" t="s">
        <v>1449</v>
      </c>
      <c r="G2449" s="185" t="s">
        <v>15</v>
      </c>
      <c r="H2449" s="185" t="s">
        <v>15</v>
      </c>
      <c r="I2449" s="185" t="s">
        <v>15</v>
      </c>
      <c r="J2449" s="135" t="s">
        <v>1450</v>
      </c>
      <c r="K2449" s="186">
        <v>0.68</v>
      </c>
      <c r="L2449" s="187" t="s">
        <v>173</v>
      </c>
      <c r="M2449" s="187" t="s">
        <v>175</v>
      </c>
    </row>
    <row r="2450" spans="1:13" s="188" customFormat="1">
      <c r="A2450" s="185" t="s">
        <v>1447</v>
      </c>
      <c r="B2450" s="133" t="s">
        <v>5766</v>
      </c>
      <c r="C2450" s="185" t="s">
        <v>3023</v>
      </c>
      <c r="D2450" s="133" t="s">
        <v>1724</v>
      </c>
      <c r="E2450" s="134">
        <v>1</v>
      </c>
      <c r="F2450" s="135" t="s">
        <v>1449</v>
      </c>
      <c r="G2450" s="185" t="s">
        <v>15</v>
      </c>
      <c r="H2450" s="185" t="s">
        <v>15</v>
      </c>
      <c r="I2450" s="185" t="s">
        <v>15</v>
      </c>
      <c r="J2450" s="135" t="s">
        <v>1450</v>
      </c>
      <c r="K2450" s="186">
        <v>0.66</v>
      </c>
      <c r="L2450" s="187" t="s">
        <v>173</v>
      </c>
      <c r="M2450" s="187" t="s">
        <v>175</v>
      </c>
    </row>
    <row r="2451" spans="1:13" s="188" customFormat="1">
      <c r="A2451" s="185" t="s">
        <v>1447</v>
      </c>
      <c r="B2451" s="133" t="s">
        <v>5767</v>
      </c>
      <c r="C2451" s="185" t="s">
        <v>3023</v>
      </c>
      <c r="D2451" s="133" t="s">
        <v>1724</v>
      </c>
      <c r="E2451" s="134">
        <v>1</v>
      </c>
      <c r="F2451" s="135" t="s">
        <v>1449</v>
      </c>
      <c r="G2451" s="185" t="s">
        <v>15</v>
      </c>
      <c r="H2451" s="185" t="s">
        <v>15</v>
      </c>
      <c r="I2451" s="185" t="s">
        <v>15</v>
      </c>
      <c r="J2451" s="135" t="s">
        <v>1450</v>
      </c>
      <c r="K2451" s="186">
        <v>0.64</v>
      </c>
      <c r="L2451" s="187" t="s">
        <v>173</v>
      </c>
      <c r="M2451" s="187" t="s">
        <v>175</v>
      </c>
    </row>
    <row r="2452" spans="1:13" s="188" customFormat="1">
      <c r="A2452" s="185" t="s">
        <v>1447</v>
      </c>
      <c r="B2452" s="133" t="s">
        <v>5768</v>
      </c>
      <c r="C2452" s="185" t="s">
        <v>3023</v>
      </c>
      <c r="D2452" s="133" t="s">
        <v>1724</v>
      </c>
      <c r="E2452" s="134">
        <v>1</v>
      </c>
      <c r="F2452" s="135" t="s">
        <v>1449</v>
      </c>
      <c r="G2452" s="185" t="s">
        <v>15</v>
      </c>
      <c r="H2452" s="185" t="s">
        <v>15</v>
      </c>
      <c r="I2452" s="185" t="s">
        <v>15</v>
      </c>
      <c r="J2452" s="135" t="s">
        <v>1450</v>
      </c>
      <c r="K2452" s="186">
        <v>0.62</v>
      </c>
      <c r="L2452" s="187" t="s">
        <v>173</v>
      </c>
      <c r="M2452" s="187" t="s">
        <v>175</v>
      </c>
    </row>
    <row r="2453" spans="1:13" s="188" customFormat="1">
      <c r="A2453" s="185" t="s">
        <v>1447</v>
      </c>
      <c r="B2453" s="133" t="s">
        <v>5769</v>
      </c>
      <c r="C2453" s="185" t="s">
        <v>3023</v>
      </c>
      <c r="D2453" s="133" t="s">
        <v>1724</v>
      </c>
      <c r="E2453" s="134">
        <v>1</v>
      </c>
      <c r="F2453" s="135" t="s">
        <v>1449</v>
      </c>
      <c r="G2453" s="185" t="s">
        <v>15</v>
      </c>
      <c r="H2453" s="185" t="s">
        <v>15</v>
      </c>
      <c r="I2453" s="185" t="s">
        <v>15</v>
      </c>
      <c r="J2453" s="135" t="s">
        <v>1450</v>
      </c>
      <c r="K2453" s="186">
        <v>0.6</v>
      </c>
      <c r="L2453" s="187" t="s">
        <v>173</v>
      </c>
      <c r="M2453" s="187" t="s">
        <v>175</v>
      </c>
    </row>
    <row r="2454" spans="1:13" s="188" customFormat="1">
      <c r="A2454" s="185" t="s">
        <v>1447</v>
      </c>
      <c r="B2454" s="133" t="s">
        <v>5770</v>
      </c>
      <c r="C2454" s="185" t="s">
        <v>3023</v>
      </c>
      <c r="D2454" s="133" t="s">
        <v>1724</v>
      </c>
      <c r="E2454" s="134">
        <v>1</v>
      </c>
      <c r="F2454" s="135" t="s">
        <v>1449</v>
      </c>
      <c r="G2454" s="185" t="s">
        <v>15</v>
      </c>
      <c r="H2454" s="185" t="s">
        <v>15</v>
      </c>
      <c r="I2454" s="185" t="s">
        <v>15</v>
      </c>
      <c r="J2454" s="135" t="s">
        <v>1450</v>
      </c>
      <c r="K2454" s="186">
        <v>0.57999999999999996</v>
      </c>
      <c r="L2454" s="187" t="s">
        <v>173</v>
      </c>
      <c r="M2454" s="187" t="s">
        <v>175</v>
      </c>
    </row>
    <row r="2455" spans="1:13" s="188" customFormat="1">
      <c r="A2455" s="185" t="s">
        <v>1447</v>
      </c>
      <c r="B2455" s="136" t="s">
        <v>5771</v>
      </c>
      <c r="C2455" s="185" t="s">
        <v>3023</v>
      </c>
      <c r="D2455" s="133" t="s">
        <v>1725</v>
      </c>
      <c r="E2455" s="134">
        <v>1</v>
      </c>
      <c r="F2455" s="135" t="s">
        <v>1449</v>
      </c>
      <c r="G2455" s="185" t="s">
        <v>15</v>
      </c>
      <c r="H2455" s="185" t="s">
        <v>15</v>
      </c>
      <c r="I2455" s="185" t="s">
        <v>15</v>
      </c>
      <c r="J2455" s="135" t="s">
        <v>1450</v>
      </c>
      <c r="K2455" s="186">
        <v>0.4</v>
      </c>
      <c r="L2455" s="187" t="s">
        <v>173</v>
      </c>
      <c r="M2455" s="187" t="s">
        <v>175</v>
      </c>
    </row>
    <row r="2456" spans="1:13" s="188" customFormat="1">
      <c r="A2456" s="185" t="s">
        <v>1447</v>
      </c>
      <c r="B2456" s="136" t="s">
        <v>5772</v>
      </c>
      <c r="C2456" s="185" t="s">
        <v>3023</v>
      </c>
      <c r="D2456" s="133" t="s">
        <v>1725</v>
      </c>
      <c r="E2456" s="134">
        <v>1</v>
      </c>
      <c r="F2456" s="135" t="s">
        <v>1449</v>
      </c>
      <c r="G2456" s="185" t="s">
        <v>15</v>
      </c>
      <c r="H2456" s="185" t="s">
        <v>15</v>
      </c>
      <c r="I2456" s="185" t="s">
        <v>15</v>
      </c>
      <c r="J2456" s="135" t="s">
        <v>1450</v>
      </c>
      <c r="K2456" s="186">
        <v>0.39200000000000002</v>
      </c>
      <c r="L2456" s="187" t="s">
        <v>173</v>
      </c>
      <c r="M2456" s="187" t="s">
        <v>175</v>
      </c>
    </row>
    <row r="2457" spans="1:13" s="188" customFormat="1">
      <c r="A2457" s="185" t="s">
        <v>1447</v>
      </c>
      <c r="B2457" s="136" t="s">
        <v>5773</v>
      </c>
      <c r="C2457" s="185" t="s">
        <v>3023</v>
      </c>
      <c r="D2457" s="133" t="s">
        <v>1725</v>
      </c>
      <c r="E2457" s="134">
        <v>1</v>
      </c>
      <c r="F2457" s="135" t="s">
        <v>1449</v>
      </c>
      <c r="G2457" s="185" t="s">
        <v>15</v>
      </c>
      <c r="H2457" s="185" t="s">
        <v>15</v>
      </c>
      <c r="I2457" s="185" t="s">
        <v>15</v>
      </c>
      <c r="J2457" s="135" t="s">
        <v>1450</v>
      </c>
      <c r="K2457" s="186">
        <v>0.38400000000000001</v>
      </c>
      <c r="L2457" s="187" t="s">
        <v>173</v>
      </c>
      <c r="M2457" s="187" t="s">
        <v>175</v>
      </c>
    </row>
    <row r="2458" spans="1:13" s="188" customFormat="1">
      <c r="A2458" s="185" t="s">
        <v>1447</v>
      </c>
      <c r="B2458" s="136" t="s">
        <v>5774</v>
      </c>
      <c r="C2458" s="185" t="s">
        <v>3023</v>
      </c>
      <c r="D2458" s="133" t="s">
        <v>1725</v>
      </c>
      <c r="E2458" s="134">
        <v>1</v>
      </c>
      <c r="F2458" s="135" t="s">
        <v>1449</v>
      </c>
      <c r="G2458" s="185" t="s">
        <v>15</v>
      </c>
      <c r="H2458" s="185" t="s">
        <v>15</v>
      </c>
      <c r="I2458" s="185" t="s">
        <v>15</v>
      </c>
      <c r="J2458" s="135" t="s">
        <v>1450</v>
      </c>
      <c r="K2458" s="186">
        <v>0.376</v>
      </c>
      <c r="L2458" s="187" t="s">
        <v>173</v>
      </c>
      <c r="M2458" s="187" t="s">
        <v>175</v>
      </c>
    </row>
    <row r="2459" spans="1:13" s="188" customFormat="1">
      <c r="A2459" s="185" t="s">
        <v>1447</v>
      </c>
      <c r="B2459" s="136" t="s">
        <v>5775</v>
      </c>
      <c r="C2459" s="185" t="s">
        <v>3023</v>
      </c>
      <c r="D2459" s="133" t="s">
        <v>1725</v>
      </c>
      <c r="E2459" s="134">
        <v>1</v>
      </c>
      <c r="F2459" s="135" t="s">
        <v>1449</v>
      </c>
      <c r="G2459" s="185" t="s">
        <v>15</v>
      </c>
      <c r="H2459" s="185" t="s">
        <v>15</v>
      </c>
      <c r="I2459" s="185" t="s">
        <v>15</v>
      </c>
      <c r="J2459" s="135" t="s">
        <v>1450</v>
      </c>
      <c r="K2459" s="186">
        <v>0.36799999999999999</v>
      </c>
      <c r="L2459" s="187" t="s">
        <v>173</v>
      </c>
      <c r="M2459" s="187" t="s">
        <v>175</v>
      </c>
    </row>
    <row r="2460" spans="1:13" s="188" customFormat="1">
      <c r="A2460" s="185" t="s">
        <v>1447</v>
      </c>
      <c r="B2460" s="136" t="s">
        <v>5776</v>
      </c>
      <c r="C2460" s="185" t="s">
        <v>3023</v>
      </c>
      <c r="D2460" s="133" t="s">
        <v>1725</v>
      </c>
      <c r="E2460" s="134">
        <v>1</v>
      </c>
      <c r="F2460" s="135" t="s">
        <v>1449</v>
      </c>
      <c r="G2460" s="185" t="s">
        <v>15</v>
      </c>
      <c r="H2460" s="185" t="s">
        <v>15</v>
      </c>
      <c r="I2460" s="185" t="s">
        <v>15</v>
      </c>
      <c r="J2460" s="135" t="s">
        <v>1450</v>
      </c>
      <c r="K2460" s="186">
        <v>0.36</v>
      </c>
      <c r="L2460" s="187" t="s">
        <v>173</v>
      </c>
      <c r="M2460" s="187" t="s">
        <v>175</v>
      </c>
    </row>
    <row r="2461" spans="1:13" s="188" customFormat="1">
      <c r="A2461" s="185" t="s">
        <v>1447</v>
      </c>
      <c r="B2461" s="133" t="s">
        <v>5777</v>
      </c>
      <c r="C2461" s="185" t="s">
        <v>3023</v>
      </c>
      <c r="D2461" s="133" t="s">
        <v>5778</v>
      </c>
      <c r="E2461" s="134">
        <v>1</v>
      </c>
      <c r="F2461" s="135" t="s">
        <v>1449</v>
      </c>
      <c r="G2461" s="185" t="s">
        <v>15</v>
      </c>
      <c r="H2461" s="185" t="s">
        <v>15</v>
      </c>
      <c r="I2461" s="185" t="s">
        <v>15</v>
      </c>
      <c r="J2461" s="135" t="s">
        <v>1450</v>
      </c>
      <c r="K2461" s="186">
        <v>725</v>
      </c>
      <c r="L2461" s="187" t="s">
        <v>173</v>
      </c>
      <c r="M2461" s="187" t="s">
        <v>175</v>
      </c>
    </row>
    <row r="2462" spans="1:13" s="188" customFormat="1">
      <c r="A2462" s="185" t="s">
        <v>1447</v>
      </c>
      <c r="B2462" s="133" t="s">
        <v>5779</v>
      </c>
      <c r="C2462" s="185" t="s">
        <v>3023</v>
      </c>
      <c r="D2462" s="133" t="s">
        <v>5778</v>
      </c>
      <c r="E2462" s="134">
        <v>1</v>
      </c>
      <c r="F2462" s="135" t="s">
        <v>1449</v>
      </c>
      <c r="G2462" s="185" t="s">
        <v>15</v>
      </c>
      <c r="H2462" s="185" t="s">
        <v>15</v>
      </c>
      <c r="I2462" s="185" t="s">
        <v>15</v>
      </c>
      <c r="J2462" s="135" t="s">
        <v>1450</v>
      </c>
      <c r="K2462" s="186">
        <v>610</v>
      </c>
      <c r="L2462" s="187" t="s">
        <v>173</v>
      </c>
      <c r="M2462" s="187" t="s">
        <v>175</v>
      </c>
    </row>
    <row r="2463" spans="1:13" s="188" customFormat="1">
      <c r="A2463" s="185" t="s">
        <v>1447</v>
      </c>
      <c r="B2463" s="133" t="s">
        <v>5780</v>
      </c>
      <c r="C2463" s="185" t="s">
        <v>3023</v>
      </c>
      <c r="D2463" s="133" t="s">
        <v>5778</v>
      </c>
      <c r="E2463" s="134">
        <v>1</v>
      </c>
      <c r="F2463" s="135" t="s">
        <v>1449</v>
      </c>
      <c r="G2463" s="185" t="s">
        <v>15</v>
      </c>
      <c r="H2463" s="185" t="s">
        <v>15</v>
      </c>
      <c r="I2463" s="185" t="s">
        <v>15</v>
      </c>
      <c r="J2463" s="135" t="s">
        <v>1450</v>
      </c>
      <c r="K2463" s="186">
        <v>550</v>
      </c>
      <c r="L2463" s="187" t="s">
        <v>173</v>
      </c>
      <c r="M2463" s="187" t="s">
        <v>175</v>
      </c>
    </row>
    <row r="2464" spans="1:13" s="188" customFormat="1">
      <c r="A2464" s="185" t="s">
        <v>1447</v>
      </c>
      <c r="B2464" s="133" t="s">
        <v>5781</v>
      </c>
      <c r="C2464" s="185" t="s">
        <v>3023</v>
      </c>
      <c r="D2464" s="133" t="s">
        <v>5778</v>
      </c>
      <c r="E2464" s="134">
        <v>1</v>
      </c>
      <c r="F2464" s="135" t="s">
        <v>1449</v>
      </c>
      <c r="G2464" s="185" t="s">
        <v>15</v>
      </c>
      <c r="H2464" s="185" t="s">
        <v>15</v>
      </c>
      <c r="I2464" s="185" t="s">
        <v>15</v>
      </c>
      <c r="J2464" s="135" t="s">
        <v>1450</v>
      </c>
      <c r="K2464" s="186">
        <v>500</v>
      </c>
      <c r="L2464" s="187" t="s">
        <v>173</v>
      </c>
      <c r="M2464" s="187" t="s">
        <v>175</v>
      </c>
    </row>
    <row r="2465" spans="1:13" s="188" customFormat="1">
      <c r="A2465" s="185" t="s">
        <v>1447</v>
      </c>
      <c r="B2465" s="133" t="s">
        <v>5782</v>
      </c>
      <c r="C2465" s="185" t="s">
        <v>3023</v>
      </c>
      <c r="D2465" s="133" t="s">
        <v>5783</v>
      </c>
      <c r="E2465" s="134">
        <v>1</v>
      </c>
      <c r="F2465" s="135" t="s">
        <v>1449</v>
      </c>
      <c r="G2465" s="185" t="s">
        <v>15</v>
      </c>
      <c r="H2465" s="185" t="s">
        <v>15</v>
      </c>
      <c r="I2465" s="185" t="s">
        <v>15</v>
      </c>
      <c r="J2465" s="135" t="s">
        <v>1450</v>
      </c>
      <c r="K2465" s="186">
        <v>340000</v>
      </c>
      <c r="L2465" s="187" t="s">
        <v>173</v>
      </c>
      <c r="M2465" s="187" t="s">
        <v>175</v>
      </c>
    </row>
    <row r="2466" spans="1:13" s="188" customFormat="1">
      <c r="A2466" s="185" t="s">
        <v>1447</v>
      </c>
      <c r="B2466" s="133" t="s">
        <v>5784</v>
      </c>
      <c r="C2466" s="185" t="s">
        <v>3023</v>
      </c>
      <c r="D2466" s="133" t="s">
        <v>1726</v>
      </c>
      <c r="E2466" s="134">
        <v>1</v>
      </c>
      <c r="F2466" s="135" t="s">
        <v>1449</v>
      </c>
      <c r="G2466" s="185" t="s">
        <v>15</v>
      </c>
      <c r="H2466" s="185" t="s">
        <v>15</v>
      </c>
      <c r="I2466" s="185" t="s">
        <v>15</v>
      </c>
      <c r="J2466" s="135" t="s">
        <v>1450</v>
      </c>
      <c r="K2466" s="186">
        <v>9984</v>
      </c>
      <c r="L2466" s="187" t="s">
        <v>173</v>
      </c>
      <c r="M2466" s="187" t="s">
        <v>175</v>
      </c>
    </row>
    <row r="2467" spans="1:13" s="188" customFormat="1">
      <c r="A2467" s="185" t="s">
        <v>1447</v>
      </c>
      <c r="B2467" s="133" t="s">
        <v>5785</v>
      </c>
      <c r="C2467" s="185" t="s">
        <v>3023</v>
      </c>
      <c r="D2467" s="133" t="s">
        <v>1726</v>
      </c>
      <c r="E2467" s="134">
        <v>1</v>
      </c>
      <c r="F2467" s="135" t="s">
        <v>1449</v>
      </c>
      <c r="G2467" s="185" t="s">
        <v>15</v>
      </c>
      <c r="H2467" s="185" t="s">
        <v>15</v>
      </c>
      <c r="I2467" s="185" t="s">
        <v>15</v>
      </c>
      <c r="J2467" s="135" t="s">
        <v>1450</v>
      </c>
      <c r="K2467" s="186">
        <v>5964</v>
      </c>
      <c r="L2467" s="187" t="s">
        <v>173</v>
      </c>
      <c r="M2467" s="187" t="s">
        <v>175</v>
      </c>
    </row>
    <row r="2468" spans="1:13" s="188" customFormat="1">
      <c r="A2468" s="185" t="s">
        <v>1447</v>
      </c>
      <c r="B2468" s="133" t="s">
        <v>5786</v>
      </c>
      <c r="C2468" s="185" t="s">
        <v>3023</v>
      </c>
      <c r="D2468" s="133" t="s">
        <v>1726</v>
      </c>
      <c r="E2468" s="134">
        <v>1</v>
      </c>
      <c r="F2468" s="135" t="s">
        <v>1449</v>
      </c>
      <c r="G2468" s="185" t="s">
        <v>15</v>
      </c>
      <c r="H2468" s="185" t="s">
        <v>15</v>
      </c>
      <c r="I2468" s="185" t="s">
        <v>15</v>
      </c>
      <c r="J2468" s="135" t="s">
        <v>1450</v>
      </c>
      <c r="K2468" s="186">
        <v>3636</v>
      </c>
      <c r="L2468" s="187" t="s">
        <v>173</v>
      </c>
      <c r="M2468" s="187" t="s">
        <v>175</v>
      </c>
    </row>
    <row r="2469" spans="1:13" s="188" customFormat="1">
      <c r="A2469" s="185" t="s">
        <v>1447</v>
      </c>
      <c r="B2469" s="133" t="s">
        <v>5787</v>
      </c>
      <c r="C2469" s="185" t="s">
        <v>3023</v>
      </c>
      <c r="D2469" s="133" t="s">
        <v>1726</v>
      </c>
      <c r="E2469" s="134">
        <v>1</v>
      </c>
      <c r="F2469" s="135" t="s">
        <v>1449</v>
      </c>
      <c r="G2469" s="185" t="s">
        <v>15</v>
      </c>
      <c r="H2469" s="185" t="s">
        <v>15</v>
      </c>
      <c r="I2469" s="185" t="s">
        <v>15</v>
      </c>
      <c r="J2469" s="135" t="s">
        <v>1450</v>
      </c>
      <c r="K2469" s="186">
        <v>2340</v>
      </c>
      <c r="L2469" s="187" t="s">
        <v>173</v>
      </c>
      <c r="M2469" s="187" t="s">
        <v>175</v>
      </c>
    </row>
    <row r="2470" spans="1:13" s="188" customFormat="1">
      <c r="A2470" s="185" t="s">
        <v>1447</v>
      </c>
      <c r="B2470" s="133" t="s">
        <v>5788</v>
      </c>
      <c r="C2470" s="185" t="s">
        <v>3023</v>
      </c>
      <c r="D2470" s="133" t="s">
        <v>1726</v>
      </c>
      <c r="E2470" s="134">
        <v>1</v>
      </c>
      <c r="F2470" s="135" t="s">
        <v>1449</v>
      </c>
      <c r="G2470" s="185" t="s">
        <v>15</v>
      </c>
      <c r="H2470" s="185" t="s">
        <v>15</v>
      </c>
      <c r="I2470" s="185" t="s">
        <v>15</v>
      </c>
      <c r="J2470" s="135" t="s">
        <v>1450</v>
      </c>
      <c r="K2470" s="186">
        <v>1608</v>
      </c>
      <c r="L2470" s="187" t="s">
        <v>173</v>
      </c>
      <c r="M2470" s="187" t="s">
        <v>175</v>
      </c>
    </row>
    <row r="2471" spans="1:13" s="188" customFormat="1">
      <c r="A2471" s="185" t="s">
        <v>1447</v>
      </c>
      <c r="B2471" s="133" t="s">
        <v>5789</v>
      </c>
      <c r="C2471" s="185" t="s">
        <v>3023</v>
      </c>
      <c r="D2471" s="133" t="s">
        <v>1726</v>
      </c>
      <c r="E2471" s="134">
        <v>1</v>
      </c>
      <c r="F2471" s="135" t="s">
        <v>1449</v>
      </c>
      <c r="G2471" s="185" t="s">
        <v>15</v>
      </c>
      <c r="H2471" s="185" t="s">
        <v>15</v>
      </c>
      <c r="I2471" s="185" t="s">
        <v>15</v>
      </c>
      <c r="J2471" s="135" t="s">
        <v>1450</v>
      </c>
      <c r="K2471" s="186">
        <v>1092</v>
      </c>
      <c r="L2471" s="187" t="s">
        <v>173</v>
      </c>
      <c r="M2471" s="187" t="s">
        <v>175</v>
      </c>
    </row>
    <row r="2472" spans="1:13" s="188" customFormat="1">
      <c r="A2472" s="185" t="s">
        <v>1447</v>
      </c>
      <c r="B2472" s="133" t="s">
        <v>5790</v>
      </c>
      <c r="C2472" s="185" t="s">
        <v>3023</v>
      </c>
      <c r="D2472" s="133" t="s">
        <v>1726</v>
      </c>
      <c r="E2472" s="134">
        <v>1</v>
      </c>
      <c r="F2472" s="135" t="s">
        <v>1449</v>
      </c>
      <c r="G2472" s="185" t="s">
        <v>15</v>
      </c>
      <c r="H2472" s="185" t="s">
        <v>15</v>
      </c>
      <c r="I2472" s="185" t="s">
        <v>15</v>
      </c>
      <c r="J2472" s="135" t="s">
        <v>1450</v>
      </c>
      <c r="K2472" s="186">
        <v>756</v>
      </c>
      <c r="L2472" s="187" t="s">
        <v>173</v>
      </c>
      <c r="M2472" s="187" t="s">
        <v>175</v>
      </c>
    </row>
    <row r="2473" spans="1:13" s="188" customFormat="1">
      <c r="A2473" s="185" t="s">
        <v>1447</v>
      </c>
      <c r="B2473" s="133" t="s">
        <v>5791</v>
      </c>
      <c r="C2473" s="185" t="s">
        <v>3023</v>
      </c>
      <c r="D2473" s="133" t="s">
        <v>1726</v>
      </c>
      <c r="E2473" s="134">
        <v>1</v>
      </c>
      <c r="F2473" s="135" t="s">
        <v>1449</v>
      </c>
      <c r="G2473" s="185" t="s">
        <v>15</v>
      </c>
      <c r="H2473" s="185" t="s">
        <v>15</v>
      </c>
      <c r="I2473" s="185" t="s">
        <v>15</v>
      </c>
      <c r="J2473" s="135" t="s">
        <v>1450</v>
      </c>
      <c r="K2473" s="186">
        <v>588</v>
      </c>
      <c r="L2473" s="187" t="s">
        <v>173</v>
      </c>
      <c r="M2473" s="187" t="s">
        <v>175</v>
      </c>
    </row>
    <row r="2474" spans="1:13" s="188" customFormat="1">
      <c r="A2474" s="185" t="s">
        <v>1447</v>
      </c>
      <c r="B2474" s="133" t="s">
        <v>5792</v>
      </c>
      <c r="C2474" s="185" t="s">
        <v>3023</v>
      </c>
      <c r="D2474" s="133" t="s">
        <v>1727</v>
      </c>
      <c r="E2474" s="134">
        <v>1</v>
      </c>
      <c r="F2474" s="135" t="s">
        <v>1449</v>
      </c>
      <c r="G2474" s="185" t="s">
        <v>15</v>
      </c>
      <c r="H2474" s="185" t="s">
        <v>15</v>
      </c>
      <c r="I2474" s="185" t="s">
        <v>15</v>
      </c>
      <c r="J2474" s="135" t="s">
        <v>1450</v>
      </c>
      <c r="K2474" s="186">
        <v>13068</v>
      </c>
      <c r="L2474" s="187" t="s">
        <v>173</v>
      </c>
      <c r="M2474" s="187" t="s">
        <v>175</v>
      </c>
    </row>
    <row r="2475" spans="1:13" s="188" customFormat="1">
      <c r="A2475" s="185" t="s">
        <v>1447</v>
      </c>
      <c r="B2475" s="133" t="s">
        <v>5793</v>
      </c>
      <c r="C2475" s="185" t="s">
        <v>3023</v>
      </c>
      <c r="D2475" s="133" t="s">
        <v>1727</v>
      </c>
      <c r="E2475" s="134">
        <v>1</v>
      </c>
      <c r="F2475" s="135" t="s">
        <v>1449</v>
      </c>
      <c r="G2475" s="185" t="s">
        <v>15</v>
      </c>
      <c r="H2475" s="185" t="s">
        <v>15</v>
      </c>
      <c r="I2475" s="185" t="s">
        <v>15</v>
      </c>
      <c r="J2475" s="135" t="s">
        <v>1450</v>
      </c>
      <c r="K2475" s="186">
        <v>8820</v>
      </c>
      <c r="L2475" s="187" t="s">
        <v>173</v>
      </c>
      <c r="M2475" s="187" t="s">
        <v>175</v>
      </c>
    </row>
    <row r="2476" spans="1:13" s="188" customFormat="1">
      <c r="A2476" s="185" t="s">
        <v>1447</v>
      </c>
      <c r="B2476" s="133" t="s">
        <v>5794</v>
      </c>
      <c r="C2476" s="185" t="s">
        <v>3023</v>
      </c>
      <c r="D2476" s="133" t="s">
        <v>1727</v>
      </c>
      <c r="E2476" s="134">
        <v>1</v>
      </c>
      <c r="F2476" s="135" t="s">
        <v>1449</v>
      </c>
      <c r="G2476" s="185" t="s">
        <v>15</v>
      </c>
      <c r="H2476" s="185" t="s">
        <v>15</v>
      </c>
      <c r="I2476" s="185" t="s">
        <v>15</v>
      </c>
      <c r="J2476" s="135" t="s">
        <v>1450</v>
      </c>
      <c r="K2476" s="186">
        <v>5964</v>
      </c>
      <c r="L2476" s="187" t="s">
        <v>173</v>
      </c>
      <c r="M2476" s="187" t="s">
        <v>175</v>
      </c>
    </row>
    <row r="2477" spans="1:13" s="188" customFormat="1">
      <c r="A2477" s="185" t="s">
        <v>1447</v>
      </c>
      <c r="B2477" s="133" t="s">
        <v>5795</v>
      </c>
      <c r="C2477" s="185" t="s">
        <v>3023</v>
      </c>
      <c r="D2477" s="133" t="s">
        <v>1727</v>
      </c>
      <c r="E2477" s="134">
        <v>1</v>
      </c>
      <c r="F2477" s="135" t="s">
        <v>1449</v>
      </c>
      <c r="G2477" s="185" t="s">
        <v>15</v>
      </c>
      <c r="H2477" s="185" t="s">
        <v>15</v>
      </c>
      <c r="I2477" s="185" t="s">
        <v>15</v>
      </c>
      <c r="J2477" s="135" t="s">
        <v>1450</v>
      </c>
      <c r="K2477" s="186">
        <v>3636</v>
      </c>
      <c r="L2477" s="187" t="s">
        <v>173</v>
      </c>
      <c r="M2477" s="187" t="s">
        <v>175</v>
      </c>
    </row>
    <row r="2478" spans="1:13" s="188" customFormat="1">
      <c r="A2478" s="185" t="s">
        <v>1447</v>
      </c>
      <c r="B2478" s="133" t="s">
        <v>5796</v>
      </c>
      <c r="C2478" s="185" t="s">
        <v>3023</v>
      </c>
      <c r="D2478" s="133" t="s">
        <v>1727</v>
      </c>
      <c r="E2478" s="134">
        <v>1</v>
      </c>
      <c r="F2478" s="135" t="s">
        <v>1449</v>
      </c>
      <c r="G2478" s="185" t="s">
        <v>15</v>
      </c>
      <c r="H2478" s="185" t="s">
        <v>15</v>
      </c>
      <c r="I2478" s="185" t="s">
        <v>15</v>
      </c>
      <c r="J2478" s="135" t="s">
        <v>1450</v>
      </c>
      <c r="K2478" s="186">
        <v>2280</v>
      </c>
      <c r="L2478" s="187" t="s">
        <v>173</v>
      </c>
      <c r="M2478" s="187" t="s">
        <v>175</v>
      </c>
    </row>
    <row r="2479" spans="1:13" s="188" customFormat="1">
      <c r="A2479" s="185" t="s">
        <v>1447</v>
      </c>
      <c r="B2479" s="133" t="s">
        <v>5797</v>
      </c>
      <c r="C2479" s="185" t="s">
        <v>3023</v>
      </c>
      <c r="D2479" s="133" t="s">
        <v>1727</v>
      </c>
      <c r="E2479" s="134">
        <v>1</v>
      </c>
      <c r="F2479" s="135" t="s">
        <v>1449</v>
      </c>
      <c r="G2479" s="185" t="s">
        <v>15</v>
      </c>
      <c r="H2479" s="185" t="s">
        <v>15</v>
      </c>
      <c r="I2479" s="185" t="s">
        <v>15</v>
      </c>
      <c r="J2479" s="135" t="s">
        <v>1450</v>
      </c>
      <c r="K2479" s="186">
        <v>1452</v>
      </c>
      <c r="L2479" s="187" t="s">
        <v>173</v>
      </c>
      <c r="M2479" s="187" t="s">
        <v>175</v>
      </c>
    </row>
    <row r="2480" spans="1:13" s="188" customFormat="1">
      <c r="A2480" s="185" t="s">
        <v>1447</v>
      </c>
      <c r="B2480" s="133" t="s">
        <v>5798</v>
      </c>
      <c r="C2480" s="185" t="s">
        <v>3023</v>
      </c>
      <c r="D2480" s="133" t="s">
        <v>1727</v>
      </c>
      <c r="E2480" s="134">
        <v>1</v>
      </c>
      <c r="F2480" s="135" t="s">
        <v>1449</v>
      </c>
      <c r="G2480" s="185" t="s">
        <v>15</v>
      </c>
      <c r="H2480" s="185" t="s">
        <v>15</v>
      </c>
      <c r="I2480" s="185" t="s">
        <v>15</v>
      </c>
      <c r="J2480" s="135" t="s">
        <v>1450</v>
      </c>
      <c r="K2480" s="186">
        <v>1032</v>
      </c>
      <c r="L2480" s="187" t="s">
        <v>173</v>
      </c>
      <c r="M2480" s="187" t="s">
        <v>175</v>
      </c>
    </row>
    <row r="2481" spans="1:13" s="188" customFormat="1">
      <c r="A2481" s="185" t="s">
        <v>1447</v>
      </c>
      <c r="B2481" s="133" t="s">
        <v>5799</v>
      </c>
      <c r="C2481" s="185" t="s">
        <v>3023</v>
      </c>
      <c r="D2481" s="133" t="s">
        <v>1727</v>
      </c>
      <c r="E2481" s="134">
        <v>1</v>
      </c>
      <c r="F2481" s="135" t="s">
        <v>1449</v>
      </c>
      <c r="G2481" s="185" t="s">
        <v>15</v>
      </c>
      <c r="H2481" s="185" t="s">
        <v>15</v>
      </c>
      <c r="I2481" s="185" t="s">
        <v>15</v>
      </c>
      <c r="J2481" s="135" t="s">
        <v>1450</v>
      </c>
      <c r="K2481" s="186">
        <v>780</v>
      </c>
      <c r="L2481" s="187" t="s">
        <v>173</v>
      </c>
      <c r="M2481" s="187" t="s">
        <v>175</v>
      </c>
    </row>
    <row r="2482" spans="1:13" s="188" customFormat="1">
      <c r="A2482" s="185" t="s">
        <v>1447</v>
      </c>
      <c r="B2482" s="133" t="s">
        <v>5800</v>
      </c>
      <c r="C2482" s="185" t="s">
        <v>3023</v>
      </c>
      <c r="D2482" s="133" t="s">
        <v>1696</v>
      </c>
      <c r="E2482" s="134">
        <v>1</v>
      </c>
      <c r="F2482" s="135" t="s">
        <v>1449</v>
      </c>
      <c r="G2482" s="185" t="s">
        <v>15</v>
      </c>
      <c r="H2482" s="185" t="s">
        <v>15</v>
      </c>
      <c r="I2482" s="185" t="s">
        <v>15</v>
      </c>
      <c r="J2482" s="135" t="s">
        <v>1450</v>
      </c>
      <c r="K2482" s="186">
        <v>42.72</v>
      </c>
      <c r="L2482" s="187" t="s">
        <v>173</v>
      </c>
      <c r="M2482" s="187" t="s">
        <v>175</v>
      </c>
    </row>
    <row r="2483" spans="1:13" s="188" customFormat="1">
      <c r="A2483" s="185" t="s">
        <v>1447</v>
      </c>
      <c r="B2483" s="133" t="s">
        <v>5801</v>
      </c>
      <c r="C2483" s="185" t="s">
        <v>3023</v>
      </c>
      <c r="D2483" s="133" t="s">
        <v>1696</v>
      </c>
      <c r="E2483" s="134">
        <v>1</v>
      </c>
      <c r="F2483" s="135" t="s">
        <v>1449</v>
      </c>
      <c r="G2483" s="185" t="s">
        <v>15</v>
      </c>
      <c r="H2483" s="185" t="s">
        <v>15</v>
      </c>
      <c r="I2483" s="185" t="s">
        <v>15</v>
      </c>
      <c r="J2483" s="135" t="s">
        <v>1450</v>
      </c>
      <c r="K2483" s="186">
        <v>36.599999999999994</v>
      </c>
      <c r="L2483" s="187" t="s">
        <v>173</v>
      </c>
      <c r="M2483" s="187" t="s">
        <v>175</v>
      </c>
    </row>
    <row r="2484" spans="1:13" s="188" customFormat="1">
      <c r="A2484" s="185" t="s">
        <v>1447</v>
      </c>
      <c r="B2484" s="133" t="s">
        <v>5802</v>
      </c>
      <c r="C2484" s="185" t="s">
        <v>3023</v>
      </c>
      <c r="D2484" s="133" t="s">
        <v>1696</v>
      </c>
      <c r="E2484" s="134">
        <v>1</v>
      </c>
      <c r="F2484" s="135" t="s">
        <v>1449</v>
      </c>
      <c r="G2484" s="185" t="s">
        <v>15</v>
      </c>
      <c r="H2484" s="185" t="s">
        <v>15</v>
      </c>
      <c r="I2484" s="185" t="s">
        <v>15</v>
      </c>
      <c r="J2484" s="135" t="s">
        <v>1450</v>
      </c>
      <c r="K2484" s="186">
        <v>33.599999999999994</v>
      </c>
      <c r="L2484" s="187" t="s">
        <v>173</v>
      </c>
      <c r="M2484" s="187" t="s">
        <v>175</v>
      </c>
    </row>
    <row r="2485" spans="1:13" s="188" customFormat="1">
      <c r="A2485" s="185" t="s">
        <v>1447</v>
      </c>
      <c r="B2485" s="133" t="s">
        <v>5803</v>
      </c>
      <c r="C2485" s="185" t="s">
        <v>3023</v>
      </c>
      <c r="D2485" s="133" t="s">
        <v>1696</v>
      </c>
      <c r="E2485" s="134">
        <v>1</v>
      </c>
      <c r="F2485" s="135" t="s">
        <v>1449</v>
      </c>
      <c r="G2485" s="185" t="s">
        <v>15</v>
      </c>
      <c r="H2485" s="185" t="s">
        <v>15</v>
      </c>
      <c r="I2485" s="185" t="s">
        <v>15</v>
      </c>
      <c r="J2485" s="135" t="s">
        <v>1450</v>
      </c>
      <c r="K2485" s="186">
        <v>30.36</v>
      </c>
      <c r="L2485" s="187" t="s">
        <v>173</v>
      </c>
      <c r="M2485" s="187" t="s">
        <v>175</v>
      </c>
    </row>
    <row r="2486" spans="1:13" s="188" customFormat="1">
      <c r="A2486" s="185" t="s">
        <v>1447</v>
      </c>
      <c r="B2486" s="133" t="s">
        <v>5804</v>
      </c>
      <c r="C2486" s="185" t="s">
        <v>3023</v>
      </c>
      <c r="D2486" s="133" t="s">
        <v>1696</v>
      </c>
      <c r="E2486" s="134">
        <v>1</v>
      </c>
      <c r="F2486" s="135" t="s">
        <v>1449</v>
      </c>
      <c r="G2486" s="185" t="s">
        <v>15</v>
      </c>
      <c r="H2486" s="185" t="s">
        <v>15</v>
      </c>
      <c r="I2486" s="185" t="s">
        <v>15</v>
      </c>
      <c r="J2486" s="135" t="s">
        <v>1450</v>
      </c>
      <c r="K2486" s="186">
        <v>27.36</v>
      </c>
      <c r="L2486" s="187" t="s">
        <v>173</v>
      </c>
      <c r="M2486" s="187" t="s">
        <v>175</v>
      </c>
    </row>
    <row r="2487" spans="1:13" s="188" customFormat="1">
      <c r="A2487" s="185" t="s">
        <v>1447</v>
      </c>
      <c r="B2487" s="133" t="s">
        <v>5805</v>
      </c>
      <c r="C2487" s="185" t="s">
        <v>3023</v>
      </c>
      <c r="D2487" s="133" t="s">
        <v>5806</v>
      </c>
      <c r="E2487" s="134">
        <v>1</v>
      </c>
      <c r="F2487" s="135" t="s">
        <v>1449</v>
      </c>
      <c r="G2487" s="185" t="s">
        <v>15</v>
      </c>
      <c r="H2487" s="185" t="s">
        <v>15</v>
      </c>
      <c r="I2487" s="185" t="s">
        <v>15</v>
      </c>
      <c r="J2487" s="135" t="s">
        <v>1450</v>
      </c>
      <c r="K2487" s="186">
        <v>37500</v>
      </c>
      <c r="L2487" s="187" t="s">
        <v>173</v>
      </c>
      <c r="M2487" s="187" t="s">
        <v>175</v>
      </c>
    </row>
    <row r="2488" spans="1:13" s="188" customFormat="1">
      <c r="A2488" s="185" t="s">
        <v>1447</v>
      </c>
      <c r="B2488" s="133" t="s">
        <v>5807</v>
      </c>
      <c r="C2488" s="185" t="s">
        <v>3023</v>
      </c>
      <c r="D2488" s="133" t="s">
        <v>5808</v>
      </c>
      <c r="E2488" s="134">
        <v>1</v>
      </c>
      <c r="F2488" s="135" t="s">
        <v>1449</v>
      </c>
      <c r="G2488" s="185" t="s">
        <v>15</v>
      </c>
      <c r="H2488" s="185" t="s">
        <v>15</v>
      </c>
      <c r="I2488" s="185" t="s">
        <v>15</v>
      </c>
      <c r="J2488" s="135" t="s">
        <v>1450</v>
      </c>
      <c r="K2488" s="186">
        <v>5880</v>
      </c>
      <c r="L2488" s="187" t="s">
        <v>173</v>
      </c>
      <c r="M2488" s="187" t="s">
        <v>175</v>
      </c>
    </row>
    <row r="2489" spans="1:13" s="188" customFormat="1">
      <c r="A2489" s="185" t="s">
        <v>1447</v>
      </c>
      <c r="B2489" s="133" t="s">
        <v>5809</v>
      </c>
      <c r="C2489" s="185" t="s">
        <v>3023</v>
      </c>
      <c r="D2489" s="133" t="s">
        <v>5808</v>
      </c>
      <c r="E2489" s="134">
        <v>1</v>
      </c>
      <c r="F2489" s="135" t="s">
        <v>1449</v>
      </c>
      <c r="G2489" s="185" t="s">
        <v>15</v>
      </c>
      <c r="H2489" s="185" t="s">
        <v>15</v>
      </c>
      <c r="I2489" s="185" t="s">
        <v>15</v>
      </c>
      <c r="J2489" s="135" t="s">
        <v>1450</v>
      </c>
      <c r="K2489" s="186">
        <v>3852</v>
      </c>
      <c r="L2489" s="187" t="s">
        <v>173</v>
      </c>
      <c r="M2489" s="187" t="s">
        <v>175</v>
      </c>
    </row>
    <row r="2490" spans="1:13" s="188" customFormat="1">
      <c r="A2490" s="185" t="s">
        <v>1447</v>
      </c>
      <c r="B2490" s="133" t="s">
        <v>5810</v>
      </c>
      <c r="C2490" s="185" t="s">
        <v>3023</v>
      </c>
      <c r="D2490" s="133" t="s">
        <v>5808</v>
      </c>
      <c r="E2490" s="134">
        <v>1</v>
      </c>
      <c r="F2490" s="135" t="s">
        <v>1449</v>
      </c>
      <c r="G2490" s="185" t="s">
        <v>15</v>
      </c>
      <c r="H2490" s="185" t="s">
        <v>15</v>
      </c>
      <c r="I2490" s="185" t="s">
        <v>15</v>
      </c>
      <c r="J2490" s="135" t="s">
        <v>1450</v>
      </c>
      <c r="K2490" s="186">
        <v>2772</v>
      </c>
      <c r="L2490" s="187" t="s">
        <v>173</v>
      </c>
      <c r="M2490" s="187" t="s">
        <v>175</v>
      </c>
    </row>
    <row r="2491" spans="1:13" s="188" customFormat="1">
      <c r="A2491" s="185" t="s">
        <v>1447</v>
      </c>
      <c r="B2491" s="133" t="s">
        <v>5811</v>
      </c>
      <c r="C2491" s="185" t="s">
        <v>3023</v>
      </c>
      <c r="D2491" s="133" t="s">
        <v>5808</v>
      </c>
      <c r="E2491" s="134">
        <v>1</v>
      </c>
      <c r="F2491" s="135" t="s">
        <v>1449</v>
      </c>
      <c r="G2491" s="185" t="s">
        <v>15</v>
      </c>
      <c r="H2491" s="185" t="s">
        <v>15</v>
      </c>
      <c r="I2491" s="185" t="s">
        <v>15</v>
      </c>
      <c r="J2491" s="135" t="s">
        <v>1450</v>
      </c>
      <c r="K2491" s="186">
        <v>2436</v>
      </c>
      <c r="L2491" s="187" t="s">
        <v>173</v>
      </c>
      <c r="M2491" s="187" t="s">
        <v>175</v>
      </c>
    </row>
    <row r="2492" spans="1:13" s="188" customFormat="1">
      <c r="A2492" s="185" t="s">
        <v>1447</v>
      </c>
      <c r="B2492" s="133" t="s">
        <v>5812</v>
      </c>
      <c r="C2492" s="185" t="s">
        <v>3023</v>
      </c>
      <c r="D2492" s="133" t="s">
        <v>5808</v>
      </c>
      <c r="E2492" s="134">
        <v>1</v>
      </c>
      <c r="F2492" s="135" t="s">
        <v>1449</v>
      </c>
      <c r="G2492" s="185" t="s">
        <v>15</v>
      </c>
      <c r="H2492" s="185" t="s">
        <v>15</v>
      </c>
      <c r="I2492" s="185" t="s">
        <v>15</v>
      </c>
      <c r="J2492" s="135" t="s">
        <v>1450</v>
      </c>
      <c r="K2492" s="186">
        <v>2016</v>
      </c>
      <c r="L2492" s="187" t="s">
        <v>173</v>
      </c>
      <c r="M2492" s="187" t="s">
        <v>175</v>
      </c>
    </row>
    <row r="2493" spans="1:13" s="188" customFormat="1">
      <c r="A2493" s="185" t="s">
        <v>1447</v>
      </c>
      <c r="B2493" s="133" t="s">
        <v>5813</v>
      </c>
      <c r="C2493" s="185" t="s">
        <v>3023</v>
      </c>
      <c r="D2493" s="133" t="s">
        <v>5814</v>
      </c>
      <c r="E2493" s="134">
        <v>1</v>
      </c>
      <c r="F2493" s="135" t="s">
        <v>1449</v>
      </c>
      <c r="G2493" s="185" t="s">
        <v>15</v>
      </c>
      <c r="H2493" s="185" t="s">
        <v>15</v>
      </c>
      <c r="I2493" s="185" t="s">
        <v>15</v>
      </c>
      <c r="J2493" s="135" t="s">
        <v>1450</v>
      </c>
      <c r="K2493" s="186">
        <v>105000</v>
      </c>
      <c r="L2493" s="187" t="s">
        <v>173</v>
      </c>
      <c r="M2493" s="187" t="s">
        <v>175</v>
      </c>
    </row>
    <row r="2494" spans="1:13" s="188" customFormat="1">
      <c r="A2494" s="185" t="s">
        <v>1447</v>
      </c>
      <c r="B2494" s="133" t="s">
        <v>5815</v>
      </c>
      <c r="C2494" s="185" t="s">
        <v>3023</v>
      </c>
      <c r="D2494" s="133" t="s">
        <v>1705</v>
      </c>
      <c r="E2494" s="134">
        <v>1</v>
      </c>
      <c r="F2494" s="135" t="s">
        <v>1449</v>
      </c>
      <c r="G2494" s="185" t="s">
        <v>15</v>
      </c>
      <c r="H2494" s="185" t="s">
        <v>15</v>
      </c>
      <c r="I2494" s="185" t="s">
        <v>15</v>
      </c>
      <c r="J2494" s="135" t="s">
        <v>1450</v>
      </c>
      <c r="K2494" s="186">
        <v>0.6</v>
      </c>
      <c r="L2494" s="187" t="s">
        <v>173</v>
      </c>
      <c r="M2494" s="187" t="s">
        <v>175</v>
      </c>
    </row>
    <row r="2495" spans="1:13" s="188" customFormat="1">
      <c r="A2495" s="185" t="s">
        <v>1447</v>
      </c>
      <c r="B2495" s="133" t="s">
        <v>5816</v>
      </c>
      <c r="C2495" s="185" t="s">
        <v>3023</v>
      </c>
      <c r="D2495" s="133" t="s">
        <v>1705</v>
      </c>
      <c r="E2495" s="134">
        <v>1</v>
      </c>
      <c r="F2495" s="135" t="s">
        <v>1449</v>
      </c>
      <c r="G2495" s="185" t="s">
        <v>15</v>
      </c>
      <c r="H2495" s="185" t="s">
        <v>15</v>
      </c>
      <c r="I2495" s="185" t="s">
        <v>15</v>
      </c>
      <c r="J2495" s="135" t="s">
        <v>1450</v>
      </c>
      <c r="K2495" s="186">
        <v>0.5</v>
      </c>
      <c r="L2495" s="187" t="s">
        <v>173</v>
      </c>
      <c r="M2495" s="187" t="s">
        <v>175</v>
      </c>
    </row>
    <row r="2496" spans="1:13" s="188" customFormat="1">
      <c r="A2496" s="185" t="s">
        <v>1447</v>
      </c>
      <c r="B2496" s="136" t="s">
        <v>5817</v>
      </c>
      <c r="C2496" s="185" t="s">
        <v>3023</v>
      </c>
      <c r="D2496" s="133" t="s">
        <v>1705</v>
      </c>
      <c r="E2496" s="134">
        <v>1</v>
      </c>
      <c r="F2496" s="135" t="s">
        <v>1449</v>
      </c>
      <c r="G2496" s="185" t="s">
        <v>15</v>
      </c>
      <c r="H2496" s="185" t="s">
        <v>15</v>
      </c>
      <c r="I2496" s="185" t="s">
        <v>15</v>
      </c>
      <c r="J2496" s="135" t="s">
        <v>1450</v>
      </c>
      <c r="K2496" s="186">
        <v>0.3</v>
      </c>
      <c r="L2496" s="187" t="s">
        <v>173</v>
      </c>
      <c r="M2496" s="187" t="s">
        <v>175</v>
      </c>
    </row>
    <row r="2497" spans="1:13" s="188" customFormat="1">
      <c r="A2497" s="185" t="s">
        <v>1447</v>
      </c>
      <c r="B2497" s="133" t="s">
        <v>5818</v>
      </c>
      <c r="C2497" s="185" t="s">
        <v>3023</v>
      </c>
      <c r="D2497" s="133" t="s">
        <v>1728</v>
      </c>
      <c r="E2497" s="134">
        <v>1</v>
      </c>
      <c r="F2497" s="135" t="s">
        <v>1449</v>
      </c>
      <c r="G2497" s="185" t="s">
        <v>15</v>
      </c>
      <c r="H2497" s="185" t="s">
        <v>15</v>
      </c>
      <c r="I2497" s="185" t="s">
        <v>15</v>
      </c>
      <c r="J2497" s="135" t="s">
        <v>1450</v>
      </c>
      <c r="K2497" s="186">
        <v>14352</v>
      </c>
      <c r="L2497" s="187" t="s">
        <v>173</v>
      </c>
      <c r="M2497" s="187" t="s">
        <v>175</v>
      </c>
    </row>
    <row r="2498" spans="1:13" s="188" customFormat="1">
      <c r="A2498" s="185" t="s">
        <v>1447</v>
      </c>
      <c r="B2498" s="133" t="s">
        <v>5819</v>
      </c>
      <c r="C2498" s="185" t="s">
        <v>3023</v>
      </c>
      <c r="D2498" s="133" t="s">
        <v>1728</v>
      </c>
      <c r="E2498" s="134">
        <v>1</v>
      </c>
      <c r="F2498" s="135" t="s">
        <v>1449</v>
      </c>
      <c r="G2498" s="185" t="s">
        <v>15</v>
      </c>
      <c r="H2498" s="185" t="s">
        <v>15</v>
      </c>
      <c r="I2498" s="185" t="s">
        <v>15</v>
      </c>
      <c r="J2498" s="135" t="s">
        <v>1450</v>
      </c>
      <c r="K2498" s="186">
        <v>11484</v>
      </c>
      <c r="L2498" s="187" t="s">
        <v>173</v>
      </c>
      <c r="M2498" s="187" t="s">
        <v>175</v>
      </c>
    </row>
    <row r="2499" spans="1:13" s="188" customFormat="1">
      <c r="A2499" s="185" t="s">
        <v>1447</v>
      </c>
      <c r="B2499" s="133" t="s">
        <v>5820</v>
      </c>
      <c r="C2499" s="185" t="s">
        <v>3023</v>
      </c>
      <c r="D2499" s="133" t="s">
        <v>1728</v>
      </c>
      <c r="E2499" s="134">
        <v>1</v>
      </c>
      <c r="F2499" s="135" t="s">
        <v>1449</v>
      </c>
      <c r="G2499" s="185" t="s">
        <v>15</v>
      </c>
      <c r="H2499" s="185" t="s">
        <v>15</v>
      </c>
      <c r="I2499" s="185" t="s">
        <v>15</v>
      </c>
      <c r="J2499" s="135" t="s">
        <v>1450</v>
      </c>
      <c r="K2499" s="186">
        <v>8616</v>
      </c>
      <c r="L2499" s="187" t="s">
        <v>173</v>
      </c>
      <c r="M2499" s="187" t="s">
        <v>175</v>
      </c>
    </row>
    <row r="2500" spans="1:13" s="188" customFormat="1">
      <c r="A2500" s="185" t="s">
        <v>1447</v>
      </c>
      <c r="B2500" s="133" t="s">
        <v>5821</v>
      </c>
      <c r="C2500" s="185" t="s">
        <v>3023</v>
      </c>
      <c r="D2500" s="133" t="s">
        <v>5822</v>
      </c>
      <c r="E2500" s="134">
        <v>1</v>
      </c>
      <c r="F2500" s="135" t="s">
        <v>1449</v>
      </c>
      <c r="G2500" s="185" t="s">
        <v>15</v>
      </c>
      <c r="H2500" s="185" t="s">
        <v>15</v>
      </c>
      <c r="I2500" s="185" t="s">
        <v>15</v>
      </c>
      <c r="J2500" s="135" t="s">
        <v>1450</v>
      </c>
      <c r="K2500" s="186">
        <v>124512</v>
      </c>
      <c r="L2500" s="187" t="s">
        <v>173</v>
      </c>
      <c r="M2500" s="187" t="s">
        <v>175</v>
      </c>
    </row>
    <row r="2501" spans="1:13" s="188" customFormat="1">
      <c r="A2501" s="185" t="s">
        <v>1447</v>
      </c>
      <c r="B2501" s="133" t="s">
        <v>5823</v>
      </c>
      <c r="C2501" s="185" t="s">
        <v>3023</v>
      </c>
      <c r="D2501" s="133" t="s">
        <v>5824</v>
      </c>
      <c r="E2501" s="134">
        <v>1</v>
      </c>
      <c r="F2501" s="135" t="s">
        <v>1449</v>
      </c>
      <c r="G2501" s="185" t="s">
        <v>15</v>
      </c>
      <c r="H2501" s="185" t="s">
        <v>15</v>
      </c>
      <c r="I2501" s="185" t="s">
        <v>15</v>
      </c>
      <c r="J2501" s="135" t="s">
        <v>1450</v>
      </c>
      <c r="K2501" s="186">
        <v>37356</v>
      </c>
      <c r="L2501" s="187" t="s">
        <v>173</v>
      </c>
      <c r="M2501" s="187" t="s">
        <v>175</v>
      </c>
    </row>
    <row r="2502" spans="1:13" s="188" customFormat="1">
      <c r="A2502" s="185" t="s">
        <v>1447</v>
      </c>
      <c r="B2502" s="133" t="s">
        <v>5825</v>
      </c>
      <c r="C2502" s="185" t="s">
        <v>3023</v>
      </c>
      <c r="D2502" s="133" t="s">
        <v>5826</v>
      </c>
      <c r="E2502" s="134">
        <v>1</v>
      </c>
      <c r="F2502" s="135" t="s">
        <v>1449</v>
      </c>
      <c r="G2502" s="185" t="s">
        <v>15</v>
      </c>
      <c r="H2502" s="185" t="s">
        <v>15</v>
      </c>
      <c r="I2502" s="185" t="s">
        <v>15</v>
      </c>
      <c r="J2502" s="135" t="s">
        <v>1450</v>
      </c>
      <c r="K2502" s="186">
        <v>31128</v>
      </c>
      <c r="L2502" s="187" t="s">
        <v>173</v>
      </c>
      <c r="M2502" s="187" t="s">
        <v>175</v>
      </c>
    </row>
    <row r="2503" spans="1:13" s="188" customFormat="1">
      <c r="A2503" s="185" t="s">
        <v>1447</v>
      </c>
      <c r="B2503" s="133" t="s">
        <v>5827</v>
      </c>
      <c r="C2503" s="185" t="s">
        <v>3023</v>
      </c>
      <c r="D2503" s="133" t="s">
        <v>5828</v>
      </c>
      <c r="E2503" s="134">
        <v>1</v>
      </c>
      <c r="F2503" s="135" t="s">
        <v>1449</v>
      </c>
      <c r="G2503" s="185" t="s">
        <v>15</v>
      </c>
      <c r="H2503" s="185" t="s">
        <v>15</v>
      </c>
      <c r="I2503" s="185" t="s">
        <v>15</v>
      </c>
      <c r="J2503" s="135" t="s">
        <v>1450</v>
      </c>
      <c r="K2503" s="186">
        <v>2184</v>
      </c>
      <c r="L2503" s="187" t="s">
        <v>173</v>
      </c>
      <c r="M2503" s="187" t="s">
        <v>175</v>
      </c>
    </row>
    <row r="2504" spans="1:13" s="188" customFormat="1">
      <c r="A2504" s="185" t="s">
        <v>1447</v>
      </c>
      <c r="B2504" s="133" t="s">
        <v>5829</v>
      </c>
      <c r="C2504" s="185" t="s">
        <v>3023</v>
      </c>
      <c r="D2504" s="133" t="s">
        <v>5828</v>
      </c>
      <c r="E2504" s="134">
        <v>1</v>
      </c>
      <c r="F2504" s="135" t="s">
        <v>1449</v>
      </c>
      <c r="G2504" s="185" t="s">
        <v>15</v>
      </c>
      <c r="H2504" s="185" t="s">
        <v>15</v>
      </c>
      <c r="I2504" s="185" t="s">
        <v>15</v>
      </c>
      <c r="J2504" s="135" t="s">
        <v>1450</v>
      </c>
      <c r="K2504" s="186">
        <v>1248</v>
      </c>
      <c r="L2504" s="187" t="s">
        <v>173</v>
      </c>
      <c r="M2504" s="187" t="s">
        <v>175</v>
      </c>
    </row>
    <row r="2505" spans="1:13" s="188" customFormat="1">
      <c r="A2505" s="185" t="s">
        <v>1447</v>
      </c>
      <c r="B2505" s="133" t="s">
        <v>5830</v>
      </c>
      <c r="C2505" s="185" t="s">
        <v>3023</v>
      </c>
      <c r="D2505" s="133" t="s">
        <v>5828</v>
      </c>
      <c r="E2505" s="134">
        <v>1</v>
      </c>
      <c r="F2505" s="135" t="s">
        <v>1449</v>
      </c>
      <c r="G2505" s="185" t="s">
        <v>15</v>
      </c>
      <c r="H2505" s="185" t="s">
        <v>15</v>
      </c>
      <c r="I2505" s="185" t="s">
        <v>15</v>
      </c>
      <c r="J2505" s="135" t="s">
        <v>1450</v>
      </c>
      <c r="K2505" s="186">
        <v>624</v>
      </c>
      <c r="L2505" s="187" t="s">
        <v>173</v>
      </c>
      <c r="M2505" s="187" t="s">
        <v>175</v>
      </c>
    </row>
    <row r="2506" spans="1:13" s="188" customFormat="1">
      <c r="A2506" s="185" t="s">
        <v>1447</v>
      </c>
      <c r="B2506" s="133" t="s">
        <v>5831</v>
      </c>
      <c r="C2506" s="185" t="s">
        <v>3023</v>
      </c>
      <c r="D2506" s="133" t="s">
        <v>5828</v>
      </c>
      <c r="E2506" s="134">
        <v>1</v>
      </c>
      <c r="F2506" s="135" t="s">
        <v>1449</v>
      </c>
      <c r="G2506" s="185" t="s">
        <v>15</v>
      </c>
      <c r="H2506" s="185" t="s">
        <v>15</v>
      </c>
      <c r="I2506" s="185" t="s">
        <v>15</v>
      </c>
      <c r="J2506" s="135" t="s">
        <v>1450</v>
      </c>
      <c r="K2506" s="186">
        <v>288</v>
      </c>
      <c r="L2506" s="187" t="s">
        <v>173</v>
      </c>
      <c r="M2506" s="187" t="s">
        <v>175</v>
      </c>
    </row>
    <row r="2507" spans="1:13" s="188" customFormat="1">
      <c r="A2507" s="185" t="s">
        <v>1447</v>
      </c>
      <c r="B2507" s="133" t="s">
        <v>5832</v>
      </c>
      <c r="C2507" s="185" t="s">
        <v>3023</v>
      </c>
      <c r="D2507" s="133" t="s">
        <v>5828</v>
      </c>
      <c r="E2507" s="134">
        <v>1</v>
      </c>
      <c r="F2507" s="135" t="s">
        <v>1449</v>
      </c>
      <c r="G2507" s="185" t="s">
        <v>15</v>
      </c>
      <c r="H2507" s="185" t="s">
        <v>15</v>
      </c>
      <c r="I2507" s="185" t="s">
        <v>15</v>
      </c>
      <c r="J2507" s="135" t="s">
        <v>1450</v>
      </c>
      <c r="K2507" s="186">
        <v>156</v>
      </c>
      <c r="L2507" s="187" t="s">
        <v>173</v>
      </c>
      <c r="M2507" s="187" t="s">
        <v>175</v>
      </c>
    </row>
    <row r="2508" spans="1:13" s="188" customFormat="1">
      <c r="A2508" s="185" t="s">
        <v>1447</v>
      </c>
      <c r="B2508" s="133" t="s">
        <v>5833</v>
      </c>
      <c r="C2508" s="185" t="s">
        <v>3023</v>
      </c>
      <c r="D2508" s="133" t="s">
        <v>5828</v>
      </c>
      <c r="E2508" s="134">
        <v>1</v>
      </c>
      <c r="F2508" s="135" t="s">
        <v>1449</v>
      </c>
      <c r="G2508" s="185" t="s">
        <v>15</v>
      </c>
      <c r="H2508" s="185" t="s">
        <v>15</v>
      </c>
      <c r="I2508" s="185" t="s">
        <v>15</v>
      </c>
      <c r="J2508" s="135" t="s">
        <v>1450</v>
      </c>
      <c r="K2508" s="186">
        <v>112.08</v>
      </c>
      <c r="L2508" s="187" t="s">
        <v>173</v>
      </c>
      <c r="M2508" s="187" t="s">
        <v>175</v>
      </c>
    </row>
    <row r="2509" spans="1:13" s="188" customFormat="1">
      <c r="A2509" s="185" t="s">
        <v>1447</v>
      </c>
      <c r="B2509" s="133" t="s">
        <v>5834</v>
      </c>
      <c r="C2509" s="185" t="s">
        <v>3023</v>
      </c>
      <c r="D2509" s="133" t="s">
        <v>5835</v>
      </c>
      <c r="E2509" s="134">
        <v>1</v>
      </c>
      <c r="F2509" s="135" t="s">
        <v>1449</v>
      </c>
      <c r="G2509" s="185" t="s">
        <v>15</v>
      </c>
      <c r="H2509" s="185" t="s">
        <v>15</v>
      </c>
      <c r="I2509" s="185" t="s">
        <v>15</v>
      </c>
      <c r="J2509" s="135" t="s">
        <v>1450</v>
      </c>
      <c r="K2509" s="186">
        <v>18672</v>
      </c>
      <c r="L2509" s="187" t="s">
        <v>173</v>
      </c>
      <c r="M2509" s="187" t="s">
        <v>175</v>
      </c>
    </row>
    <row r="2510" spans="1:13" s="188" customFormat="1">
      <c r="A2510" s="185" t="s">
        <v>1447</v>
      </c>
      <c r="B2510" s="133" t="s">
        <v>5836</v>
      </c>
      <c r="C2510" s="185" t="s">
        <v>3023</v>
      </c>
      <c r="D2510" s="133" t="s">
        <v>5835</v>
      </c>
      <c r="E2510" s="134">
        <v>1</v>
      </c>
      <c r="F2510" s="135" t="s">
        <v>1449</v>
      </c>
      <c r="G2510" s="185" t="s">
        <v>15</v>
      </c>
      <c r="H2510" s="185" t="s">
        <v>15</v>
      </c>
      <c r="I2510" s="185" t="s">
        <v>15</v>
      </c>
      <c r="J2510" s="135" t="s">
        <v>1450</v>
      </c>
      <c r="K2510" s="186">
        <v>16596</v>
      </c>
      <c r="L2510" s="187" t="s">
        <v>173</v>
      </c>
      <c r="M2510" s="187" t="s">
        <v>175</v>
      </c>
    </row>
    <row r="2511" spans="1:13" s="188" customFormat="1">
      <c r="A2511" s="185" t="s">
        <v>1447</v>
      </c>
      <c r="B2511" s="133" t="s">
        <v>5837</v>
      </c>
      <c r="C2511" s="185" t="s">
        <v>3023</v>
      </c>
      <c r="D2511" s="133" t="s">
        <v>5835</v>
      </c>
      <c r="E2511" s="134">
        <v>1</v>
      </c>
      <c r="F2511" s="135" t="s">
        <v>1449</v>
      </c>
      <c r="G2511" s="185" t="s">
        <v>15</v>
      </c>
      <c r="H2511" s="185" t="s">
        <v>15</v>
      </c>
      <c r="I2511" s="185" t="s">
        <v>15</v>
      </c>
      <c r="J2511" s="135" t="s">
        <v>1450</v>
      </c>
      <c r="K2511" s="186">
        <v>14532</v>
      </c>
      <c r="L2511" s="187" t="s">
        <v>173</v>
      </c>
      <c r="M2511" s="187" t="s">
        <v>175</v>
      </c>
    </row>
    <row r="2512" spans="1:13" s="188" customFormat="1">
      <c r="A2512" s="185" t="s">
        <v>1447</v>
      </c>
      <c r="B2512" s="133" t="s">
        <v>5838</v>
      </c>
      <c r="C2512" s="185" t="s">
        <v>3023</v>
      </c>
      <c r="D2512" s="133" t="s">
        <v>5835</v>
      </c>
      <c r="E2512" s="134">
        <v>1</v>
      </c>
      <c r="F2512" s="135" t="s">
        <v>1449</v>
      </c>
      <c r="G2512" s="185" t="s">
        <v>15</v>
      </c>
      <c r="H2512" s="185" t="s">
        <v>15</v>
      </c>
      <c r="I2512" s="185" t="s">
        <v>15</v>
      </c>
      <c r="J2512" s="135" t="s">
        <v>1450</v>
      </c>
      <c r="K2512" s="186">
        <v>12456</v>
      </c>
      <c r="L2512" s="187" t="s">
        <v>173</v>
      </c>
      <c r="M2512" s="187" t="s">
        <v>175</v>
      </c>
    </row>
    <row r="2513" spans="1:13" s="188" customFormat="1">
      <c r="A2513" s="185" t="s">
        <v>1447</v>
      </c>
      <c r="B2513" s="133" t="s">
        <v>5839</v>
      </c>
      <c r="C2513" s="185" t="s">
        <v>3023</v>
      </c>
      <c r="D2513" s="133" t="s">
        <v>5835</v>
      </c>
      <c r="E2513" s="134">
        <v>1</v>
      </c>
      <c r="F2513" s="135" t="s">
        <v>1449</v>
      </c>
      <c r="G2513" s="185" t="s">
        <v>15</v>
      </c>
      <c r="H2513" s="185" t="s">
        <v>15</v>
      </c>
      <c r="I2513" s="185" t="s">
        <v>15</v>
      </c>
      <c r="J2513" s="135" t="s">
        <v>1450</v>
      </c>
      <c r="K2513" s="186">
        <v>10368</v>
      </c>
      <c r="L2513" s="187" t="s">
        <v>173</v>
      </c>
      <c r="M2513" s="187" t="s">
        <v>175</v>
      </c>
    </row>
    <row r="2514" spans="1:13" s="188" customFormat="1">
      <c r="A2514" s="185" t="s">
        <v>1447</v>
      </c>
      <c r="B2514" s="133" t="s">
        <v>5840</v>
      </c>
      <c r="C2514" s="185" t="s">
        <v>3023</v>
      </c>
      <c r="D2514" s="133" t="s">
        <v>5835</v>
      </c>
      <c r="E2514" s="134">
        <v>1</v>
      </c>
      <c r="F2514" s="135" t="s">
        <v>1449</v>
      </c>
      <c r="G2514" s="185" t="s">
        <v>15</v>
      </c>
      <c r="H2514" s="185" t="s">
        <v>15</v>
      </c>
      <c r="I2514" s="185" t="s">
        <v>15</v>
      </c>
      <c r="J2514" s="135" t="s">
        <v>1450</v>
      </c>
      <c r="K2514" s="186">
        <v>8304</v>
      </c>
      <c r="L2514" s="187" t="s">
        <v>173</v>
      </c>
      <c r="M2514" s="187" t="s">
        <v>175</v>
      </c>
    </row>
    <row r="2515" spans="1:13" s="188" customFormat="1">
      <c r="A2515" s="185" t="s">
        <v>1447</v>
      </c>
      <c r="B2515" s="133" t="s">
        <v>5841</v>
      </c>
      <c r="C2515" s="185" t="s">
        <v>3023</v>
      </c>
      <c r="D2515" s="133" t="s">
        <v>5842</v>
      </c>
      <c r="E2515" s="134">
        <v>1</v>
      </c>
      <c r="F2515" s="135" t="s">
        <v>1449</v>
      </c>
      <c r="G2515" s="185" t="s">
        <v>15</v>
      </c>
      <c r="H2515" s="185" t="s">
        <v>15</v>
      </c>
      <c r="I2515" s="185" t="s">
        <v>15</v>
      </c>
      <c r="J2515" s="135" t="s">
        <v>1450</v>
      </c>
      <c r="K2515" s="186">
        <v>18672</v>
      </c>
      <c r="L2515" s="187" t="s">
        <v>173</v>
      </c>
      <c r="M2515" s="187" t="s">
        <v>175</v>
      </c>
    </row>
    <row r="2516" spans="1:13" s="188" customFormat="1">
      <c r="A2516" s="185" t="s">
        <v>1447</v>
      </c>
      <c r="B2516" s="133" t="s">
        <v>5843</v>
      </c>
      <c r="C2516" s="185" t="s">
        <v>3023</v>
      </c>
      <c r="D2516" s="133" t="s">
        <v>5842</v>
      </c>
      <c r="E2516" s="134">
        <v>1</v>
      </c>
      <c r="F2516" s="135" t="s">
        <v>1449</v>
      </c>
      <c r="G2516" s="185" t="s">
        <v>15</v>
      </c>
      <c r="H2516" s="185" t="s">
        <v>15</v>
      </c>
      <c r="I2516" s="185" t="s">
        <v>15</v>
      </c>
      <c r="J2516" s="135" t="s">
        <v>1450</v>
      </c>
      <c r="K2516" s="186">
        <v>16596</v>
      </c>
      <c r="L2516" s="187" t="s">
        <v>173</v>
      </c>
      <c r="M2516" s="187" t="s">
        <v>175</v>
      </c>
    </row>
    <row r="2517" spans="1:13" s="188" customFormat="1">
      <c r="A2517" s="185" t="s">
        <v>1447</v>
      </c>
      <c r="B2517" s="133" t="s">
        <v>5844</v>
      </c>
      <c r="C2517" s="185" t="s">
        <v>3023</v>
      </c>
      <c r="D2517" s="133" t="s">
        <v>5842</v>
      </c>
      <c r="E2517" s="134">
        <v>1</v>
      </c>
      <c r="F2517" s="135" t="s">
        <v>1449</v>
      </c>
      <c r="G2517" s="185" t="s">
        <v>15</v>
      </c>
      <c r="H2517" s="185" t="s">
        <v>15</v>
      </c>
      <c r="I2517" s="185" t="s">
        <v>15</v>
      </c>
      <c r="J2517" s="135" t="s">
        <v>1450</v>
      </c>
      <c r="K2517" s="186">
        <v>14532</v>
      </c>
      <c r="L2517" s="187" t="s">
        <v>173</v>
      </c>
      <c r="M2517" s="187" t="s">
        <v>175</v>
      </c>
    </row>
    <row r="2518" spans="1:13" s="188" customFormat="1">
      <c r="A2518" s="185" t="s">
        <v>1447</v>
      </c>
      <c r="B2518" s="133" t="s">
        <v>5845</v>
      </c>
      <c r="C2518" s="185" t="s">
        <v>3023</v>
      </c>
      <c r="D2518" s="133" t="s">
        <v>5842</v>
      </c>
      <c r="E2518" s="134">
        <v>1</v>
      </c>
      <c r="F2518" s="135" t="s">
        <v>1449</v>
      </c>
      <c r="G2518" s="185" t="s">
        <v>15</v>
      </c>
      <c r="H2518" s="185" t="s">
        <v>15</v>
      </c>
      <c r="I2518" s="185" t="s">
        <v>15</v>
      </c>
      <c r="J2518" s="135" t="s">
        <v>1450</v>
      </c>
      <c r="K2518" s="186">
        <v>12456</v>
      </c>
      <c r="L2518" s="187" t="s">
        <v>173</v>
      </c>
      <c r="M2518" s="187" t="s">
        <v>175</v>
      </c>
    </row>
    <row r="2519" spans="1:13" s="188" customFormat="1">
      <c r="A2519" s="185" t="s">
        <v>1447</v>
      </c>
      <c r="B2519" s="133" t="s">
        <v>5846</v>
      </c>
      <c r="C2519" s="185" t="s">
        <v>3023</v>
      </c>
      <c r="D2519" s="133" t="s">
        <v>5842</v>
      </c>
      <c r="E2519" s="134">
        <v>1</v>
      </c>
      <c r="F2519" s="135" t="s">
        <v>1449</v>
      </c>
      <c r="G2519" s="185" t="s">
        <v>15</v>
      </c>
      <c r="H2519" s="185" t="s">
        <v>15</v>
      </c>
      <c r="I2519" s="185" t="s">
        <v>15</v>
      </c>
      <c r="J2519" s="135" t="s">
        <v>1450</v>
      </c>
      <c r="K2519" s="186">
        <v>10368</v>
      </c>
      <c r="L2519" s="187" t="s">
        <v>173</v>
      </c>
      <c r="M2519" s="187" t="s">
        <v>175</v>
      </c>
    </row>
    <row r="2520" spans="1:13" s="188" customFormat="1">
      <c r="A2520" s="185" t="s">
        <v>1447</v>
      </c>
      <c r="B2520" s="133" t="s">
        <v>5847</v>
      </c>
      <c r="C2520" s="185" t="s">
        <v>3023</v>
      </c>
      <c r="D2520" s="133" t="s">
        <v>5842</v>
      </c>
      <c r="E2520" s="134">
        <v>1</v>
      </c>
      <c r="F2520" s="135" t="s">
        <v>1449</v>
      </c>
      <c r="G2520" s="185" t="s">
        <v>15</v>
      </c>
      <c r="H2520" s="185" t="s">
        <v>15</v>
      </c>
      <c r="I2520" s="185" t="s">
        <v>15</v>
      </c>
      <c r="J2520" s="135" t="s">
        <v>1450</v>
      </c>
      <c r="K2520" s="186">
        <v>8304</v>
      </c>
      <c r="L2520" s="187" t="s">
        <v>173</v>
      </c>
      <c r="M2520" s="187" t="s">
        <v>175</v>
      </c>
    </row>
    <row r="2521" spans="1:13" s="188" customFormat="1">
      <c r="A2521" s="185" t="s">
        <v>1447</v>
      </c>
      <c r="B2521" s="133" t="s">
        <v>5848</v>
      </c>
      <c r="C2521" s="185" t="s">
        <v>3023</v>
      </c>
      <c r="D2521" s="133" t="s">
        <v>5849</v>
      </c>
      <c r="E2521" s="134">
        <v>1</v>
      </c>
      <c r="F2521" s="135" t="s">
        <v>1449</v>
      </c>
      <c r="G2521" s="185" t="s">
        <v>15</v>
      </c>
      <c r="H2521" s="185" t="s">
        <v>15</v>
      </c>
      <c r="I2521" s="185" t="s">
        <v>15</v>
      </c>
      <c r="J2521" s="135" t="s">
        <v>1450</v>
      </c>
      <c r="K2521" s="186">
        <v>14004</v>
      </c>
      <c r="L2521" s="187" t="s">
        <v>173</v>
      </c>
      <c r="M2521" s="187" t="s">
        <v>175</v>
      </c>
    </row>
    <row r="2522" spans="1:13" s="188" customFormat="1">
      <c r="A2522" s="185" t="s">
        <v>1447</v>
      </c>
      <c r="B2522" s="133" t="s">
        <v>5850</v>
      </c>
      <c r="C2522" s="185" t="s">
        <v>3023</v>
      </c>
      <c r="D2522" s="133" t="s">
        <v>5849</v>
      </c>
      <c r="E2522" s="134">
        <v>1</v>
      </c>
      <c r="F2522" s="135" t="s">
        <v>1449</v>
      </c>
      <c r="G2522" s="185" t="s">
        <v>15</v>
      </c>
      <c r="H2522" s="185" t="s">
        <v>15</v>
      </c>
      <c r="I2522" s="185" t="s">
        <v>15</v>
      </c>
      <c r="J2522" s="135" t="s">
        <v>1450</v>
      </c>
      <c r="K2522" s="186">
        <v>12456</v>
      </c>
      <c r="L2522" s="187" t="s">
        <v>173</v>
      </c>
      <c r="M2522" s="187" t="s">
        <v>175</v>
      </c>
    </row>
    <row r="2523" spans="1:13" s="188" customFormat="1">
      <c r="A2523" s="185" t="s">
        <v>1447</v>
      </c>
      <c r="B2523" s="133" t="s">
        <v>5851</v>
      </c>
      <c r="C2523" s="185" t="s">
        <v>3023</v>
      </c>
      <c r="D2523" s="133" t="s">
        <v>5849</v>
      </c>
      <c r="E2523" s="134">
        <v>1</v>
      </c>
      <c r="F2523" s="135" t="s">
        <v>1449</v>
      </c>
      <c r="G2523" s="185" t="s">
        <v>15</v>
      </c>
      <c r="H2523" s="185" t="s">
        <v>15</v>
      </c>
      <c r="I2523" s="185" t="s">
        <v>15</v>
      </c>
      <c r="J2523" s="135" t="s">
        <v>1450</v>
      </c>
      <c r="K2523" s="186">
        <v>10368</v>
      </c>
      <c r="L2523" s="187" t="s">
        <v>173</v>
      </c>
      <c r="M2523" s="187" t="s">
        <v>175</v>
      </c>
    </row>
    <row r="2524" spans="1:13" s="188" customFormat="1">
      <c r="A2524" s="185" t="s">
        <v>1447</v>
      </c>
      <c r="B2524" s="133" t="s">
        <v>5852</v>
      </c>
      <c r="C2524" s="185" t="s">
        <v>3023</v>
      </c>
      <c r="D2524" s="133" t="s">
        <v>5849</v>
      </c>
      <c r="E2524" s="134">
        <v>1</v>
      </c>
      <c r="F2524" s="135" t="s">
        <v>1449</v>
      </c>
      <c r="G2524" s="185" t="s">
        <v>15</v>
      </c>
      <c r="H2524" s="185" t="s">
        <v>15</v>
      </c>
      <c r="I2524" s="185" t="s">
        <v>15</v>
      </c>
      <c r="J2524" s="135" t="s">
        <v>1450</v>
      </c>
      <c r="K2524" s="186">
        <v>8820</v>
      </c>
      <c r="L2524" s="187" t="s">
        <v>173</v>
      </c>
      <c r="M2524" s="187" t="s">
        <v>175</v>
      </c>
    </row>
    <row r="2525" spans="1:13" s="188" customFormat="1">
      <c r="A2525" s="185" t="s">
        <v>1447</v>
      </c>
      <c r="B2525" s="133" t="s">
        <v>5853</v>
      </c>
      <c r="C2525" s="185" t="s">
        <v>3023</v>
      </c>
      <c r="D2525" s="133" t="s">
        <v>5849</v>
      </c>
      <c r="E2525" s="134">
        <v>1</v>
      </c>
      <c r="F2525" s="135" t="s">
        <v>1449</v>
      </c>
      <c r="G2525" s="185" t="s">
        <v>15</v>
      </c>
      <c r="H2525" s="185" t="s">
        <v>15</v>
      </c>
      <c r="I2525" s="185" t="s">
        <v>15</v>
      </c>
      <c r="J2525" s="135" t="s">
        <v>1450</v>
      </c>
      <c r="K2525" s="186">
        <v>7788</v>
      </c>
      <c r="L2525" s="187" t="s">
        <v>173</v>
      </c>
      <c r="M2525" s="187" t="s">
        <v>175</v>
      </c>
    </row>
    <row r="2526" spans="1:13" s="188" customFormat="1">
      <c r="A2526" s="185" t="s">
        <v>1447</v>
      </c>
      <c r="B2526" s="133" t="s">
        <v>5854</v>
      </c>
      <c r="C2526" s="185" t="s">
        <v>3023</v>
      </c>
      <c r="D2526" s="133" t="s">
        <v>5849</v>
      </c>
      <c r="E2526" s="134">
        <v>1</v>
      </c>
      <c r="F2526" s="135" t="s">
        <v>1449</v>
      </c>
      <c r="G2526" s="185" t="s">
        <v>15</v>
      </c>
      <c r="H2526" s="185" t="s">
        <v>15</v>
      </c>
      <c r="I2526" s="185" t="s">
        <v>15</v>
      </c>
      <c r="J2526" s="135" t="s">
        <v>1450</v>
      </c>
      <c r="K2526" s="186">
        <v>6744</v>
      </c>
      <c r="L2526" s="187" t="s">
        <v>173</v>
      </c>
      <c r="M2526" s="187" t="s">
        <v>175</v>
      </c>
    </row>
    <row r="2527" spans="1:13" s="188" customFormat="1">
      <c r="A2527" s="185" t="s">
        <v>1447</v>
      </c>
      <c r="B2527" s="133" t="s">
        <v>5855</v>
      </c>
      <c r="C2527" s="185" t="s">
        <v>3023</v>
      </c>
      <c r="D2527" s="133" t="s">
        <v>1730</v>
      </c>
      <c r="E2527" s="134">
        <v>1</v>
      </c>
      <c r="F2527" s="135" t="s">
        <v>1449</v>
      </c>
      <c r="G2527" s="185" t="s">
        <v>15</v>
      </c>
      <c r="H2527" s="185" t="s">
        <v>15</v>
      </c>
      <c r="I2527" s="185" t="s">
        <v>15</v>
      </c>
      <c r="J2527" s="135" t="s">
        <v>1450</v>
      </c>
      <c r="K2527" s="186">
        <v>408</v>
      </c>
      <c r="L2527" s="187" t="s">
        <v>173</v>
      </c>
      <c r="M2527" s="187" t="s">
        <v>175</v>
      </c>
    </row>
    <row r="2528" spans="1:13" s="188" customFormat="1">
      <c r="A2528" s="185" t="s">
        <v>1447</v>
      </c>
      <c r="B2528" s="133" t="s">
        <v>5856</v>
      </c>
      <c r="C2528" s="185" t="s">
        <v>3023</v>
      </c>
      <c r="D2528" s="133" t="s">
        <v>1730</v>
      </c>
      <c r="E2528" s="134">
        <v>1</v>
      </c>
      <c r="F2528" s="135" t="s">
        <v>1449</v>
      </c>
      <c r="G2528" s="185" t="s">
        <v>15</v>
      </c>
      <c r="H2528" s="185" t="s">
        <v>15</v>
      </c>
      <c r="I2528" s="185" t="s">
        <v>15</v>
      </c>
      <c r="J2528" s="135" t="s">
        <v>1450</v>
      </c>
      <c r="K2528" s="186">
        <v>276</v>
      </c>
      <c r="L2528" s="187" t="s">
        <v>173</v>
      </c>
      <c r="M2528" s="187" t="s">
        <v>175</v>
      </c>
    </row>
    <row r="2529" spans="1:13" s="188" customFormat="1">
      <c r="A2529" s="185" t="s">
        <v>1447</v>
      </c>
      <c r="B2529" s="133" t="s">
        <v>5857</v>
      </c>
      <c r="C2529" s="185" t="s">
        <v>3023</v>
      </c>
      <c r="D2529" s="133" t="s">
        <v>1730</v>
      </c>
      <c r="E2529" s="134">
        <v>1</v>
      </c>
      <c r="F2529" s="135" t="s">
        <v>1449</v>
      </c>
      <c r="G2529" s="185" t="s">
        <v>15</v>
      </c>
      <c r="H2529" s="185" t="s">
        <v>15</v>
      </c>
      <c r="I2529" s="185" t="s">
        <v>15</v>
      </c>
      <c r="J2529" s="135" t="s">
        <v>1450</v>
      </c>
      <c r="K2529" s="186">
        <v>228</v>
      </c>
      <c r="L2529" s="187" t="s">
        <v>173</v>
      </c>
      <c r="M2529" s="187" t="s">
        <v>175</v>
      </c>
    </row>
    <row r="2530" spans="1:13" s="188" customFormat="1">
      <c r="A2530" s="185" t="s">
        <v>1447</v>
      </c>
      <c r="B2530" s="133" t="s">
        <v>5858</v>
      </c>
      <c r="C2530" s="185" t="s">
        <v>3023</v>
      </c>
      <c r="D2530" s="133" t="s">
        <v>1730</v>
      </c>
      <c r="E2530" s="134">
        <v>1</v>
      </c>
      <c r="F2530" s="135" t="s">
        <v>1449</v>
      </c>
      <c r="G2530" s="185" t="s">
        <v>15</v>
      </c>
      <c r="H2530" s="185" t="s">
        <v>15</v>
      </c>
      <c r="I2530" s="185" t="s">
        <v>15</v>
      </c>
      <c r="J2530" s="135" t="s">
        <v>1450</v>
      </c>
      <c r="K2530" s="186">
        <v>180</v>
      </c>
      <c r="L2530" s="187" t="s">
        <v>173</v>
      </c>
      <c r="M2530" s="187" t="s">
        <v>175</v>
      </c>
    </row>
    <row r="2531" spans="1:13" s="188" customFormat="1">
      <c r="A2531" s="185" t="s">
        <v>1447</v>
      </c>
      <c r="B2531" s="133" t="s">
        <v>5859</v>
      </c>
      <c r="C2531" s="185" t="s">
        <v>3023</v>
      </c>
      <c r="D2531" s="133" t="s">
        <v>1730</v>
      </c>
      <c r="E2531" s="134">
        <v>1</v>
      </c>
      <c r="F2531" s="135" t="s">
        <v>1449</v>
      </c>
      <c r="G2531" s="185" t="s">
        <v>15</v>
      </c>
      <c r="H2531" s="185" t="s">
        <v>15</v>
      </c>
      <c r="I2531" s="185" t="s">
        <v>15</v>
      </c>
      <c r="J2531" s="135" t="s">
        <v>1450</v>
      </c>
      <c r="K2531" s="186">
        <v>120</v>
      </c>
      <c r="L2531" s="187" t="s">
        <v>173</v>
      </c>
      <c r="M2531" s="187" t="s">
        <v>175</v>
      </c>
    </row>
    <row r="2532" spans="1:13" s="188" customFormat="1">
      <c r="A2532" s="185" t="s">
        <v>1447</v>
      </c>
      <c r="B2532" s="133" t="s">
        <v>5860</v>
      </c>
      <c r="C2532" s="185" t="s">
        <v>3023</v>
      </c>
      <c r="D2532" s="133" t="s">
        <v>1731</v>
      </c>
      <c r="E2532" s="134">
        <v>1</v>
      </c>
      <c r="F2532" s="135" t="s">
        <v>1449</v>
      </c>
      <c r="G2532" s="185" t="s">
        <v>15</v>
      </c>
      <c r="H2532" s="185" t="s">
        <v>15</v>
      </c>
      <c r="I2532" s="185" t="s">
        <v>15</v>
      </c>
      <c r="J2532" s="135" t="s">
        <v>1450</v>
      </c>
      <c r="K2532" s="186">
        <v>1188</v>
      </c>
      <c r="L2532" s="187" t="s">
        <v>173</v>
      </c>
      <c r="M2532" s="187" t="s">
        <v>175</v>
      </c>
    </row>
    <row r="2533" spans="1:13" s="188" customFormat="1">
      <c r="A2533" s="185" t="s">
        <v>1447</v>
      </c>
      <c r="B2533" s="133" t="s">
        <v>5861</v>
      </c>
      <c r="C2533" s="185" t="s">
        <v>3023</v>
      </c>
      <c r="D2533" s="133" t="s">
        <v>1731</v>
      </c>
      <c r="E2533" s="134">
        <v>1</v>
      </c>
      <c r="F2533" s="135" t="s">
        <v>1449</v>
      </c>
      <c r="G2533" s="185" t="s">
        <v>15</v>
      </c>
      <c r="H2533" s="185" t="s">
        <v>15</v>
      </c>
      <c r="I2533" s="185" t="s">
        <v>15</v>
      </c>
      <c r="J2533" s="135" t="s">
        <v>1450</v>
      </c>
      <c r="K2533" s="186">
        <v>780</v>
      </c>
      <c r="L2533" s="187" t="s">
        <v>173</v>
      </c>
      <c r="M2533" s="187" t="s">
        <v>175</v>
      </c>
    </row>
    <row r="2534" spans="1:13" s="188" customFormat="1">
      <c r="A2534" s="185" t="s">
        <v>1447</v>
      </c>
      <c r="B2534" s="133" t="s">
        <v>5862</v>
      </c>
      <c r="C2534" s="185" t="s">
        <v>3023</v>
      </c>
      <c r="D2534" s="133" t="s">
        <v>1731</v>
      </c>
      <c r="E2534" s="134">
        <v>1</v>
      </c>
      <c r="F2534" s="135" t="s">
        <v>1449</v>
      </c>
      <c r="G2534" s="185" t="s">
        <v>15</v>
      </c>
      <c r="H2534" s="185" t="s">
        <v>15</v>
      </c>
      <c r="I2534" s="185" t="s">
        <v>15</v>
      </c>
      <c r="J2534" s="135" t="s">
        <v>1450</v>
      </c>
      <c r="K2534" s="186">
        <v>624</v>
      </c>
      <c r="L2534" s="187" t="s">
        <v>173</v>
      </c>
      <c r="M2534" s="187" t="s">
        <v>175</v>
      </c>
    </row>
    <row r="2535" spans="1:13" s="188" customFormat="1">
      <c r="A2535" s="185" t="s">
        <v>1447</v>
      </c>
      <c r="B2535" s="133" t="s">
        <v>5863</v>
      </c>
      <c r="C2535" s="185" t="s">
        <v>3023</v>
      </c>
      <c r="D2535" s="133" t="s">
        <v>1731</v>
      </c>
      <c r="E2535" s="134">
        <v>1</v>
      </c>
      <c r="F2535" s="135" t="s">
        <v>1449</v>
      </c>
      <c r="G2535" s="185" t="s">
        <v>15</v>
      </c>
      <c r="H2535" s="185" t="s">
        <v>15</v>
      </c>
      <c r="I2535" s="185" t="s">
        <v>15</v>
      </c>
      <c r="J2535" s="135" t="s">
        <v>1450</v>
      </c>
      <c r="K2535" s="186">
        <v>528</v>
      </c>
      <c r="L2535" s="187" t="s">
        <v>173</v>
      </c>
      <c r="M2535" s="187" t="s">
        <v>175</v>
      </c>
    </row>
    <row r="2536" spans="1:13" s="188" customFormat="1">
      <c r="A2536" s="185" t="s">
        <v>1447</v>
      </c>
      <c r="B2536" s="133" t="s">
        <v>5864</v>
      </c>
      <c r="C2536" s="185" t="s">
        <v>3023</v>
      </c>
      <c r="D2536" s="133" t="s">
        <v>1731</v>
      </c>
      <c r="E2536" s="134">
        <v>1</v>
      </c>
      <c r="F2536" s="135" t="s">
        <v>1449</v>
      </c>
      <c r="G2536" s="185" t="s">
        <v>15</v>
      </c>
      <c r="H2536" s="185" t="s">
        <v>15</v>
      </c>
      <c r="I2536" s="185" t="s">
        <v>15</v>
      </c>
      <c r="J2536" s="135" t="s">
        <v>1450</v>
      </c>
      <c r="K2536" s="186">
        <v>468</v>
      </c>
      <c r="L2536" s="187" t="s">
        <v>173</v>
      </c>
      <c r="M2536" s="187" t="s">
        <v>175</v>
      </c>
    </row>
    <row r="2537" spans="1:13" s="188" customFormat="1">
      <c r="A2537" s="185" t="s">
        <v>1447</v>
      </c>
      <c r="B2537" s="133" t="s">
        <v>5865</v>
      </c>
      <c r="C2537" s="185" t="s">
        <v>3023</v>
      </c>
      <c r="D2537" s="133" t="s">
        <v>5866</v>
      </c>
      <c r="E2537" s="134">
        <v>1</v>
      </c>
      <c r="F2537" s="135" t="s">
        <v>1449</v>
      </c>
      <c r="G2537" s="185" t="s">
        <v>15</v>
      </c>
      <c r="H2537" s="185" t="s">
        <v>15</v>
      </c>
      <c r="I2537" s="185" t="s">
        <v>15</v>
      </c>
      <c r="J2537" s="135" t="s">
        <v>1450</v>
      </c>
      <c r="K2537" s="186">
        <v>14004</v>
      </c>
      <c r="L2537" s="187" t="s">
        <v>173</v>
      </c>
      <c r="M2537" s="187" t="s">
        <v>175</v>
      </c>
    </row>
    <row r="2538" spans="1:13" s="188" customFormat="1">
      <c r="A2538" s="185" t="s">
        <v>1447</v>
      </c>
      <c r="B2538" s="133" t="s">
        <v>5867</v>
      </c>
      <c r="C2538" s="185" t="s">
        <v>3023</v>
      </c>
      <c r="D2538" s="133" t="s">
        <v>5866</v>
      </c>
      <c r="E2538" s="134">
        <v>1</v>
      </c>
      <c r="F2538" s="135" t="s">
        <v>1449</v>
      </c>
      <c r="G2538" s="185" t="s">
        <v>15</v>
      </c>
      <c r="H2538" s="185" t="s">
        <v>15</v>
      </c>
      <c r="I2538" s="185" t="s">
        <v>15</v>
      </c>
      <c r="J2538" s="135" t="s">
        <v>1450</v>
      </c>
      <c r="K2538" s="186">
        <v>11952</v>
      </c>
      <c r="L2538" s="187" t="s">
        <v>173</v>
      </c>
      <c r="M2538" s="187" t="s">
        <v>175</v>
      </c>
    </row>
    <row r="2539" spans="1:13" s="188" customFormat="1">
      <c r="A2539" s="185" t="s">
        <v>1447</v>
      </c>
      <c r="B2539" s="133" t="s">
        <v>5868</v>
      </c>
      <c r="C2539" s="185" t="s">
        <v>3023</v>
      </c>
      <c r="D2539" s="133" t="s">
        <v>5866</v>
      </c>
      <c r="E2539" s="134">
        <v>1</v>
      </c>
      <c r="F2539" s="135" t="s">
        <v>1449</v>
      </c>
      <c r="G2539" s="185" t="s">
        <v>15</v>
      </c>
      <c r="H2539" s="185" t="s">
        <v>15</v>
      </c>
      <c r="I2539" s="185" t="s">
        <v>15</v>
      </c>
      <c r="J2539" s="135" t="s">
        <v>1450</v>
      </c>
      <c r="K2539" s="186">
        <v>11208</v>
      </c>
      <c r="L2539" s="187" t="s">
        <v>173</v>
      </c>
      <c r="M2539" s="187" t="s">
        <v>175</v>
      </c>
    </row>
    <row r="2540" spans="1:13" s="188" customFormat="1">
      <c r="A2540" s="185" t="s">
        <v>1447</v>
      </c>
      <c r="B2540" s="133" t="s">
        <v>5869</v>
      </c>
      <c r="C2540" s="185" t="s">
        <v>3023</v>
      </c>
      <c r="D2540" s="133" t="s">
        <v>5866</v>
      </c>
      <c r="E2540" s="134">
        <v>1</v>
      </c>
      <c r="F2540" s="135" t="s">
        <v>1449</v>
      </c>
      <c r="G2540" s="185" t="s">
        <v>15</v>
      </c>
      <c r="H2540" s="185" t="s">
        <v>15</v>
      </c>
      <c r="I2540" s="185" t="s">
        <v>15</v>
      </c>
      <c r="J2540" s="135" t="s">
        <v>1450</v>
      </c>
      <c r="K2540" s="186">
        <v>10584</v>
      </c>
      <c r="L2540" s="187" t="s">
        <v>173</v>
      </c>
      <c r="M2540" s="187" t="s">
        <v>175</v>
      </c>
    </row>
    <row r="2541" spans="1:13" s="188" customFormat="1">
      <c r="A2541" s="185" t="s">
        <v>1447</v>
      </c>
      <c r="B2541" s="133" t="s">
        <v>5870</v>
      </c>
      <c r="C2541" s="185" t="s">
        <v>3023</v>
      </c>
      <c r="D2541" s="133" t="s">
        <v>5866</v>
      </c>
      <c r="E2541" s="134">
        <v>1</v>
      </c>
      <c r="F2541" s="135" t="s">
        <v>1449</v>
      </c>
      <c r="G2541" s="185" t="s">
        <v>15</v>
      </c>
      <c r="H2541" s="185" t="s">
        <v>15</v>
      </c>
      <c r="I2541" s="185" t="s">
        <v>15</v>
      </c>
      <c r="J2541" s="135" t="s">
        <v>1450</v>
      </c>
      <c r="K2541" s="186">
        <v>9960</v>
      </c>
      <c r="L2541" s="187" t="s">
        <v>173</v>
      </c>
      <c r="M2541" s="187" t="s">
        <v>175</v>
      </c>
    </row>
    <row r="2542" spans="1:13" s="188" customFormat="1">
      <c r="A2542" s="185" t="s">
        <v>1447</v>
      </c>
      <c r="B2542" s="133" t="s">
        <v>5871</v>
      </c>
      <c r="C2542" s="185" t="s">
        <v>3023</v>
      </c>
      <c r="D2542" s="133" t="s">
        <v>5866</v>
      </c>
      <c r="E2542" s="134">
        <v>1</v>
      </c>
      <c r="F2542" s="135" t="s">
        <v>1449</v>
      </c>
      <c r="G2542" s="185" t="s">
        <v>15</v>
      </c>
      <c r="H2542" s="185" t="s">
        <v>15</v>
      </c>
      <c r="I2542" s="185" t="s">
        <v>15</v>
      </c>
      <c r="J2542" s="135" t="s">
        <v>1450</v>
      </c>
      <c r="K2542" s="186">
        <v>9708</v>
      </c>
      <c r="L2542" s="187" t="s">
        <v>173</v>
      </c>
      <c r="M2542" s="187" t="s">
        <v>175</v>
      </c>
    </row>
    <row r="2543" spans="1:13" s="188" customFormat="1">
      <c r="A2543" s="185" t="s">
        <v>1447</v>
      </c>
      <c r="B2543" s="133" t="s">
        <v>5872</v>
      </c>
      <c r="C2543" s="185" t="s">
        <v>3023</v>
      </c>
      <c r="D2543" s="133" t="s">
        <v>1729</v>
      </c>
      <c r="E2543" s="134">
        <v>1</v>
      </c>
      <c r="F2543" s="135" t="s">
        <v>1449</v>
      </c>
      <c r="G2543" s="185" t="s">
        <v>15</v>
      </c>
      <c r="H2543" s="185" t="s">
        <v>15</v>
      </c>
      <c r="I2543" s="185" t="s">
        <v>15</v>
      </c>
      <c r="J2543" s="135" t="s">
        <v>1450</v>
      </c>
      <c r="K2543" s="186">
        <v>6226</v>
      </c>
      <c r="L2543" s="187" t="s">
        <v>173</v>
      </c>
      <c r="M2543" s="187" t="s">
        <v>175</v>
      </c>
    </row>
    <row r="2544" spans="1:13" s="188" customFormat="1">
      <c r="A2544" s="185" t="s">
        <v>1447</v>
      </c>
      <c r="B2544" s="133" t="s">
        <v>5873</v>
      </c>
      <c r="C2544" s="185" t="s">
        <v>3023</v>
      </c>
      <c r="D2544" s="133" t="s">
        <v>1729</v>
      </c>
      <c r="E2544" s="134">
        <v>1</v>
      </c>
      <c r="F2544" s="135" t="s">
        <v>1449</v>
      </c>
      <c r="G2544" s="185" t="s">
        <v>15</v>
      </c>
      <c r="H2544" s="185" t="s">
        <v>15</v>
      </c>
      <c r="I2544" s="185" t="s">
        <v>15</v>
      </c>
      <c r="J2544" s="135" t="s">
        <v>1450</v>
      </c>
      <c r="K2544" s="186">
        <v>4980</v>
      </c>
      <c r="L2544" s="187" t="s">
        <v>173</v>
      </c>
      <c r="M2544" s="187" t="s">
        <v>175</v>
      </c>
    </row>
    <row r="2545" spans="1:13" s="188" customFormat="1">
      <c r="A2545" s="185" t="s">
        <v>1447</v>
      </c>
      <c r="B2545" s="133" t="s">
        <v>5874</v>
      </c>
      <c r="C2545" s="185" t="s">
        <v>3023</v>
      </c>
      <c r="D2545" s="133" t="s">
        <v>1729</v>
      </c>
      <c r="E2545" s="134">
        <v>1</v>
      </c>
      <c r="F2545" s="135" t="s">
        <v>1449</v>
      </c>
      <c r="G2545" s="185" t="s">
        <v>15</v>
      </c>
      <c r="H2545" s="185" t="s">
        <v>15</v>
      </c>
      <c r="I2545" s="185" t="s">
        <v>15</v>
      </c>
      <c r="J2545" s="135" t="s">
        <v>1450</v>
      </c>
      <c r="K2545" s="186">
        <v>3735</v>
      </c>
      <c r="L2545" s="187" t="s">
        <v>173</v>
      </c>
      <c r="M2545" s="187" t="s">
        <v>175</v>
      </c>
    </row>
    <row r="2546" spans="1:13" s="188" customFormat="1">
      <c r="A2546" s="185" t="s">
        <v>1447</v>
      </c>
      <c r="B2546" s="133" t="s">
        <v>5875</v>
      </c>
      <c r="C2546" s="185" t="s">
        <v>3023</v>
      </c>
      <c r="D2546" s="133" t="s">
        <v>1729</v>
      </c>
      <c r="E2546" s="134">
        <v>1</v>
      </c>
      <c r="F2546" s="135" t="s">
        <v>1449</v>
      </c>
      <c r="G2546" s="185" t="s">
        <v>15</v>
      </c>
      <c r="H2546" s="185" t="s">
        <v>15</v>
      </c>
      <c r="I2546" s="185" t="s">
        <v>15</v>
      </c>
      <c r="J2546" s="135" t="s">
        <v>1450</v>
      </c>
      <c r="K2546" s="186">
        <v>2926</v>
      </c>
      <c r="L2546" s="187" t="s">
        <v>173</v>
      </c>
      <c r="M2546" s="187" t="s">
        <v>175</v>
      </c>
    </row>
    <row r="2547" spans="1:13" s="188" customFormat="1">
      <c r="A2547" s="185" t="s">
        <v>1447</v>
      </c>
      <c r="B2547" s="133" t="s">
        <v>5876</v>
      </c>
      <c r="C2547" s="185" t="s">
        <v>3023</v>
      </c>
      <c r="D2547" s="133" t="s">
        <v>1729</v>
      </c>
      <c r="E2547" s="134">
        <v>1</v>
      </c>
      <c r="F2547" s="135" t="s">
        <v>1449</v>
      </c>
      <c r="G2547" s="185" t="s">
        <v>15</v>
      </c>
      <c r="H2547" s="185" t="s">
        <v>15</v>
      </c>
      <c r="I2547" s="185" t="s">
        <v>15</v>
      </c>
      <c r="J2547" s="135" t="s">
        <v>1450</v>
      </c>
      <c r="K2547" s="186">
        <v>2391</v>
      </c>
      <c r="L2547" s="187" t="s">
        <v>173</v>
      </c>
      <c r="M2547" s="187" t="s">
        <v>175</v>
      </c>
    </row>
    <row r="2548" spans="1:13" s="188" customFormat="1">
      <c r="A2548" s="185" t="s">
        <v>1447</v>
      </c>
      <c r="B2548" s="133" t="s">
        <v>5877</v>
      </c>
      <c r="C2548" s="185" t="s">
        <v>3023</v>
      </c>
      <c r="D2548" s="133" t="s">
        <v>1732</v>
      </c>
      <c r="E2548" s="134">
        <v>1</v>
      </c>
      <c r="F2548" s="135" t="s">
        <v>1449</v>
      </c>
      <c r="G2548" s="185" t="s">
        <v>15</v>
      </c>
      <c r="H2548" s="185" t="s">
        <v>15</v>
      </c>
      <c r="I2548" s="185" t="s">
        <v>15</v>
      </c>
      <c r="J2548" s="135" t="s">
        <v>1450</v>
      </c>
      <c r="K2548" s="186">
        <v>7560</v>
      </c>
      <c r="L2548" s="187" t="s">
        <v>173</v>
      </c>
      <c r="M2548" s="187" t="s">
        <v>175</v>
      </c>
    </row>
    <row r="2549" spans="1:13" s="188" customFormat="1">
      <c r="A2549" s="185" t="s">
        <v>1447</v>
      </c>
      <c r="B2549" s="133" t="s">
        <v>5878</v>
      </c>
      <c r="C2549" s="185" t="s">
        <v>3023</v>
      </c>
      <c r="D2549" s="133" t="s">
        <v>1732</v>
      </c>
      <c r="E2549" s="134">
        <v>1</v>
      </c>
      <c r="F2549" s="135" t="s">
        <v>1449</v>
      </c>
      <c r="G2549" s="185" t="s">
        <v>15</v>
      </c>
      <c r="H2549" s="185" t="s">
        <v>15</v>
      </c>
      <c r="I2549" s="185" t="s">
        <v>15</v>
      </c>
      <c r="J2549" s="135" t="s">
        <v>1450</v>
      </c>
      <c r="K2549" s="186">
        <v>3492</v>
      </c>
      <c r="L2549" s="187" t="s">
        <v>173</v>
      </c>
      <c r="M2549" s="187" t="s">
        <v>175</v>
      </c>
    </row>
    <row r="2550" spans="1:13" s="188" customFormat="1">
      <c r="A2550" s="185" t="s">
        <v>1447</v>
      </c>
      <c r="B2550" s="133" t="s">
        <v>5879</v>
      </c>
      <c r="C2550" s="185" t="s">
        <v>3023</v>
      </c>
      <c r="D2550" s="133" t="s">
        <v>1732</v>
      </c>
      <c r="E2550" s="134">
        <v>1</v>
      </c>
      <c r="F2550" s="135" t="s">
        <v>1449</v>
      </c>
      <c r="G2550" s="185" t="s">
        <v>15</v>
      </c>
      <c r="H2550" s="185" t="s">
        <v>15</v>
      </c>
      <c r="I2550" s="185" t="s">
        <v>15</v>
      </c>
      <c r="J2550" s="135" t="s">
        <v>1450</v>
      </c>
      <c r="K2550" s="186">
        <v>2592</v>
      </c>
      <c r="L2550" s="187" t="s">
        <v>173</v>
      </c>
      <c r="M2550" s="187" t="s">
        <v>175</v>
      </c>
    </row>
    <row r="2551" spans="1:13" s="188" customFormat="1">
      <c r="A2551" s="185" t="s">
        <v>1447</v>
      </c>
      <c r="B2551" s="133" t="s">
        <v>5880</v>
      </c>
      <c r="C2551" s="185" t="s">
        <v>3023</v>
      </c>
      <c r="D2551" s="133" t="s">
        <v>1732</v>
      </c>
      <c r="E2551" s="134">
        <v>1</v>
      </c>
      <c r="F2551" s="135" t="s">
        <v>1449</v>
      </c>
      <c r="G2551" s="185" t="s">
        <v>15</v>
      </c>
      <c r="H2551" s="185" t="s">
        <v>15</v>
      </c>
      <c r="I2551" s="185" t="s">
        <v>15</v>
      </c>
      <c r="J2551" s="135" t="s">
        <v>1450</v>
      </c>
      <c r="K2551" s="186">
        <v>1584</v>
      </c>
      <c r="L2551" s="187" t="s">
        <v>173</v>
      </c>
      <c r="M2551" s="187" t="s">
        <v>175</v>
      </c>
    </row>
    <row r="2552" spans="1:13" s="188" customFormat="1">
      <c r="A2552" s="185" t="s">
        <v>1447</v>
      </c>
      <c r="B2552" s="133" t="s">
        <v>5881</v>
      </c>
      <c r="C2552" s="185" t="s">
        <v>3023</v>
      </c>
      <c r="D2552" s="133" t="s">
        <v>5882</v>
      </c>
      <c r="E2552" s="134">
        <v>1</v>
      </c>
      <c r="F2552" s="135" t="s">
        <v>1449</v>
      </c>
      <c r="G2552" s="185" t="s">
        <v>15</v>
      </c>
      <c r="H2552" s="185" t="s">
        <v>15</v>
      </c>
      <c r="I2552" s="185" t="s">
        <v>15</v>
      </c>
      <c r="J2552" s="135" t="s">
        <v>1450</v>
      </c>
      <c r="K2552" s="186">
        <v>25404</v>
      </c>
      <c r="L2552" s="187" t="s">
        <v>173</v>
      </c>
      <c r="M2552" s="187" t="s">
        <v>175</v>
      </c>
    </row>
    <row r="2553" spans="1:13" s="188" customFormat="1">
      <c r="A2553" s="185" t="s">
        <v>1447</v>
      </c>
      <c r="B2553" s="133" t="s">
        <v>5883</v>
      </c>
      <c r="C2553" s="185" t="s">
        <v>3023</v>
      </c>
      <c r="D2553" s="133" t="s">
        <v>5882</v>
      </c>
      <c r="E2553" s="134">
        <v>1</v>
      </c>
      <c r="F2553" s="135" t="s">
        <v>1449</v>
      </c>
      <c r="G2553" s="185" t="s">
        <v>15</v>
      </c>
      <c r="H2553" s="185" t="s">
        <v>15</v>
      </c>
      <c r="I2553" s="185" t="s">
        <v>15</v>
      </c>
      <c r="J2553" s="135" t="s">
        <v>1450</v>
      </c>
      <c r="K2553" s="186">
        <v>22416</v>
      </c>
      <c r="L2553" s="187" t="s">
        <v>173</v>
      </c>
      <c r="M2553" s="187" t="s">
        <v>175</v>
      </c>
    </row>
    <row r="2554" spans="1:13" s="188" customFormat="1">
      <c r="A2554" s="185" t="s">
        <v>1447</v>
      </c>
      <c r="B2554" s="133" t="s">
        <v>5884</v>
      </c>
      <c r="C2554" s="185" t="s">
        <v>3023</v>
      </c>
      <c r="D2554" s="133" t="s">
        <v>5882</v>
      </c>
      <c r="E2554" s="134">
        <v>1</v>
      </c>
      <c r="F2554" s="135" t="s">
        <v>1449</v>
      </c>
      <c r="G2554" s="185" t="s">
        <v>15</v>
      </c>
      <c r="H2554" s="185" t="s">
        <v>15</v>
      </c>
      <c r="I2554" s="185" t="s">
        <v>15</v>
      </c>
      <c r="J2554" s="135" t="s">
        <v>1450</v>
      </c>
      <c r="K2554" s="186">
        <v>16440</v>
      </c>
      <c r="L2554" s="187" t="s">
        <v>173</v>
      </c>
      <c r="M2554" s="187" t="s">
        <v>175</v>
      </c>
    </row>
    <row r="2555" spans="1:13" s="188" customFormat="1">
      <c r="A2555" s="185" t="s">
        <v>1447</v>
      </c>
      <c r="B2555" s="133" t="s">
        <v>5885</v>
      </c>
      <c r="C2555" s="185" t="s">
        <v>3023</v>
      </c>
      <c r="D2555" s="133" t="s">
        <v>5882</v>
      </c>
      <c r="E2555" s="134">
        <v>1</v>
      </c>
      <c r="F2555" s="135" t="s">
        <v>1449</v>
      </c>
      <c r="G2555" s="185" t="s">
        <v>15</v>
      </c>
      <c r="H2555" s="185" t="s">
        <v>15</v>
      </c>
      <c r="I2555" s="185" t="s">
        <v>15</v>
      </c>
      <c r="J2555" s="135" t="s">
        <v>1450</v>
      </c>
      <c r="K2555" s="186">
        <v>13452</v>
      </c>
      <c r="L2555" s="187" t="s">
        <v>173</v>
      </c>
      <c r="M2555" s="187" t="s">
        <v>175</v>
      </c>
    </row>
    <row r="2556" spans="1:13" s="188" customFormat="1">
      <c r="A2556" s="185" t="s">
        <v>1447</v>
      </c>
      <c r="B2556" s="133" t="s">
        <v>5886</v>
      </c>
      <c r="C2556" s="185" t="s">
        <v>3023</v>
      </c>
      <c r="D2556" s="133" t="s">
        <v>5882</v>
      </c>
      <c r="E2556" s="134">
        <v>1</v>
      </c>
      <c r="F2556" s="135" t="s">
        <v>1449</v>
      </c>
      <c r="G2556" s="185" t="s">
        <v>15</v>
      </c>
      <c r="H2556" s="185" t="s">
        <v>15</v>
      </c>
      <c r="I2556" s="185" t="s">
        <v>15</v>
      </c>
      <c r="J2556" s="135" t="s">
        <v>1450</v>
      </c>
      <c r="K2556" s="186">
        <v>10464</v>
      </c>
      <c r="L2556" s="187" t="s">
        <v>173</v>
      </c>
      <c r="M2556" s="187" t="s">
        <v>175</v>
      </c>
    </row>
    <row r="2557" spans="1:13" s="188" customFormat="1">
      <c r="A2557" s="185" t="s">
        <v>1447</v>
      </c>
      <c r="B2557" s="133" t="s">
        <v>5887</v>
      </c>
      <c r="C2557" s="185" t="s">
        <v>3023</v>
      </c>
      <c r="D2557" s="133" t="s">
        <v>1734</v>
      </c>
      <c r="E2557" s="134">
        <v>1</v>
      </c>
      <c r="F2557" s="135" t="s">
        <v>1449</v>
      </c>
      <c r="G2557" s="185" t="s">
        <v>15</v>
      </c>
      <c r="H2557" s="185" t="s">
        <v>15</v>
      </c>
      <c r="I2557" s="185" t="s">
        <v>15</v>
      </c>
      <c r="J2557" s="135" t="s">
        <v>1450</v>
      </c>
      <c r="K2557" s="186">
        <v>13068</v>
      </c>
      <c r="L2557" s="187" t="s">
        <v>173</v>
      </c>
      <c r="M2557" s="187" t="s">
        <v>175</v>
      </c>
    </row>
    <row r="2558" spans="1:13" s="188" customFormat="1">
      <c r="A2558" s="185" t="s">
        <v>1447</v>
      </c>
      <c r="B2558" s="133" t="s">
        <v>5888</v>
      </c>
      <c r="C2558" s="185" t="s">
        <v>3023</v>
      </c>
      <c r="D2558" s="133" t="s">
        <v>1734</v>
      </c>
      <c r="E2558" s="134">
        <v>1</v>
      </c>
      <c r="F2558" s="135" t="s">
        <v>1449</v>
      </c>
      <c r="G2558" s="185" t="s">
        <v>15</v>
      </c>
      <c r="H2558" s="185" t="s">
        <v>15</v>
      </c>
      <c r="I2558" s="185" t="s">
        <v>15</v>
      </c>
      <c r="J2558" s="135" t="s">
        <v>1450</v>
      </c>
      <c r="K2558" s="186">
        <v>11208</v>
      </c>
      <c r="L2558" s="187" t="s">
        <v>173</v>
      </c>
      <c r="M2558" s="187" t="s">
        <v>175</v>
      </c>
    </row>
    <row r="2559" spans="1:13" s="188" customFormat="1">
      <c r="A2559" s="185" t="s">
        <v>1447</v>
      </c>
      <c r="B2559" s="133" t="s">
        <v>5889</v>
      </c>
      <c r="C2559" s="185" t="s">
        <v>3023</v>
      </c>
      <c r="D2559" s="133" t="s">
        <v>1734</v>
      </c>
      <c r="E2559" s="134">
        <v>1</v>
      </c>
      <c r="F2559" s="135" t="s">
        <v>1449</v>
      </c>
      <c r="G2559" s="185" t="s">
        <v>15</v>
      </c>
      <c r="H2559" s="185" t="s">
        <v>15</v>
      </c>
      <c r="I2559" s="185" t="s">
        <v>15</v>
      </c>
      <c r="J2559" s="135" t="s">
        <v>1450</v>
      </c>
      <c r="K2559" s="186">
        <v>9336</v>
      </c>
      <c r="L2559" s="187" t="s">
        <v>173</v>
      </c>
      <c r="M2559" s="187" t="s">
        <v>175</v>
      </c>
    </row>
    <row r="2560" spans="1:13" s="188" customFormat="1">
      <c r="A2560" s="185" t="s">
        <v>1447</v>
      </c>
      <c r="B2560" s="133" t="s">
        <v>5890</v>
      </c>
      <c r="C2560" s="185" t="s">
        <v>3023</v>
      </c>
      <c r="D2560" s="133" t="s">
        <v>1734</v>
      </c>
      <c r="E2560" s="134">
        <v>1</v>
      </c>
      <c r="F2560" s="135" t="s">
        <v>1449</v>
      </c>
      <c r="G2560" s="185" t="s">
        <v>15</v>
      </c>
      <c r="H2560" s="185" t="s">
        <v>15</v>
      </c>
      <c r="I2560" s="185" t="s">
        <v>15</v>
      </c>
      <c r="J2560" s="135" t="s">
        <v>1450</v>
      </c>
      <c r="K2560" s="186">
        <v>8844</v>
      </c>
      <c r="L2560" s="187" t="s">
        <v>173</v>
      </c>
      <c r="M2560" s="187" t="s">
        <v>175</v>
      </c>
    </row>
    <row r="2561" spans="1:13" s="188" customFormat="1">
      <c r="A2561" s="185" t="s">
        <v>1447</v>
      </c>
      <c r="B2561" s="133" t="s">
        <v>5891</v>
      </c>
      <c r="C2561" s="185" t="s">
        <v>3023</v>
      </c>
      <c r="D2561" s="133" t="s">
        <v>5892</v>
      </c>
      <c r="E2561" s="134">
        <v>1</v>
      </c>
      <c r="F2561" s="135" t="s">
        <v>1449</v>
      </c>
      <c r="G2561" s="185" t="s">
        <v>15</v>
      </c>
      <c r="H2561" s="185" t="s">
        <v>15</v>
      </c>
      <c r="I2561" s="185" t="s">
        <v>15</v>
      </c>
      <c r="J2561" s="135" t="s">
        <v>1450</v>
      </c>
      <c r="K2561" s="186">
        <v>108948</v>
      </c>
      <c r="L2561" s="187" t="s">
        <v>173</v>
      </c>
      <c r="M2561" s="187" t="s">
        <v>175</v>
      </c>
    </row>
    <row r="2562" spans="1:13" s="188" customFormat="1">
      <c r="A2562" s="185" t="s">
        <v>1447</v>
      </c>
      <c r="B2562" s="133" t="s">
        <v>5893</v>
      </c>
      <c r="C2562" s="185" t="s">
        <v>3023</v>
      </c>
      <c r="D2562" s="133" t="s">
        <v>5892</v>
      </c>
      <c r="E2562" s="134">
        <v>1</v>
      </c>
      <c r="F2562" s="135" t="s">
        <v>1449</v>
      </c>
      <c r="G2562" s="185" t="s">
        <v>15</v>
      </c>
      <c r="H2562" s="185" t="s">
        <v>15</v>
      </c>
      <c r="I2562" s="185" t="s">
        <v>15</v>
      </c>
      <c r="J2562" s="135" t="s">
        <v>1450</v>
      </c>
      <c r="K2562" s="186">
        <v>68484</v>
      </c>
      <c r="L2562" s="187" t="s">
        <v>173</v>
      </c>
      <c r="M2562" s="187" t="s">
        <v>175</v>
      </c>
    </row>
    <row r="2563" spans="1:13" s="188" customFormat="1">
      <c r="A2563" s="185" t="s">
        <v>1447</v>
      </c>
      <c r="B2563" s="133" t="s">
        <v>5894</v>
      </c>
      <c r="C2563" s="185" t="s">
        <v>3023</v>
      </c>
      <c r="D2563" s="133" t="s">
        <v>5892</v>
      </c>
      <c r="E2563" s="134">
        <v>1</v>
      </c>
      <c r="F2563" s="135" t="s">
        <v>1449</v>
      </c>
      <c r="G2563" s="185" t="s">
        <v>15</v>
      </c>
      <c r="H2563" s="185" t="s">
        <v>15</v>
      </c>
      <c r="I2563" s="185" t="s">
        <v>15</v>
      </c>
      <c r="J2563" s="135" t="s">
        <v>1450</v>
      </c>
      <c r="K2563" s="186">
        <v>51360</v>
      </c>
      <c r="L2563" s="187" t="s">
        <v>173</v>
      </c>
      <c r="M2563" s="187" t="s">
        <v>175</v>
      </c>
    </row>
    <row r="2564" spans="1:13" s="188" customFormat="1">
      <c r="A2564" s="185" t="s">
        <v>1447</v>
      </c>
      <c r="B2564" s="133" t="s">
        <v>5895</v>
      </c>
      <c r="C2564" s="185" t="s">
        <v>3023</v>
      </c>
      <c r="D2564" s="133" t="s">
        <v>5892</v>
      </c>
      <c r="E2564" s="134">
        <v>1</v>
      </c>
      <c r="F2564" s="135" t="s">
        <v>1449</v>
      </c>
      <c r="G2564" s="185" t="s">
        <v>15</v>
      </c>
      <c r="H2564" s="185" t="s">
        <v>15</v>
      </c>
      <c r="I2564" s="185" t="s">
        <v>15</v>
      </c>
      <c r="J2564" s="135" t="s">
        <v>1450</v>
      </c>
      <c r="K2564" s="186">
        <v>41712</v>
      </c>
      <c r="L2564" s="187" t="s">
        <v>173</v>
      </c>
      <c r="M2564" s="187" t="s">
        <v>175</v>
      </c>
    </row>
    <row r="2565" spans="1:13" s="188" customFormat="1">
      <c r="A2565" s="185" t="s">
        <v>1447</v>
      </c>
      <c r="B2565" s="133" t="s">
        <v>5896</v>
      </c>
      <c r="C2565" s="185" t="s">
        <v>3023</v>
      </c>
      <c r="D2565" s="133" t="s">
        <v>5892</v>
      </c>
      <c r="E2565" s="134">
        <v>1</v>
      </c>
      <c r="F2565" s="135" t="s">
        <v>1449</v>
      </c>
      <c r="G2565" s="185" t="s">
        <v>15</v>
      </c>
      <c r="H2565" s="185" t="s">
        <v>15</v>
      </c>
      <c r="I2565" s="185" t="s">
        <v>15</v>
      </c>
      <c r="J2565" s="135" t="s">
        <v>1450</v>
      </c>
      <c r="K2565" s="186">
        <v>34236</v>
      </c>
      <c r="L2565" s="187" t="s">
        <v>173</v>
      </c>
      <c r="M2565" s="187" t="s">
        <v>175</v>
      </c>
    </row>
    <row r="2566" spans="1:13" s="188" customFormat="1">
      <c r="A2566" s="185" t="s">
        <v>1447</v>
      </c>
      <c r="B2566" s="133" t="s">
        <v>5897</v>
      </c>
      <c r="C2566" s="185" t="s">
        <v>3023</v>
      </c>
      <c r="D2566" s="133" t="s">
        <v>1733</v>
      </c>
      <c r="E2566" s="134">
        <v>1</v>
      </c>
      <c r="F2566" s="135" t="s">
        <v>1449</v>
      </c>
      <c r="G2566" s="185" t="s">
        <v>15</v>
      </c>
      <c r="H2566" s="185" t="s">
        <v>15</v>
      </c>
      <c r="I2566" s="185" t="s">
        <v>15</v>
      </c>
      <c r="J2566" s="135" t="s">
        <v>1450</v>
      </c>
      <c r="K2566" s="186">
        <v>143004</v>
      </c>
      <c r="L2566" s="187" t="s">
        <v>173</v>
      </c>
      <c r="M2566" s="187" t="s">
        <v>175</v>
      </c>
    </row>
    <row r="2567" spans="1:13" s="188" customFormat="1">
      <c r="A2567" s="185" t="s">
        <v>1447</v>
      </c>
      <c r="B2567" s="133" t="s">
        <v>5898</v>
      </c>
      <c r="C2567" s="185" t="s">
        <v>3023</v>
      </c>
      <c r="D2567" s="133" t="s">
        <v>1733</v>
      </c>
      <c r="E2567" s="134">
        <v>1</v>
      </c>
      <c r="F2567" s="135" t="s">
        <v>1449</v>
      </c>
      <c r="G2567" s="185" t="s">
        <v>15</v>
      </c>
      <c r="H2567" s="185" t="s">
        <v>15</v>
      </c>
      <c r="I2567" s="185" t="s">
        <v>15</v>
      </c>
      <c r="J2567" s="135" t="s">
        <v>1450</v>
      </c>
      <c r="K2567" s="186">
        <v>100236</v>
      </c>
      <c r="L2567" s="187" t="s">
        <v>173</v>
      </c>
      <c r="M2567" s="187" t="s">
        <v>175</v>
      </c>
    </row>
    <row r="2568" spans="1:13" s="188" customFormat="1">
      <c r="A2568" s="185" t="s">
        <v>1447</v>
      </c>
      <c r="B2568" s="133" t="s">
        <v>5899</v>
      </c>
      <c r="C2568" s="185" t="s">
        <v>3023</v>
      </c>
      <c r="D2568" s="133" t="s">
        <v>1733</v>
      </c>
      <c r="E2568" s="134">
        <v>1</v>
      </c>
      <c r="F2568" s="135" t="s">
        <v>1449</v>
      </c>
      <c r="G2568" s="185" t="s">
        <v>15</v>
      </c>
      <c r="H2568" s="185" t="s">
        <v>15</v>
      </c>
      <c r="I2568" s="185" t="s">
        <v>15</v>
      </c>
      <c r="J2568" s="135" t="s">
        <v>1450</v>
      </c>
      <c r="K2568" s="186">
        <v>83928</v>
      </c>
      <c r="L2568" s="187" t="s">
        <v>173</v>
      </c>
      <c r="M2568" s="187" t="s">
        <v>175</v>
      </c>
    </row>
    <row r="2569" spans="1:13" s="188" customFormat="1">
      <c r="A2569" s="185" t="s">
        <v>1447</v>
      </c>
      <c r="B2569" s="133" t="s">
        <v>5900</v>
      </c>
      <c r="C2569" s="185" t="s">
        <v>3023</v>
      </c>
      <c r="D2569" s="133" t="s">
        <v>1733</v>
      </c>
      <c r="E2569" s="134">
        <v>1</v>
      </c>
      <c r="F2569" s="135" t="s">
        <v>1449</v>
      </c>
      <c r="G2569" s="185" t="s">
        <v>15</v>
      </c>
      <c r="H2569" s="185" t="s">
        <v>15</v>
      </c>
      <c r="I2569" s="185" t="s">
        <v>15</v>
      </c>
      <c r="J2569" s="135" t="s">
        <v>1450</v>
      </c>
      <c r="K2569" s="186">
        <v>67308</v>
      </c>
      <c r="L2569" s="187" t="s">
        <v>173</v>
      </c>
      <c r="M2569" s="187" t="s">
        <v>175</v>
      </c>
    </row>
    <row r="2570" spans="1:13" s="188" customFormat="1">
      <c r="A2570" s="185" t="s">
        <v>1447</v>
      </c>
      <c r="B2570" s="133" t="s">
        <v>5901</v>
      </c>
      <c r="C2570" s="185" t="s">
        <v>3023</v>
      </c>
      <c r="D2570" s="133" t="s">
        <v>1733</v>
      </c>
      <c r="E2570" s="134">
        <v>1</v>
      </c>
      <c r="F2570" s="135" t="s">
        <v>1449</v>
      </c>
      <c r="G2570" s="185" t="s">
        <v>15</v>
      </c>
      <c r="H2570" s="185" t="s">
        <v>15</v>
      </c>
      <c r="I2570" s="185" t="s">
        <v>15</v>
      </c>
      <c r="J2570" s="135" t="s">
        <v>1450</v>
      </c>
      <c r="K2570" s="186">
        <v>50544</v>
      </c>
      <c r="L2570" s="187" t="s">
        <v>173</v>
      </c>
      <c r="M2570" s="187" t="s">
        <v>175</v>
      </c>
    </row>
    <row r="2571" spans="1:13" s="188" customFormat="1">
      <c r="A2571" s="185" t="s">
        <v>1447</v>
      </c>
      <c r="B2571" s="133" t="s">
        <v>5902</v>
      </c>
      <c r="C2571" s="185" t="s">
        <v>3023</v>
      </c>
      <c r="D2571" s="133" t="s">
        <v>1733</v>
      </c>
      <c r="E2571" s="134">
        <v>1</v>
      </c>
      <c r="F2571" s="135" t="s">
        <v>1449</v>
      </c>
      <c r="G2571" s="185" t="s">
        <v>15</v>
      </c>
      <c r="H2571" s="185" t="s">
        <v>15</v>
      </c>
      <c r="I2571" s="185" t="s">
        <v>15</v>
      </c>
      <c r="J2571" s="135" t="s">
        <v>1450</v>
      </c>
      <c r="K2571" s="186">
        <v>41712</v>
      </c>
      <c r="L2571" s="187" t="s">
        <v>173</v>
      </c>
      <c r="M2571" s="187" t="s">
        <v>175</v>
      </c>
    </row>
    <row r="2572" spans="1:13" s="188" customFormat="1">
      <c r="A2572" s="185" t="s">
        <v>1447</v>
      </c>
      <c r="B2572" s="133" t="s">
        <v>5903</v>
      </c>
      <c r="C2572" s="185" t="s">
        <v>3023</v>
      </c>
      <c r="D2572" s="133" t="s">
        <v>5904</v>
      </c>
      <c r="E2572" s="134">
        <v>1</v>
      </c>
      <c r="F2572" s="135" t="s">
        <v>1449</v>
      </c>
      <c r="G2572" s="185" t="s">
        <v>15</v>
      </c>
      <c r="H2572" s="185" t="s">
        <v>15</v>
      </c>
      <c r="I2572" s="185" t="s">
        <v>15</v>
      </c>
      <c r="J2572" s="135" t="s">
        <v>1450</v>
      </c>
      <c r="K2572" s="186">
        <v>118284</v>
      </c>
      <c r="L2572" s="187" t="s">
        <v>173</v>
      </c>
      <c r="M2572" s="187" t="s">
        <v>175</v>
      </c>
    </row>
    <row r="2573" spans="1:13" s="188" customFormat="1">
      <c r="A2573" s="185" t="s">
        <v>1447</v>
      </c>
      <c r="B2573" s="133" t="s">
        <v>5905</v>
      </c>
      <c r="C2573" s="185" t="s">
        <v>3023</v>
      </c>
      <c r="D2573" s="133" t="s">
        <v>5906</v>
      </c>
      <c r="E2573" s="134">
        <v>1</v>
      </c>
      <c r="F2573" s="135" t="s">
        <v>1449</v>
      </c>
      <c r="G2573" s="185" t="s">
        <v>15</v>
      </c>
      <c r="H2573" s="185" t="s">
        <v>15</v>
      </c>
      <c r="I2573" s="185" t="s">
        <v>15</v>
      </c>
      <c r="J2573" s="135" t="s">
        <v>1450</v>
      </c>
      <c r="K2573" s="186">
        <v>104592</v>
      </c>
      <c r="L2573" s="187" t="s">
        <v>173</v>
      </c>
      <c r="M2573" s="187" t="s">
        <v>175</v>
      </c>
    </row>
    <row r="2574" spans="1:13" s="188" customFormat="1">
      <c r="A2574" s="185" t="s">
        <v>1447</v>
      </c>
      <c r="B2574" s="133" t="s">
        <v>5907</v>
      </c>
      <c r="C2574" s="185" t="s">
        <v>3023</v>
      </c>
      <c r="D2574" s="133" t="s">
        <v>5906</v>
      </c>
      <c r="E2574" s="134">
        <v>1</v>
      </c>
      <c r="F2574" s="135" t="s">
        <v>1449</v>
      </c>
      <c r="G2574" s="185" t="s">
        <v>15</v>
      </c>
      <c r="H2574" s="185" t="s">
        <v>15</v>
      </c>
      <c r="I2574" s="185" t="s">
        <v>15</v>
      </c>
      <c r="J2574" s="135" t="s">
        <v>1450</v>
      </c>
      <c r="K2574" s="186">
        <v>99612</v>
      </c>
      <c r="L2574" s="187" t="s">
        <v>173</v>
      </c>
      <c r="M2574" s="187" t="s">
        <v>175</v>
      </c>
    </row>
    <row r="2575" spans="1:13" s="188" customFormat="1">
      <c r="A2575" s="185" t="s">
        <v>1447</v>
      </c>
      <c r="B2575" s="133" t="s">
        <v>5908</v>
      </c>
      <c r="C2575" s="185" t="s">
        <v>3023</v>
      </c>
      <c r="D2575" s="133" t="s">
        <v>5906</v>
      </c>
      <c r="E2575" s="134">
        <v>1</v>
      </c>
      <c r="F2575" s="135" t="s">
        <v>1449</v>
      </c>
      <c r="G2575" s="185" t="s">
        <v>15</v>
      </c>
      <c r="H2575" s="185" t="s">
        <v>15</v>
      </c>
      <c r="I2575" s="185" t="s">
        <v>15</v>
      </c>
      <c r="J2575" s="135" t="s">
        <v>1450</v>
      </c>
      <c r="K2575" s="186">
        <v>94632</v>
      </c>
      <c r="L2575" s="187" t="s">
        <v>173</v>
      </c>
      <c r="M2575" s="187" t="s">
        <v>175</v>
      </c>
    </row>
    <row r="2576" spans="1:13" s="188" customFormat="1">
      <c r="A2576" s="185" t="s">
        <v>1447</v>
      </c>
      <c r="B2576" s="133" t="s">
        <v>5909</v>
      </c>
      <c r="C2576" s="185" t="s">
        <v>3023</v>
      </c>
      <c r="D2576" s="133" t="s">
        <v>5906</v>
      </c>
      <c r="E2576" s="134">
        <v>1</v>
      </c>
      <c r="F2576" s="135" t="s">
        <v>1449</v>
      </c>
      <c r="G2576" s="185" t="s">
        <v>15</v>
      </c>
      <c r="H2576" s="185" t="s">
        <v>15</v>
      </c>
      <c r="I2576" s="185" t="s">
        <v>15</v>
      </c>
      <c r="J2576" s="135" t="s">
        <v>1450</v>
      </c>
      <c r="K2576" s="186">
        <v>83424</v>
      </c>
      <c r="L2576" s="187" t="s">
        <v>173</v>
      </c>
      <c r="M2576" s="187" t="s">
        <v>175</v>
      </c>
    </row>
    <row r="2577" spans="1:13" s="188" customFormat="1">
      <c r="A2577" s="185" t="s">
        <v>1447</v>
      </c>
      <c r="B2577" s="133" t="s">
        <v>5910</v>
      </c>
      <c r="C2577" s="185" t="s">
        <v>3023</v>
      </c>
      <c r="D2577" s="133" t="s">
        <v>5906</v>
      </c>
      <c r="E2577" s="134">
        <v>1</v>
      </c>
      <c r="F2577" s="135" t="s">
        <v>1449</v>
      </c>
      <c r="G2577" s="185" t="s">
        <v>15</v>
      </c>
      <c r="H2577" s="185" t="s">
        <v>15</v>
      </c>
      <c r="I2577" s="185" t="s">
        <v>15</v>
      </c>
      <c r="J2577" s="135" t="s">
        <v>1450</v>
      </c>
      <c r="K2577" s="186">
        <v>77196</v>
      </c>
      <c r="L2577" s="187" t="s">
        <v>173</v>
      </c>
      <c r="M2577" s="187" t="s">
        <v>175</v>
      </c>
    </row>
    <row r="2578" spans="1:13" s="188" customFormat="1">
      <c r="A2578" s="185" t="s">
        <v>1447</v>
      </c>
      <c r="B2578" s="133" t="s">
        <v>5911</v>
      </c>
      <c r="C2578" s="185" t="s">
        <v>3023</v>
      </c>
      <c r="D2578" s="133" t="s">
        <v>5906</v>
      </c>
      <c r="E2578" s="134">
        <v>1</v>
      </c>
      <c r="F2578" s="135" t="s">
        <v>1449</v>
      </c>
      <c r="G2578" s="185" t="s">
        <v>15</v>
      </c>
      <c r="H2578" s="185" t="s">
        <v>15</v>
      </c>
      <c r="I2578" s="185" t="s">
        <v>15</v>
      </c>
      <c r="J2578" s="135" t="s">
        <v>1450</v>
      </c>
      <c r="K2578" s="186">
        <v>70968</v>
      </c>
      <c r="L2578" s="187" t="s">
        <v>173</v>
      </c>
      <c r="M2578" s="187" t="s">
        <v>175</v>
      </c>
    </row>
    <row r="2579" spans="1:13" s="188" customFormat="1">
      <c r="A2579" s="185" t="s">
        <v>1447</v>
      </c>
      <c r="B2579" s="133" t="s">
        <v>5912</v>
      </c>
      <c r="C2579" s="185" t="s">
        <v>3023</v>
      </c>
      <c r="D2579" s="133" t="s">
        <v>5913</v>
      </c>
      <c r="E2579" s="134">
        <v>1</v>
      </c>
      <c r="F2579" s="135" t="s">
        <v>1449</v>
      </c>
      <c r="G2579" s="185" t="s">
        <v>15</v>
      </c>
      <c r="H2579" s="185" t="s">
        <v>15</v>
      </c>
      <c r="I2579" s="185" t="s">
        <v>15</v>
      </c>
      <c r="J2579" s="135" t="s">
        <v>1450</v>
      </c>
      <c r="K2579" s="186">
        <v>155640</v>
      </c>
      <c r="L2579" s="187" t="s">
        <v>173</v>
      </c>
      <c r="M2579" s="187" t="s">
        <v>175</v>
      </c>
    </row>
    <row r="2580" spans="1:13" s="188" customFormat="1">
      <c r="A2580" s="185" t="s">
        <v>1447</v>
      </c>
      <c r="B2580" s="133" t="s">
        <v>5914</v>
      </c>
      <c r="C2580" s="185" t="s">
        <v>3023</v>
      </c>
      <c r="D2580" s="133" t="s">
        <v>5913</v>
      </c>
      <c r="E2580" s="134">
        <v>1</v>
      </c>
      <c r="F2580" s="135" t="s">
        <v>1449</v>
      </c>
      <c r="G2580" s="185" t="s">
        <v>15</v>
      </c>
      <c r="H2580" s="185" t="s">
        <v>15</v>
      </c>
      <c r="I2580" s="185" t="s">
        <v>15</v>
      </c>
      <c r="J2580" s="135" t="s">
        <v>1450</v>
      </c>
      <c r="K2580" s="186">
        <v>124512</v>
      </c>
      <c r="L2580" s="187" t="s">
        <v>173</v>
      </c>
      <c r="M2580" s="187" t="s">
        <v>175</v>
      </c>
    </row>
    <row r="2581" spans="1:13" s="188" customFormat="1">
      <c r="A2581" s="185" t="s">
        <v>1447</v>
      </c>
      <c r="B2581" s="133" t="s">
        <v>5915</v>
      </c>
      <c r="C2581" s="185" t="s">
        <v>3023</v>
      </c>
      <c r="D2581" s="133" t="s">
        <v>5913</v>
      </c>
      <c r="E2581" s="134">
        <v>1</v>
      </c>
      <c r="F2581" s="135" t="s">
        <v>1449</v>
      </c>
      <c r="G2581" s="185" t="s">
        <v>15</v>
      </c>
      <c r="H2581" s="185" t="s">
        <v>15</v>
      </c>
      <c r="I2581" s="185" t="s">
        <v>15</v>
      </c>
      <c r="J2581" s="135" t="s">
        <v>1450</v>
      </c>
      <c r="K2581" s="186">
        <v>99612</v>
      </c>
      <c r="L2581" s="187" t="s">
        <v>173</v>
      </c>
      <c r="M2581" s="187" t="s">
        <v>175</v>
      </c>
    </row>
    <row r="2582" spans="1:13" s="188" customFormat="1">
      <c r="A2582" s="185" t="s">
        <v>1447</v>
      </c>
      <c r="B2582" s="133" t="s">
        <v>5916</v>
      </c>
      <c r="C2582" s="185" t="s">
        <v>3023</v>
      </c>
      <c r="D2582" s="133" t="s">
        <v>5913</v>
      </c>
      <c r="E2582" s="134">
        <v>1</v>
      </c>
      <c r="F2582" s="135" t="s">
        <v>1449</v>
      </c>
      <c r="G2582" s="185" t="s">
        <v>15</v>
      </c>
      <c r="H2582" s="185" t="s">
        <v>15</v>
      </c>
      <c r="I2582" s="185" t="s">
        <v>15</v>
      </c>
      <c r="J2582" s="135" t="s">
        <v>1450</v>
      </c>
      <c r="K2582" s="186">
        <v>80928</v>
      </c>
      <c r="L2582" s="187" t="s">
        <v>173</v>
      </c>
      <c r="M2582" s="187" t="s">
        <v>175</v>
      </c>
    </row>
    <row r="2583" spans="1:13" s="188" customFormat="1">
      <c r="A2583" s="185" t="s">
        <v>1447</v>
      </c>
      <c r="B2583" s="133" t="s">
        <v>5917</v>
      </c>
      <c r="C2583" s="185" t="s">
        <v>3023</v>
      </c>
      <c r="D2583" s="133" t="s">
        <v>5918</v>
      </c>
      <c r="E2583" s="134">
        <v>1</v>
      </c>
      <c r="F2583" s="135" t="s">
        <v>1449</v>
      </c>
      <c r="G2583" s="185" t="s">
        <v>15</v>
      </c>
      <c r="H2583" s="185" t="s">
        <v>15</v>
      </c>
      <c r="I2583" s="185" t="s">
        <v>15</v>
      </c>
      <c r="J2583" s="135" t="s">
        <v>1450</v>
      </c>
      <c r="K2583" s="186">
        <v>249024</v>
      </c>
      <c r="L2583" s="187" t="s">
        <v>173</v>
      </c>
      <c r="M2583" s="187" t="s">
        <v>175</v>
      </c>
    </row>
    <row r="2584" spans="1:13" s="188" customFormat="1">
      <c r="A2584" s="185" t="s">
        <v>1447</v>
      </c>
      <c r="B2584" s="133" t="s">
        <v>5919</v>
      </c>
      <c r="C2584" s="185" t="s">
        <v>3023</v>
      </c>
      <c r="D2584" s="133" t="s">
        <v>5920</v>
      </c>
      <c r="E2584" s="134">
        <v>1</v>
      </c>
      <c r="F2584" s="135" t="s">
        <v>1449</v>
      </c>
      <c r="G2584" s="185" t="s">
        <v>15</v>
      </c>
      <c r="H2584" s="185" t="s">
        <v>15</v>
      </c>
      <c r="I2584" s="185" t="s">
        <v>15</v>
      </c>
      <c r="J2584" s="135" t="s">
        <v>1450</v>
      </c>
      <c r="K2584" s="186">
        <v>77196</v>
      </c>
      <c r="L2584" s="187" t="s">
        <v>173</v>
      </c>
      <c r="M2584" s="187" t="s">
        <v>175</v>
      </c>
    </row>
    <row r="2585" spans="1:13" s="188" customFormat="1">
      <c r="A2585" s="185" t="s">
        <v>1447</v>
      </c>
      <c r="B2585" s="133" t="s">
        <v>5921</v>
      </c>
      <c r="C2585" s="185" t="s">
        <v>3023</v>
      </c>
      <c r="D2585" s="133" t="s">
        <v>5920</v>
      </c>
      <c r="E2585" s="134">
        <v>1</v>
      </c>
      <c r="F2585" s="135" t="s">
        <v>1449</v>
      </c>
      <c r="G2585" s="185" t="s">
        <v>15</v>
      </c>
      <c r="H2585" s="185" t="s">
        <v>15</v>
      </c>
      <c r="I2585" s="185" t="s">
        <v>15</v>
      </c>
      <c r="J2585" s="135" t="s">
        <v>1450</v>
      </c>
      <c r="K2585" s="186">
        <v>64752</v>
      </c>
      <c r="L2585" s="187" t="s">
        <v>173</v>
      </c>
      <c r="M2585" s="187" t="s">
        <v>175</v>
      </c>
    </row>
    <row r="2586" spans="1:13" s="188" customFormat="1">
      <c r="A2586" s="185" t="s">
        <v>1447</v>
      </c>
      <c r="B2586" s="133" t="s">
        <v>5922</v>
      </c>
      <c r="C2586" s="185" t="s">
        <v>3023</v>
      </c>
      <c r="D2586" s="133" t="s">
        <v>5920</v>
      </c>
      <c r="E2586" s="134">
        <v>1</v>
      </c>
      <c r="F2586" s="135" t="s">
        <v>1449</v>
      </c>
      <c r="G2586" s="185" t="s">
        <v>15</v>
      </c>
      <c r="H2586" s="185" t="s">
        <v>15</v>
      </c>
      <c r="I2586" s="185" t="s">
        <v>15</v>
      </c>
      <c r="J2586" s="135" t="s">
        <v>1450</v>
      </c>
      <c r="K2586" s="186">
        <v>52296</v>
      </c>
      <c r="L2586" s="187" t="s">
        <v>173</v>
      </c>
      <c r="M2586" s="187" t="s">
        <v>175</v>
      </c>
    </row>
    <row r="2587" spans="1:13" s="188" customFormat="1">
      <c r="A2587" s="185" t="s">
        <v>1447</v>
      </c>
      <c r="B2587" s="133" t="s">
        <v>5923</v>
      </c>
      <c r="C2587" s="185" t="s">
        <v>3023</v>
      </c>
      <c r="D2587" s="133" t="s">
        <v>5920</v>
      </c>
      <c r="E2587" s="134">
        <v>1</v>
      </c>
      <c r="F2587" s="135" t="s">
        <v>1449</v>
      </c>
      <c r="G2587" s="185" t="s">
        <v>15</v>
      </c>
      <c r="H2587" s="185" t="s">
        <v>15</v>
      </c>
      <c r="I2587" s="185" t="s">
        <v>15</v>
      </c>
      <c r="J2587" s="135" t="s">
        <v>1450</v>
      </c>
      <c r="K2587" s="186">
        <v>44820</v>
      </c>
      <c r="L2587" s="187" t="s">
        <v>173</v>
      </c>
      <c r="M2587" s="187" t="s">
        <v>175</v>
      </c>
    </row>
    <row r="2588" spans="1:13" s="188" customFormat="1">
      <c r="A2588" s="185" t="s">
        <v>1447</v>
      </c>
      <c r="B2588" s="133" t="s">
        <v>5924</v>
      </c>
      <c r="C2588" s="185" t="s">
        <v>3023</v>
      </c>
      <c r="D2588" s="133" t="s">
        <v>5920</v>
      </c>
      <c r="E2588" s="134">
        <v>1</v>
      </c>
      <c r="F2588" s="135" t="s">
        <v>1449</v>
      </c>
      <c r="G2588" s="185" t="s">
        <v>15</v>
      </c>
      <c r="H2588" s="185" t="s">
        <v>15</v>
      </c>
      <c r="I2588" s="185" t="s">
        <v>15</v>
      </c>
      <c r="J2588" s="135" t="s">
        <v>1450</v>
      </c>
      <c r="K2588" s="186">
        <v>40464</v>
      </c>
      <c r="L2588" s="187" t="s">
        <v>173</v>
      </c>
      <c r="M2588" s="187" t="s">
        <v>175</v>
      </c>
    </row>
    <row r="2589" spans="1:13" s="188" customFormat="1">
      <c r="A2589" s="185" t="s">
        <v>1447</v>
      </c>
      <c r="B2589" s="133" t="s">
        <v>5925</v>
      </c>
      <c r="C2589" s="185" t="s">
        <v>3023</v>
      </c>
      <c r="D2589" s="133" t="s">
        <v>1735</v>
      </c>
      <c r="E2589" s="134">
        <v>1</v>
      </c>
      <c r="F2589" s="135" t="s">
        <v>1449</v>
      </c>
      <c r="G2589" s="185" t="s">
        <v>15</v>
      </c>
      <c r="H2589" s="185" t="s">
        <v>15</v>
      </c>
      <c r="I2589" s="185" t="s">
        <v>15</v>
      </c>
      <c r="J2589" s="135" t="s">
        <v>1450</v>
      </c>
      <c r="K2589" s="186">
        <v>127956</v>
      </c>
      <c r="L2589" s="187" t="s">
        <v>173</v>
      </c>
      <c r="M2589" s="187" t="s">
        <v>175</v>
      </c>
    </row>
    <row r="2590" spans="1:13" s="188" customFormat="1">
      <c r="A2590" s="185" t="s">
        <v>1447</v>
      </c>
      <c r="B2590" s="133" t="s">
        <v>5926</v>
      </c>
      <c r="C2590" s="185" t="s">
        <v>3023</v>
      </c>
      <c r="D2590" s="133" t="s">
        <v>1736</v>
      </c>
      <c r="E2590" s="134">
        <v>1</v>
      </c>
      <c r="F2590" s="135" t="s">
        <v>1449</v>
      </c>
      <c r="G2590" s="185" t="s">
        <v>15</v>
      </c>
      <c r="H2590" s="185" t="s">
        <v>15</v>
      </c>
      <c r="I2590" s="185" t="s">
        <v>15</v>
      </c>
      <c r="J2590" s="135" t="s">
        <v>1450</v>
      </c>
      <c r="K2590" s="186">
        <v>164964</v>
      </c>
      <c r="L2590" s="187" t="s">
        <v>173</v>
      </c>
      <c r="M2590" s="187" t="s">
        <v>175</v>
      </c>
    </row>
    <row r="2591" spans="1:13" s="188" customFormat="1">
      <c r="A2591" s="185" t="s">
        <v>1447</v>
      </c>
      <c r="B2591" s="133" t="s">
        <v>5927</v>
      </c>
      <c r="C2591" s="185" t="s">
        <v>3023</v>
      </c>
      <c r="D2591" s="133" t="s">
        <v>1737</v>
      </c>
      <c r="E2591" s="134">
        <v>1</v>
      </c>
      <c r="F2591" s="135" t="s">
        <v>1449</v>
      </c>
      <c r="G2591" s="185" t="s">
        <v>15</v>
      </c>
      <c r="H2591" s="185" t="s">
        <v>15</v>
      </c>
      <c r="I2591" s="185" t="s">
        <v>15</v>
      </c>
      <c r="J2591" s="135" t="s">
        <v>1450</v>
      </c>
      <c r="K2591" s="186">
        <v>186768</v>
      </c>
      <c r="L2591" s="187" t="s">
        <v>173</v>
      </c>
      <c r="M2591" s="187" t="s">
        <v>175</v>
      </c>
    </row>
    <row r="2592" spans="1:13" s="188" customFormat="1">
      <c r="A2592" s="185" t="s">
        <v>1447</v>
      </c>
      <c r="B2592" s="133" t="s">
        <v>5928</v>
      </c>
      <c r="C2592" s="185" t="s">
        <v>3023</v>
      </c>
      <c r="D2592" s="133" t="s">
        <v>1738</v>
      </c>
      <c r="E2592" s="134">
        <v>1</v>
      </c>
      <c r="F2592" s="135" t="s">
        <v>1449</v>
      </c>
      <c r="G2592" s="185" t="s">
        <v>15</v>
      </c>
      <c r="H2592" s="185" t="s">
        <v>15</v>
      </c>
      <c r="I2592" s="185" t="s">
        <v>15</v>
      </c>
      <c r="J2592" s="135" t="s">
        <v>1450</v>
      </c>
      <c r="K2592" s="186">
        <v>256428</v>
      </c>
      <c r="L2592" s="187" t="s">
        <v>173</v>
      </c>
      <c r="M2592" s="187" t="s">
        <v>175</v>
      </c>
    </row>
    <row r="2593" spans="1:13" s="188" customFormat="1">
      <c r="A2593" s="185" t="s">
        <v>1447</v>
      </c>
      <c r="B2593" s="133" t="s">
        <v>5929</v>
      </c>
      <c r="C2593" s="185" t="s">
        <v>3023</v>
      </c>
      <c r="D2593" s="133" t="s">
        <v>1739</v>
      </c>
      <c r="E2593" s="134">
        <v>1</v>
      </c>
      <c r="F2593" s="135" t="s">
        <v>1449</v>
      </c>
      <c r="G2593" s="185" t="s">
        <v>15</v>
      </c>
      <c r="H2593" s="185" t="s">
        <v>15</v>
      </c>
      <c r="I2593" s="185" t="s">
        <v>15</v>
      </c>
      <c r="J2593" s="135" t="s">
        <v>1450</v>
      </c>
      <c r="K2593" s="186">
        <v>363168</v>
      </c>
      <c r="L2593" s="187" t="s">
        <v>173</v>
      </c>
      <c r="M2593" s="187" t="s">
        <v>175</v>
      </c>
    </row>
    <row r="2594" spans="1:13" s="188" customFormat="1">
      <c r="A2594" s="185" t="s">
        <v>1447</v>
      </c>
      <c r="B2594" s="133" t="s">
        <v>5930</v>
      </c>
      <c r="C2594" s="185" t="s">
        <v>3023</v>
      </c>
      <c r="D2594" s="133" t="s">
        <v>1740</v>
      </c>
      <c r="E2594" s="134">
        <v>1</v>
      </c>
      <c r="F2594" s="135" t="s">
        <v>1449</v>
      </c>
      <c r="G2594" s="185" t="s">
        <v>15</v>
      </c>
      <c r="H2594" s="185" t="s">
        <v>15</v>
      </c>
      <c r="I2594" s="185" t="s">
        <v>15</v>
      </c>
      <c r="J2594" s="135" t="s">
        <v>1450</v>
      </c>
      <c r="K2594" s="186">
        <v>640212</v>
      </c>
      <c r="L2594" s="187" t="s">
        <v>173</v>
      </c>
      <c r="M2594" s="187" t="s">
        <v>175</v>
      </c>
    </row>
    <row r="2595" spans="1:13" s="188" customFormat="1">
      <c r="A2595" s="185" t="s">
        <v>1447</v>
      </c>
      <c r="B2595" s="133" t="s">
        <v>5931</v>
      </c>
      <c r="C2595" s="185" t="s">
        <v>3023</v>
      </c>
      <c r="D2595" s="133" t="s">
        <v>1741</v>
      </c>
      <c r="E2595" s="134">
        <v>1</v>
      </c>
      <c r="F2595" s="135" t="s">
        <v>1449</v>
      </c>
      <c r="G2595" s="185" t="s">
        <v>15</v>
      </c>
      <c r="H2595" s="185" t="s">
        <v>15</v>
      </c>
      <c r="I2595" s="185" t="s">
        <v>15</v>
      </c>
      <c r="J2595" s="135" t="s">
        <v>1450</v>
      </c>
      <c r="K2595" s="186">
        <v>348</v>
      </c>
      <c r="L2595" s="187" t="s">
        <v>173</v>
      </c>
      <c r="M2595" s="187" t="s">
        <v>175</v>
      </c>
    </row>
    <row r="2596" spans="1:13" s="188" customFormat="1">
      <c r="A2596" s="185" t="s">
        <v>1447</v>
      </c>
      <c r="B2596" s="133" t="s">
        <v>5932</v>
      </c>
      <c r="C2596" s="185" t="s">
        <v>3023</v>
      </c>
      <c r="D2596" s="133" t="s">
        <v>1741</v>
      </c>
      <c r="E2596" s="134">
        <v>1</v>
      </c>
      <c r="F2596" s="135" t="s">
        <v>1449</v>
      </c>
      <c r="G2596" s="185" t="s">
        <v>15</v>
      </c>
      <c r="H2596" s="185" t="s">
        <v>15</v>
      </c>
      <c r="I2596" s="185" t="s">
        <v>15</v>
      </c>
      <c r="J2596" s="135" t="s">
        <v>1450</v>
      </c>
      <c r="K2596" s="186">
        <v>192</v>
      </c>
      <c r="L2596" s="187" t="s">
        <v>173</v>
      </c>
      <c r="M2596" s="187" t="s">
        <v>175</v>
      </c>
    </row>
    <row r="2597" spans="1:13" s="188" customFormat="1">
      <c r="A2597" s="185" t="s">
        <v>1447</v>
      </c>
      <c r="B2597" s="133" t="s">
        <v>5933</v>
      </c>
      <c r="C2597" s="185" t="s">
        <v>3023</v>
      </c>
      <c r="D2597" s="133" t="s">
        <v>1741</v>
      </c>
      <c r="E2597" s="134">
        <v>1</v>
      </c>
      <c r="F2597" s="135" t="s">
        <v>1449</v>
      </c>
      <c r="G2597" s="185" t="s">
        <v>15</v>
      </c>
      <c r="H2597" s="185" t="s">
        <v>15</v>
      </c>
      <c r="I2597" s="185" t="s">
        <v>15</v>
      </c>
      <c r="J2597" s="135" t="s">
        <v>1450</v>
      </c>
      <c r="K2597" s="186">
        <v>132</v>
      </c>
      <c r="L2597" s="187" t="s">
        <v>173</v>
      </c>
      <c r="M2597" s="187" t="s">
        <v>175</v>
      </c>
    </row>
    <row r="2598" spans="1:13" s="188" customFormat="1">
      <c r="A2598" s="185" t="s">
        <v>1447</v>
      </c>
      <c r="B2598" s="133" t="s">
        <v>5934</v>
      </c>
      <c r="C2598" s="185" t="s">
        <v>3023</v>
      </c>
      <c r="D2598" s="133" t="s">
        <v>1741</v>
      </c>
      <c r="E2598" s="134">
        <v>1</v>
      </c>
      <c r="F2598" s="135" t="s">
        <v>1449</v>
      </c>
      <c r="G2598" s="185" t="s">
        <v>15</v>
      </c>
      <c r="H2598" s="185" t="s">
        <v>15</v>
      </c>
      <c r="I2598" s="185" t="s">
        <v>15</v>
      </c>
      <c r="J2598" s="135" t="s">
        <v>1450</v>
      </c>
      <c r="K2598" s="186">
        <v>112.08</v>
      </c>
      <c r="L2598" s="187" t="s">
        <v>173</v>
      </c>
      <c r="M2598" s="187" t="s">
        <v>175</v>
      </c>
    </row>
    <row r="2599" spans="1:13" s="188" customFormat="1">
      <c r="A2599" s="185" t="s">
        <v>1447</v>
      </c>
      <c r="B2599" s="133" t="s">
        <v>5935</v>
      </c>
      <c r="C2599" s="185" t="s">
        <v>3023</v>
      </c>
      <c r="D2599" s="133" t="s">
        <v>1741</v>
      </c>
      <c r="E2599" s="134">
        <v>1</v>
      </c>
      <c r="F2599" s="135" t="s">
        <v>1449</v>
      </c>
      <c r="G2599" s="185" t="s">
        <v>15</v>
      </c>
      <c r="H2599" s="185" t="s">
        <v>15</v>
      </c>
      <c r="I2599" s="185" t="s">
        <v>15</v>
      </c>
      <c r="J2599" s="135" t="s">
        <v>1450</v>
      </c>
      <c r="K2599" s="186">
        <v>93.36</v>
      </c>
      <c r="L2599" s="187" t="s">
        <v>173</v>
      </c>
      <c r="M2599" s="187" t="s">
        <v>175</v>
      </c>
    </row>
    <row r="2600" spans="1:13" s="188" customFormat="1">
      <c r="A2600" s="185" t="s">
        <v>1447</v>
      </c>
      <c r="B2600" s="133" t="s">
        <v>5936</v>
      </c>
      <c r="C2600" s="185" t="s">
        <v>3023</v>
      </c>
      <c r="D2600" s="133" t="s">
        <v>1741</v>
      </c>
      <c r="E2600" s="134">
        <v>1</v>
      </c>
      <c r="F2600" s="135" t="s">
        <v>1449</v>
      </c>
      <c r="G2600" s="185" t="s">
        <v>15</v>
      </c>
      <c r="H2600" s="185" t="s">
        <v>15</v>
      </c>
      <c r="I2600" s="185" t="s">
        <v>15</v>
      </c>
      <c r="J2600" s="135" t="s">
        <v>1450</v>
      </c>
      <c r="K2600" s="186">
        <v>77.88</v>
      </c>
      <c r="L2600" s="187" t="s">
        <v>173</v>
      </c>
      <c r="M2600" s="187" t="s">
        <v>175</v>
      </c>
    </row>
    <row r="2601" spans="1:13" s="188" customFormat="1">
      <c r="A2601" s="185" t="s">
        <v>1447</v>
      </c>
      <c r="B2601" s="133" t="s">
        <v>5937</v>
      </c>
      <c r="C2601" s="185" t="s">
        <v>3023</v>
      </c>
      <c r="D2601" s="133" t="s">
        <v>1745</v>
      </c>
      <c r="E2601" s="134">
        <v>1</v>
      </c>
      <c r="F2601" s="135" t="s">
        <v>1449</v>
      </c>
      <c r="G2601" s="185" t="s">
        <v>15</v>
      </c>
      <c r="H2601" s="185" t="s">
        <v>15</v>
      </c>
      <c r="I2601" s="185" t="s">
        <v>15</v>
      </c>
      <c r="J2601" s="135" t="s">
        <v>1450</v>
      </c>
      <c r="K2601" s="186">
        <v>129324</v>
      </c>
      <c r="L2601" s="187" t="s">
        <v>173</v>
      </c>
      <c r="M2601" s="187" t="s">
        <v>175</v>
      </c>
    </row>
    <row r="2602" spans="1:13" s="188" customFormat="1">
      <c r="A2602" s="185" t="s">
        <v>1447</v>
      </c>
      <c r="B2602" s="133" t="s">
        <v>5938</v>
      </c>
      <c r="C2602" s="185" t="s">
        <v>3023</v>
      </c>
      <c r="D2602" s="133" t="s">
        <v>1746</v>
      </c>
      <c r="E2602" s="134">
        <v>1</v>
      </c>
      <c r="F2602" s="135" t="s">
        <v>1449</v>
      </c>
      <c r="G2602" s="185" t="s">
        <v>15</v>
      </c>
      <c r="H2602" s="185" t="s">
        <v>15</v>
      </c>
      <c r="I2602" s="185" t="s">
        <v>15</v>
      </c>
      <c r="J2602" s="135" t="s">
        <v>1450</v>
      </c>
      <c r="K2602" s="186">
        <v>206952</v>
      </c>
      <c r="L2602" s="187" t="s">
        <v>173</v>
      </c>
      <c r="M2602" s="187" t="s">
        <v>175</v>
      </c>
    </row>
    <row r="2603" spans="1:13" s="188" customFormat="1">
      <c r="A2603" s="185" t="s">
        <v>1447</v>
      </c>
      <c r="B2603" s="133" t="s">
        <v>5939</v>
      </c>
      <c r="C2603" s="185" t="s">
        <v>3023</v>
      </c>
      <c r="D2603" s="133" t="s">
        <v>1747</v>
      </c>
      <c r="E2603" s="134">
        <v>1</v>
      </c>
      <c r="F2603" s="135" t="s">
        <v>1449</v>
      </c>
      <c r="G2603" s="185" t="s">
        <v>15</v>
      </c>
      <c r="H2603" s="185" t="s">
        <v>15</v>
      </c>
      <c r="I2603" s="185" t="s">
        <v>15</v>
      </c>
      <c r="J2603" s="135" t="s">
        <v>1450</v>
      </c>
      <c r="K2603" s="186">
        <v>269076</v>
      </c>
      <c r="L2603" s="187" t="s">
        <v>173</v>
      </c>
      <c r="M2603" s="187" t="s">
        <v>175</v>
      </c>
    </row>
    <row r="2604" spans="1:13" s="188" customFormat="1">
      <c r="A2604" s="185" t="s">
        <v>1447</v>
      </c>
      <c r="B2604" s="133" t="s">
        <v>5940</v>
      </c>
      <c r="C2604" s="185" t="s">
        <v>3023</v>
      </c>
      <c r="D2604" s="133" t="s">
        <v>1748</v>
      </c>
      <c r="E2604" s="134">
        <v>1</v>
      </c>
      <c r="F2604" s="135" t="s">
        <v>1449</v>
      </c>
      <c r="G2604" s="185" t="s">
        <v>15</v>
      </c>
      <c r="H2604" s="185" t="s">
        <v>15</v>
      </c>
      <c r="I2604" s="185" t="s">
        <v>15</v>
      </c>
      <c r="J2604" s="135" t="s">
        <v>1450</v>
      </c>
      <c r="K2604" s="186">
        <v>424152</v>
      </c>
      <c r="L2604" s="187" t="s">
        <v>173</v>
      </c>
      <c r="M2604" s="187" t="s">
        <v>175</v>
      </c>
    </row>
    <row r="2605" spans="1:13" s="188" customFormat="1">
      <c r="A2605" s="185" t="s">
        <v>1447</v>
      </c>
      <c r="B2605" s="133" t="s">
        <v>5941</v>
      </c>
      <c r="C2605" s="185" t="s">
        <v>3023</v>
      </c>
      <c r="D2605" s="133" t="s">
        <v>1749</v>
      </c>
      <c r="E2605" s="134">
        <v>1</v>
      </c>
      <c r="F2605" s="135" t="s">
        <v>1449</v>
      </c>
      <c r="G2605" s="185" t="s">
        <v>15</v>
      </c>
      <c r="H2605" s="185" t="s">
        <v>15</v>
      </c>
      <c r="I2605" s="185" t="s">
        <v>15</v>
      </c>
      <c r="J2605" s="135" t="s">
        <v>1450</v>
      </c>
      <c r="K2605" s="186">
        <v>565932</v>
      </c>
      <c r="L2605" s="187" t="s">
        <v>173</v>
      </c>
      <c r="M2605" s="187" t="s">
        <v>175</v>
      </c>
    </row>
    <row r="2606" spans="1:13" s="188" customFormat="1">
      <c r="A2606" s="185" t="s">
        <v>1447</v>
      </c>
      <c r="B2606" s="133" t="s">
        <v>5942</v>
      </c>
      <c r="C2606" s="185" t="s">
        <v>3023</v>
      </c>
      <c r="D2606" s="133" t="s">
        <v>1750</v>
      </c>
      <c r="E2606" s="134">
        <v>1</v>
      </c>
      <c r="F2606" s="135" t="s">
        <v>1449</v>
      </c>
      <c r="G2606" s="185" t="s">
        <v>15</v>
      </c>
      <c r="H2606" s="185" t="s">
        <v>15</v>
      </c>
      <c r="I2606" s="185" t="s">
        <v>15</v>
      </c>
      <c r="J2606" s="135" t="s">
        <v>1450</v>
      </c>
      <c r="K2606" s="186">
        <v>854568</v>
      </c>
      <c r="L2606" s="187" t="s">
        <v>173</v>
      </c>
      <c r="M2606" s="187" t="s">
        <v>175</v>
      </c>
    </row>
    <row r="2607" spans="1:13" s="188" customFormat="1">
      <c r="A2607" s="185" t="s">
        <v>1447</v>
      </c>
      <c r="B2607" s="133" t="s">
        <v>5943</v>
      </c>
      <c r="C2607" s="185" t="s">
        <v>3023</v>
      </c>
      <c r="D2607" s="133" t="s">
        <v>1751</v>
      </c>
      <c r="E2607" s="134">
        <v>1</v>
      </c>
      <c r="F2607" s="135" t="s">
        <v>1449</v>
      </c>
      <c r="G2607" s="185" t="s">
        <v>15</v>
      </c>
      <c r="H2607" s="185" t="s">
        <v>15</v>
      </c>
      <c r="I2607" s="185" t="s">
        <v>15</v>
      </c>
      <c r="J2607" s="135" t="s">
        <v>1450</v>
      </c>
      <c r="K2607" s="186">
        <v>12840</v>
      </c>
      <c r="L2607" s="187" t="s">
        <v>173</v>
      </c>
      <c r="M2607" s="187" t="s">
        <v>175</v>
      </c>
    </row>
    <row r="2608" spans="1:13" s="188" customFormat="1">
      <c r="A2608" s="185" t="s">
        <v>1447</v>
      </c>
      <c r="B2608" s="133" t="s">
        <v>5944</v>
      </c>
      <c r="C2608" s="185" t="s">
        <v>3023</v>
      </c>
      <c r="D2608" s="133" t="s">
        <v>1751</v>
      </c>
      <c r="E2608" s="134">
        <v>1</v>
      </c>
      <c r="F2608" s="135" t="s">
        <v>1449</v>
      </c>
      <c r="G2608" s="185" t="s">
        <v>15</v>
      </c>
      <c r="H2608" s="185" t="s">
        <v>15</v>
      </c>
      <c r="I2608" s="185" t="s">
        <v>15</v>
      </c>
      <c r="J2608" s="135" t="s">
        <v>1450</v>
      </c>
      <c r="K2608" s="186">
        <v>10140</v>
      </c>
      <c r="L2608" s="187" t="s">
        <v>173</v>
      </c>
      <c r="M2608" s="187" t="s">
        <v>175</v>
      </c>
    </row>
    <row r="2609" spans="1:13" s="188" customFormat="1">
      <c r="A2609" s="185" t="s">
        <v>1447</v>
      </c>
      <c r="B2609" s="133" t="s">
        <v>5945</v>
      </c>
      <c r="C2609" s="185" t="s">
        <v>3023</v>
      </c>
      <c r="D2609" s="133" t="s">
        <v>1751</v>
      </c>
      <c r="E2609" s="134">
        <v>1</v>
      </c>
      <c r="F2609" s="135" t="s">
        <v>1449</v>
      </c>
      <c r="G2609" s="185" t="s">
        <v>15</v>
      </c>
      <c r="H2609" s="185" t="s">
        <v>15</v>
      </c>
      <c r="I2609" s="185" t="s">
        <v>15</v>
      </c>
      <c r="J2609" s="135" t="s">
        <v>1450</v>
      </c>
      <c r="K2609" s="186">
        <v>8436</v>
      </c>
      <c r="L2609" s="187" t="s">
        <v>173</v>
      </c>
      <c r="M2609" s="187" t="s">
        <v>175</v>
      </c>
    </row>
    <row r="2610" spans="1:13" s="188" customFormat="1">
      <c r="A2610" s="185" t="s">
        <v>1447</v>
      </c>
      <c r="B2610" s="133" t="s">
        <v>5946</v>
      </c>
      <c r="C2610" s="185" t="s">
        <v>3023</v>
      </c>
      <c r="D2610" s="133" t="s">
        <v>1751</v>
      </c>
      <c r="E2610" s="134">
        <v>1</v>
      </c>
      <c r="F2610" s="135" t="s">
        <v>1449</v>
      </c>
      <c r="G2610" s="185" t="s">
        <v>15</v>
      </c>
      <c r="H2610" s="185" t="s">
        <v>15</v>
      </c>
      <c r="I2610" s="185" t="s">
        <v>15</v>
      </c>
      <c r="J2610" s="135" t="s">
        <v>1450</v>
      </c>
      <c r="K2610" s="186">
        <v>6852</v>
      </c>
      <c r="L2610" s="187" t="s">
        <v>173</v>
      </c>
      <c r="M2610" s="187" t="s">
        <v>175</v>
      </c>
    </row>
    <row r="2611" spans="1:13" s="188" customFormat="1">
      <c r="A2611" s="185" t="s">
        <v>1447</v>
      </c>
      <c r="B2611" s="133" t="s">
        <v>5947</v>
      </c>
      <c r="C2611" s="185" t="s">
        <v>3023</v>
      </c>
      <c r="D2611" s="133" t="s">
        <v>1752</v>
      </c>
      <c r="E2611" s="134">
        <v>1</v>
      </c>
      <c r="F2611" s="135" t="s">
        <v>1449</v>
      </c>
      <c r="G2611" s="185" t="s">
        <v>15</v>
      </c>
      <c r="H2611" s="185" t="s">
        <v>15</v>
      </c>
      <c r="I2611" s="185" t="s">
        <v>15</v>
      </c>
      <c r="J2611" s="135" t="s">
        <v>1450</v>
      </c>
      <c r="K2611" s="186">
        <v>11832</v>
      </c>
      <c r="L2611" s="187" t="s">
        <v>173</v>
      </c>
      <c r="M2611" s="187" t="s">
        <v>175</v>
      </c>
    </row>
    <row r="2612" spans="1:13" s="188" customFormat="1">
      <c r="A2612" s="185" t="s">
        <v>1447</v>
      </c>
      <c r="B2612" s="133" t="s">
        <v>5948</v>
      </c>
      <c r="C2612" s="185" t="s">
        <v>3023</v>
      </c>
      <c r="D2612" s="133" t="s">
        <v>1752</v>
      </c>
      <c r="E2612" s="134">
        <v>1</v>
      </c>
      <c r="F2612" s="135" t="s">
        <v>1449</v>
      </c>
      <c r="G2612" s="185" t="s">
        <v>15</v>
      </c>
      <c r="H2612" s="185" t="s">
        <v>15</v>
      </c>
      <c r="I2612" s="185" t="s">
        <v>15</v>
      </c>
      <c r="J2612" s="135" t="s">
        <v>1450</v>
      </c>
      <c r="K2612" s="186">
        <v>8712</v>
      </c>
      <c r="L2612" s="187" t="s">
        <v>173</v>
      </c>
      <c r="M2612" s="187" t="s">
        <v>175</v>
      </c>
    </row>
    <row r="2613" spans="1:13" s="188" customFormat="1">
      <c r="A2613" s="185" t="s">
        <v>1447</v>
      </c>
      <c r="B2613" s="133" t="s">
        <v>5949</v>
      </c>
      <c r="C2613" s="185" t="s">
        <v>3023</v>
      </c>
      <c r="D2613" s="133" t="s">
        <v>1752</v>
      </c>
      <c r="E2613" s="134">
        <v>1</v>
      </c>
      <c r="F2613" s="135" t="s">
        <v>1449</v>
      </c>
      <c r="G2613" s="185" t="s">
        <v>15</v>
      </c>
      <c r="H2613" s="185" t="s">
        <v>15</v>
      </c>
      <c r="I2613" s="185" t="s">
        <v>15</v>
      </c>
      <c r="J2613" s="135" t="s">
        <v>1450</v>
      </c>
      <c r="K2613" s="186">
        <v>6852</v>
      </c>
      <c r="L2613" s="187" t="s">
        <v>173</v>
      </c>
      <c r="M2613" s="187" t="s">
        <v>175</v>
      </c>
    </row>
    <row r="2614" spans="1:13" s="188" customFormat="1">
      <c r="A2614" s="185" t="s">
        <v>1447</v>
      </c>
      <c r="B2614" s="133" t="s">
        <v>5950</v>
      </c>
      <c r="C2614" s="185" t="s">
        <v>3023</v>
      </c>
      <c r="D2614" s="133" t="s">
        <v>1752</v>
      </c>
      <c r="E2614" s="134">
        <v>1</v>
      </c>
      <c r="F2614" s="135" t="s">
        <v>1449</v>
      </c>
      <c r="G2614" s="185" t="s">
        <v>15</v>
      </c>
      <c r="H2614" s="185" t="s">
        <v>15</v>
      </c>
      <c r="I2614" s="185" t="s">
        <v>15</v>
      </c>
      <c r="J2614" s="135" t="s">
        <v>1450</v>
      </c>
      <c r="K2614" s="186">
        <v>5232</v>
      </c>
      <c r="L2614" s="187" t="s">
        <v>173</v>
      </c>
      <c r="M2614" s="187" t="s">
        <v>175</v>
      </c>
    </row>
    <row r="2615" spans="1:13" s="188" customFormat="1">
      <c r="A2615" s="185" t="s">
        <v>1447</v>
      </c>
      <c r="B2615" s="133" t="s">
        <v>5951</v>
      </c>
      <c r="C2615" s="185" t="s">
        <v>3023</v>
      </c>
      <c r="D2615" s="133" t="s">
        <v>1753</v>
      </c>
      <c r="E2615" s="134">
        <v>1</v>
      </c>
      <c r="F2615" s="135" t="s">
        <v>1449</v>
      </c>
      <c r="G2615" s="185" t="s">
        <v>15</v>
      </c>
      <c r="H2615" s="185" t="s">
        <v>15</v>
      </c>
      <c r="I2615" s="185" t="s">
        <v>15</v>
      </c>
      <c r="J2615" s="135" t="s">
        <v>1450</v>
      </c>
      <c r="K2615" s="186">
        <v>8436</v>
      </c>
      <c r="L2615" s="187" t="s">
        <v>173</v>
      </c>
      <c r="M2615" s="187" t="s">
        <v>175</v>
      </c>
    </row>
    <row r="2616" spans="1:13" s="188" customFormat="1">
      <c r="A2616" s="185" t="s">
        <v>1447</v>
      </c>
      <c r="B2616" s="133" t="s">
        <v>5952</v>
      </c>
      <c r="C2616" s="185" t="s">
        <v>3023</v>
      </c>
      <c r="D2616" s="133" t="s">
        <v>1753</v>
      </c>
      <c r="E2616" s="134">
        <v>1</v>
      </c>
      <c r="F2616" s="135" t="s">
        <v>1449</v>
      </c>
      <c r="G2616" s="185" t="s">
        <v>15</v>
      </c>
      <c r="H2616" s="185" t="s">
        <v>15</v>
      </c>
      <c r="I2616" s="185" t="s">
        <v>15</v>
      </c>
      <c r="J2616" s="135" t="s">
        <v>1450</v>
      </c>
      <c r="K2616" s="186">
        <v>5064</v>
      </c>
      <c r="L2616" s="187" t="s">
        <v>173</v>
      </c>
      <c r="M2616" s="187" t="s">
        <v>175</v>
      </c>
    </row>
    <row r="2617" spans="1:13" s="188" customFormat="1">
      <c r="A2617" s="185" t="s">
        <v>1447</v>
      </c>
      <c r="B2617" s="133" t="s">
        <v>5953</v>
      </c>
      <c r="C2617" s="185" t="s">
        <v>3023</v>
      </c>
      <c r="D2617" s="133" t="s">
        <v>1753</v>
      </c>
      <c r="E2617" s="134">
        <v>1</v>
      </c>
      <c r="F2617" s="135" t="s">
        <v>1449</v>
      </c>
      <c r="G2617" s="185" t="s">
        <v>15</v>
      </c>
      <c r="H2617" s="185" t="s">
        <v>15</v>
      </c>
      <c r="I2617" s="185" t="s">
        <v>15</v>
      </c>
      <c r="J2617" s="135" t="s">
        <v>1450</v>
      </c>
      <c r="K2617" s="186">
        <v>4356</v>
      </c>
      <c r="L2617" s="187" t="s">
        <v>173</v>
      </c>
      <c r="M2617" s="187" t="s">
        <v>175</v>
      </c>
    </row>
    <row r="2618" spans="1:13" s="188" customFormat="1">
      <c r="A2618" s="185" t="s">
        <v>1447</v>
      </c>
      <c r="B2618" s="133" t="s">
        <v>5954</v>
      </c>
      <c r="C2618" s="185" t="s">
        <v>3023</v>
      </c>
      <c r="D2618" s="133" t="s">
        <v>1753</v>
      </c>
      <c r="E2618" s="134">
        <v>1</v>
      </c>
      <c r="F2618" s="135" t="s">
        <v>1449</v>
      </c>
      <c r="G2618" s="185" t="s">
        <v>15</v>
      </c>
      <c r="H2618" s="185" t="s">
        <v>15</v>
      </c>
      <c r="I2618" s="185" t="s">
        <v>15</v>
      </c>
      <c r="J2618" s="135" t="s">
        <v>1450</v>
      </c>
      <c r="K2618" s="186">
        <v>3420</v>
      </c>
      <c r="L2618" s="187" t="s">
        <v>173</v>
      </c>
      <c r="M2618" s="187" t="s">
        <v>175</v>
      </c>
    </row>
    <row r="2619" spans="1:13" s="188" customFormat="1">
      <c r="A2619" s="185" t="s">
        <v>1447</v>
      </c>
      <c r="B2619" s="133" t="s">
        <v>5955</v>
      </c>
      <c r="C2619" s="185" t="s">
        <v>3023</v>
      </c>
      <c r="D2619" s="133" t="s">
        <v>1755</v>
      </c>
      <c r="E2619" s="134">
        <v>1</v>
      </c>
      <c r="F2619" s="135" t="s">
        <v>1449</v>
      </c>
      <c r="G2619" s="185" t="s">
        <v>15</v>
      </c>
      <c r="H2619" s="185" t="s">
        <v>15</v>
      </c>
      <c r="I2619" s="185" t="s">
        <v>15</v>
      </c>
      <c r="J2619" s="135" t="s">
        <v>1450</v>
      </c>
      <c r="K2619" s="186">
        <v>8892</v>
      </c>
      <c r="L2619" s="187" t="s">
        <v>173</v>
      </c>
      <c r="M2619" s="187" t="s">
        <v>175</v>
      </c>
    </row>
    <row r="2620" spans="1:13" s="188" customFormat="1">
      <c r="A2620" s="185" t="s">
        <v>1447</v>
      </c>
      <c r="B2620" s="133" t="s">
        <v>5956</v>
      </c>
      <c r="C2620" s="185" t="s">
        <v>3023</v>
      </c>
      <c r="D2620" s="133" t="s">
        <v>1755</v>
      </c>
      <c r="E2620" s="134">
        <v>1</v>
      </c>
      <c r="F2620" s="135" t="s">
        <v>1449</v>
      </c>
      <c r="G2620" s="185" t="s">
        <v>15</v>
      </c>
      <c r="H2620" s="185" t="s">
        <v>15</v>
      </c>
      <c r="I2620" s="185" t="s">
        <v>15</v>
      </c>
      <c r="J2620" s="135" t="s">
        <v>1450</v>
      </c>
      <c r="K2620" s="186">
        <v>7992</v>
      </c>
      <c r="L2620" s="187" t="s">
        <v>173</v>
      </c>
      <c r="M2620" s="187" t="s">
        <v>175</v>
      </c>
    </row>
    <row r="2621" spans="1:13" s="188" customFormat="1">
      <c r="A2621" s="185" t="s">
        <v>1447</v>
      </c>
      <c r="B2621" s="133" t="s">
        <v>5957</v>
      </c>
      <c r="C2621" s="185" t="s">
        <v>3023</v>
      </c>
      <c r="D2621" s="133" t="s">
        <v>1755</v>
      </c>
      <c r="E2621" s="134">
        <v>1</v>
      </c>
      <c r="F2621" s="135" t="s">
        <v>1449</v>
      </c>
      <c r="G2621" s="185" t="s">
        <v>15</v>
      </c>
      <c r="H2621" s="185" t="s">
        <v>15</v>
      </c>
      <c r="I2621" s="185" t="s">
        <v>15</v>
      </c>
      <c r="J2621" s="135" t="s">
        <v>1450</v>
      </c>
      <c r="K2621" s="186">
        <v>7104</v>
      </c>
      <c r="L2621" s="187" t="s">
        <v>173</v>
      </c>
      <c r="M2621" s="187" t="s">
        <v>175</v>
      </c>
    </row>
    <row r="2622" spans="1:13" s="188" customFormat="1">
      <c r="A2622" s="185" t="s">
        <v>1447</v>
      </c>
      <c r="B2622" s="133" t="s">
        <v>5958</v>
      </c>
      <c r="C2622" s="185" t="s">
        <v>3023</v>
      </c>
      <c r="D2622" s="133" t="s">
        <v>1755</v>
      </c>
      <c r="E2622" s="134">
        <v>1</v>
      </c>
      <c r="F2622" s="135" t="s">
        <v>1449</v>
      </c>
      <c r="G2622" s="185" t="s">
        <v>15</v>
      </c>
      <c r="H2622" s="185" t="s">
        <v>15</v>
      </c>
      <c r="I2622" s="185" t="s">
        <v>15</v>
      </c>
      <c r="J2622" s="135" t="s">
        <v>1450</v>
      </c>
      <c r="K2622" s="186">
        <v>6228</v>
      </c>
      <c r="L2622" s="187" t="s">
        <v>173</v>
      </c>
      <c r="M2622" s="187" t="s">
        <v>175</v>
      </c>
    </row>
    <row r="2623" spans="1:13" s="188" customFormat="1">
      <c r="A2623" s="185" t="s">
        <v>1447</v>
      </c>
      <c r="B2623" s="133" t="s">
        <v>5959</v>
      </c>
      <c r="C2623" s="185" t="s">
        <v>3023</v>
      </c>
      <c r="D2623" s="133" t="s">
        <v>1755</v>
      </c>
      <c r="E2623" s="134">
        <v>1</v>
      </c>
      <c r="F2623" s="135" t="s">
        <v>1449</v>
      </c>
      <c r="G2623" s="185" t="s">
        <v>15</v>
      </c>
      <c r="H2623" s="185" t="s">
        <v>15</v>
      </c>
      <c r="I2623" s="185" t="s">
        <v>15</v>
      </c>
      <c r="J2623" s="135" t="s">
        <v>1450</v>
      </c>
      <c r="K2623" s="186">
        <v>5328</v>
      </c>
      <c r="L2623" s="187" t="s">
        <v>173</v>
      </c>
      <c r="M2623" s="187" t="s">
        <v>175</v>
      </c>
    </row>
    <row r="2624" spans="1:13" s="188" customFormat="1">
      <c r="A2624" s="185" t="s">
        <v>1447</v>
      </c>
      <c r="B2624" s="133" t="s">
        <v>5960</v>
      </c>
      <c r="C2624" s="185" t="s">
        <v>3023</v>
      </c>
      <c r="D2624" s="133" t="s">
        <v>1755</v>
      </c>
      <c r="E2624" s="134">
        <v>1</v>
      </c>
      <c r="F2624" s="135" t="s">
        <v>1449</v>
      </c>
      <c r="G2624" s="185" t="s">
        <v>15</v>
      </c>
      <c r="H2624" s="185" t="s">
        <v>15</v>
      </c>
      <c r="I2624" s="185" t="s">
        <v>15</v>
      </c>
      <c r="J2624" s="135" t="s">
        <v>1450</v>
      </c>
      <c r="K2624" s="186">
        <v>4440</v>
      </c>
      <c r="L2624" s="187" t="s">
        <v>173</v>
      </c>
      <c r="M2624" s="187" t="s">
        <v>175</v>
      </c>
    </row>
    <row r="2625" spans="1:13" s="188" customFormat="1">
      <c r="A2625" s="185" t="s">
        <v>1447</v>
      </c>
      <c r="B2625" s="133" t="s">
        <v>5961</v>
      </c>
      <c r="C2625" s="185" t="s">
        <v>3023</v>
      </c>
      <c r="D2625" s="133" t="s">
        <v>1756</v>
      </c>
      <c r="E2625" s="134">
        <v>1</v>
      </c>
      <c r="F2625" s="135" t="s">
        <v>1449</v>
      </c>
      <c r="G2625" s="185" t="s">
        <v>15</v>
      </c>
      <c r="H2625" s="185" t="s">
        <v>15</v>
      </c>
      <c r="I2625" s="185" t="s">
        <v>15</v>
      </c>
      <c r="J2625" s="135" t="s">
        <v>1450</v>
      </c>
      <c r="K2625" s="186">
        <v>2496</v>
      </c>
      <c r="L2625" s="187" t="s">
        <v>173</v>
      </c>
      <c r="M2625" s="187" t="s">
        <v>175</v>
      </c>
    </row>
    <row r="2626" spans="1:13" s="188" customFormat="1">
      <c r="A2626" s="185" t="s">
        <v>1447</v>
      </c>
      <c r="B2626" s="133" t="s">
        <v>5962</v>
      </c>
      <c r="C2626" s="185" t="s">
        <v>3023</v>
      </c>
      <c r="D2626" s="133" t="s">
        <v>1756</v>
      </c>
      <c r="E2626" s="134">
        <v>1</v>
      </c>
      <c r="F2626" s="135" t="s">
        <v>1449</v>
      </c>
      <c r="G2626" s="185" t="s">
        <v>15</v>
      </c>
      <c r="H2626" s="185" t="s">
        <v>15</v>
      </c>
      <c r="I2626" s="185" t="s">
        <v>15</v>
      </c>
      <c r="J2626" s="135" t="s">
        <v>1450</v>
      </c>
      <c r="K2626" s="186">
        <v>1776</v>
      </c>
      <c r="L2626" s="187" t="s">
        <v>173</v>
      </c>
      <c r="M2626" s="187" t="s">
        <v>175</v>
      </c>
    </row>
    <row r="2627" spans="1:13" s="188" customFormat="1">
      <c r="A2627" s="185" t="s">
        <v>1447</v>
      </c>
      <c r="B2627" s="133" t="s">
        <v>5963</v>
      </c>
      <c r="C2627" s="185" t="s">
        <v>3023</v>
      </c>
      <c r="D2627" s="133" t="s">
        <v>1756</v>
      </c>
      <c r="E2627" s="134">
        <v>1</v>
      </c>
      <c r="F2627" s="135" t="s">
        <v>1449</v>
      </c>
      <c r="G2627" s="185" t="s">
        <v>15</v>
      </c>
      <c r="H2627" s="185" t="s">
        <v>15</v>
      </c>
      <c r="I2627" s="185" t="s">
        <v>15</v>
      </c>
      <c r="J2627" s="135" t="s">
        <v>1450</v>
      </c>
      <c r="K2627" s="186">
        <v>1320</v>
      </c>
      <c r="L2627" s="187" t="s">
        <v>173</v>
      </c>
      <c r="M2627" s="187" t="s">
        <v>175</v>
      </c>
    </row>
    <row r="2628" spans="1:13" s="188" customFormat="1">
      <c r="A2628" s="185" t="s">
        <v>1447</v>
      </c>
      <c r="B2628" s="133" t="s">
        <v>5964</v>
      </c>
      <c r="C2628" s="185" t="s">
        <v>3023</v>
      </c>
      <c r="D2628" s="133" t="s">
        <v>1756</v>
      </c>
      <c r="E2628" s="134">
        <v>1</v>
      </c>
      <c r="F2628" s="135" t="s">
        <v>1449</v>
      </c>
      <c r="G2628" s="185" t="s">
        <v>15</v>
      </c>
      <c r="H2628" s="185" t="s">
        <v>15</v>
      </c>
      <c r="I2628" s="185" t="s">
        <v>15</v>
      </c>
      <c r="J2628" s="135" t="s">
        <v>1450</v>
      </c>
      <c r="K2628" s="186">
        <v>948</v>
      </c>
      <c r="L2628" s="187" t="s">
        <v>173</v>
      </c>
      <c r="M2628" s="187" t="s">
        <v>175</v>
      </c>
    </row>
    <row r="2629" spans="1:13" s="188" customFormat="1">
      <c r="A2629" s="185" t="s">
        <v>1447</v>
      </c>
      <c r="B2629" s="133" t="s">
        <v>5965</v>
      </c>
      <c r="C2629" s="185" t="s">
        <v>3023</v>
      </c>
      <c r="D2629" s="133" t="s">
        <v>1756</v>
      </c>
      <c r="E2629" s="134">
        <v>1</v>
      </c>
      <c r="F2629" s="135" t="s">
        <v>1449</v>
      </c>
      <c r="G2629" s="185" t="s">
        <v>15</v>
      </c>
      <c r="H2629" s="185" t="s">
        <v>15</v>
      </c>
      <c r="I2629" s="185" t="s">
        <v>15</v>
      </c>
      <c r="J2629" s="135" t="s">
        <v>1450</v>
      </c>
      <c r="K2629" s="186">
        <v>744</v>
      </c>
      <c r="L2629" s="187" t="s">
        <v>173</v>
      </c>
      <c r="M2629" s="187" t="s">
        <v>175</v>
      </c>
    </row>
    <row r="2630" spans="1:13" s="188" customFormat="1">
      <c r="A2630" s="185" t="s">
        <v>1447</v>
      </c>
      <c r="B2630" s="133" t="s">
        <v>5966</v>
      </c>
      <c r="C2630" s="185" t="s">
        <v>3023</v>
      </c>
      <c r="D2630" s="133" t="s">
        <v>1756</v>
      </c>
      <c r="E2630" s="134">
        <v>1</v>
      </c>
      <c r="F2630" s="135" t="s">
        <v>1449</v>
      </c>
      <c r="G2630" s="185" t="s">
        <v>15</v>
      </c>
      <c r="H2630" s="185" t="s">
        <v>15</v>
      </c>
      <c r="I2630" s="185" t="s">
        <v>15</v>
      </c>
      <c r="J2630" s="135" t="s">
        <v>1450</v>
      </c>
      <c r="K2630" s="186">
        <v>624</v>
      </c>
      <c r="L2630" s="187" t="s">
        <v>173</v>
      </c>
      <c r="M2630" s="187" t="s">
        <v>175</v>
      </c>
    </row>
    <row r="2631" spans="1:13" s="188" customFormat="1">
      <c r="A2631" s="185" t="s">
        <v>1447</v>
      </c>
      <c r="B2631" s="133" t="s">
        <v>5967</v>
      </c>
      <c r="C2631" s="185" t="s">
        <v>3023</v>
      </c>
      <c r="D2631" s="133" t="s">
        <v>1757</v>
      </c>
      <c r="E2631" s="134">
        <v>1</v>
      </c>
      <c r="F2631" s="135" t="s">
        <v>1449</v>
      </c>
      <c r="G2631" s="185" t="s">
        <v>15</v>
      </c>
      <c r="H2631" s="185" t="s">
        <v>15</v>
      </c>
      <c r="I2631" s="185" t="s">
        <v>15</v>
      </c>
      <c r="J2631" s="135" t="s">
        <v>1450</v>
      </c>
      <c r="K2631" s="186">
        <v>243984</v>
      </c>
      <c r="L2631" s="187" t="s">
        <v>173</v>
      </c>
      <c r="M2631" s="187" t="s">
        <v>175</v>
      </c>
    </row>
    <row r="2632" spans="1:13" s="188" customFormat="1">
      <c r="A2632" s="185" t="s">
        <v>1447</v>
      </c>
      <c r="B2632" s="133" t="s">
        <v>5968</v>
      </c>
      <c r="C2632" s="185" t="s">
        <v>3023</v>
      </c>
      <c r="D2632" s="133" t="s">
        <v>1758</v>
      </c>
      <c r="E2632" s="134">
        <v>1</v>
      </c>
      <c r="F2632" s="135" t="s">
        <v>1449</v>
      </c>
      <c r="G2632" s="185" t="s">
        <v>15</v>
      </c>
      <c r="H2632" s="185" t="s">
        <v>15</v>
      </c>
      <c r="I2632" s="185" t="s">
        <v>15</v>
      </c>
      <c r="J2632" s="135" t="s">
        <v>1450</v>
      </c>
      <c r="K2632" s="186">
        <v>396168</v>
      </c>
      <c r="L2632" s="187" t="s">
        <v>173</v>
      </c>
      <c r="M2632" s="187" t="s">
        <v>175</v>
      </c>
    </row>
    <row r="2633" spans="1:13" s="188" customFormat="1">
      <c r="A2633" s="185" t="s">
        <v>1447</v>
      </c>
      <c r="B2633" s="133" t="s">
        <v>5969</v>
      </c>
      <c r="C2633" s="185" t="s">
        <v>3023</v>
      </c>
      <c r="D2633" s="133" t="s">
        <v>1759</v>
      </c>
      <c r="E2633" s="134">
        <v>1</v>
      </c>
      <c r="F2633" s="135" t="s">
        <v>1449</v>
      </c>
      <c r="G2633" s="185" t="s">
        <v>15</v>
      </c>
      <c r="H2633" s="185" t="s">
        <v>15</v>
      </c>
      <c r="I2633" s="185" t="s">
        <v>15</v>
      </c>
      <c r="J2633" s="135" t="s">
        <v>1450</v>
      </c>
      <c r="K2633" s="186">
        <v>498456</v>
      </c>
      <c r="L2633" s="187" t="s">
        <v>173</v>
      </c>
      <c r="M2633" s="187" t="s">
        <v>175</v>
      </c>
    </row>
    <row r="2634" spans="1:13" s="188" customFormat="1">
      <c r="A2634" s="185" t="s">
        <v>1447</v>
      </c>
      <c r="B2634" s="133" t="s">
        <v>5970</v>
      </c>
      <c r="C2634" s="185" t="s">
        <v>3023</v>
      </c>
      <c r="D2634" s="133" t="s">
        <v>1760</v>
      </c>
      <c r="E2634" s="134">
        <v>1</v>
      </c>
      <c r="F2634" s="135" t="s">
        <v>1449</v>
      </c>
      <c r="G2634" s="185" t="s">
        <v>15</v>
      </c>
      <c r="H2634" s="185" t="s">
        <v>15</v>
      </c>
      <c r="I2634" s="185" t="s">
        <v>15</v>
      </c>
      <c r="J2634" s="135" t="s">
        <v>1450</v>
      </c>
      <c r="K2634" s="186">
        <v>718332</v>
      </c>
      <c r="L2634" s="187" t="s">
        <v>173</v>
      </c>
      <c r="M2634" s="187" t="s">
        <v>175</v>
      </c>
    </row>
    <row r="2635" spans="1:13" s="188" customFormat="1">
      <c r="A2635" s="185" t="s">
        <v>1447</v>
      </c>
      <c r="B2635" s="133" t="s">
        <v>5971</v>
      </c>
      <c r="C2635" s="185" t="s">
        <v>3023</v>
      </c>
      <c r="D2635" s="133" t="s">
        <v>1761</v>
      </c>
      <c r="E2635" s="134">
        <v>1</v>
      </c>
      <c r="F2635" s="135" t="s">
        <v>1449</v>
      </c>
      <c r="G2635" s="185" t="s">
        <v>15</v>
      </c>
      <c r="H2635" s="185" t="s">
        <v>15</v>
      </c>
      <c r="I2635" s="185" t="s">
        <v>15</v>
      </c>
      <c r="J2635" s="135" t="s">
        <v>1450</v>
      </c>
      <c r="K2635" s="186">
        <v>938844</v>
      </c>
      <c r="L2635" s="187" t="s">
        <v>173</v>
      </c>
      <c r="M2635" s="187" t="s">
        <v>175</v>
      </c>
    </row>
    <row r="2636" spans="1:13" s="188" customFormat="1">
      <c r="A2636" s="185" t="s">
        <v>1447</v>
      </c>
      <c r="B2636" s="133" t="s">
        <v>5972</v>
      </c>
      <c r="C2636" s="185" t="s">
        <v>3023</v>
      </c>
      <c r="D2636" s="133" t="s">
        <v>1762</v>
      </c>
      <c r="E2636" s="134">
        <v>1</v>
      </c>
      <c r="F2636" s="135" t="s">
        <v>1449</v>
      </c>
      <c r="G2636" s="185" t="s">
        <v>15</v>
      </c>
      <c r="H2636" s="185" t="s">
        <v>15</v>
      </c>
      <c r="I2636" s="185" t="s">
        <v>15</v>
      </c>
      <c r="J2636" s="135" t="s">
        <v>1450</v>
      </c>
      <c r="K2636" s="186">
        <v>1483080</v>
      </c>
      <c r="L2636" s="187" t="s">
        <v>173</v>
      </c>
      <c r="M2636" s="187" t="s">
        <v>175</v>
      </c>
    </row>
    <row r="2637" spans="1:13" s="188" customFormat="1">
      <c r="A2637" s="185" t="s">
        <v>1447</v>
      </c>
      <c r="B2637" s="133" t="s">
        <v>5973</v>
      </c>
      <c r="C2637" s="185" t="s">
        <v>3023</v>
      </c>
      <c r="D2637" s="133" t="s">
        <v>1763</v>
      </c>
      <c r="E2637" s="134">
        <v>1</v>
      </c>
      <c r="F2637" s="135" t="s">
        <v>1449</v>
      </c>
      <c r="G2637" s="185" t="s">
        <v>15</v>
      </c>
      <c r="H2637" s="185" t="s">
        <v>15</v>
      </c>
      <c r="I2637" s="185" t="s">
        <v>15</v>
      </c>
      <c r="J2637" s="135" t="s">
        <v>1450</v>
      </c>
      <c r="K2637" s="186">
        <v>241548</v>
      </c>
      <c r="L2637" s="187" t="s">
        <v>173</v>
      </c>
      <c r="M2637" s="187" t="s">
        <v>175</v>
      </c>
    </row>
    <row r="2638" spans="1:13" s="188" customFormat="1">
      <c r="A2638" s="185" t="s">
        <v>1447</v>
      </c>
      <c r="B2638" s="133" t="s">
        <v>5974</v>
      </c>
      <c r="C2638" s="185" t="s">
        <v>3023</v>
      </c>
      <c r="D2638" s="133" t="s">
        <v>1764</v>
      </c>
      <c r="E2638" s="134">
        <v>1</v>
      </c>
      <c r="F2638" s="135" t="s">
        <v>1449</v>
      </c>
      <c r="G2638" s="185" t="s">
        <v>15</v>
      </c>
      <c r="H2638" s="185" t="s">
        <v>15</v>
      </c>
      <c r="I2638" s="185" t="s">
        <v>15</v>
      </c>
      <c r="J2638" s="135" t="s">
        <v>1450</v>
      </c>
      <c r="K2638" s="186">
        <v>345348</v>
      </c>
      <c r="L2638" s="187" t="s">
        <v>173</v>
      </c>
      <c r="M2638" s="187" t="s">
        <v>175</v>
      </c>
    </row>
    <row r="2639" spans="1:13" s="188" customFormat="1">
      <c r="A2639" s="185" t="s">
        <v>1447</v>
      </c>
      <c r="B2639" s="133" t="s">
        <v>5975</v>
      </c>
      <c r="C2639" s="185" t="s">
        <v>3023</v>
      </c>
      <c r="D2639" s="133" t="s">
        <v>1765</v>
      </c>
      <c r="E2639" s="134">
        <v>1</v>
      </c>
      <c r="F2639" s="135" t="s">
        <v>1449</v>
      </c>
      <c r="G2639" s="185" t="s">
        <v>15</v>
      </c>
      <c r="H2639" s="185" t="s">
        <v>15</v>
      </c>
      <c r="I2639" s="185" t="s">
        <v>15</v>
      </c>
      <c r="J2639" s="135" t="s">
        <v>1450</v>
      </c>
      <c r="K2639" s="186">
        <v>398400</v>
      </c>
      <c r="L2639" s="187" t="s">
        <v>173</v>
      </c>
      <c r="M2639" s="187" t="s">
        <v>175</v>
      </c>
    </row>
    <row r="2640" spans="1:13" s="188" customFormat="1">
      <c r="A2640" s="185" t="s">
        <v>1447</v>
      </c>
      <c r="B2640" s="133" t="s">
        <v>5976</v>
      </c>
      <c r="C2640" s="185" t="s">
        <v>3023</v>
      </c>
      <c r="D2640" s="133" t="s">
        <v>1766</v>
      </c>
      <c r="E2640" s="134">
        <v>1</v>
      </c>
      <c r="F2640" s="135" t="s">
        <v>1449</v>
      </c>
      <c r="G2640" s="185" t="s">
        <v>15</v>
      </c>
      <c r="H2640" s="185" t="s">
        <v>15</v>
      </c>
      <c r="I2640" s="185" t="s">
        <v>15</v>
      </c>
      <c r="J2640" s="135" t="s">
        <v>1450</v>
      </c>
      <c r="K2640" s="186">
        <v>521412</v>
      </c>
      <c r="L2640" s="187" t="s">
        <v>173</v>
      </c>
      <c r="M2640" s="187" t="s">
        <v>175</v>
      </c>
    </row>
    <row r="2641" spans="1:13" s="188" customFormat="1">
      <c r="A2641" s="185" t="s">
        <v>1447</v>
      </c>
      <c r="B2641" s="133" t="s">
        <v>5977</v>
      </c>
      <c r="C2641" s="185" t="s">
        <v>3023</v>
      </c>
      <c r="D2641" s="133" t="s">
        <v>1767</v>
      </c>
      <c r="E2641" s="134">
        <v>1</v>
      </c>
      <c r="F2641" s="135" t="s">
        <v>1449</v>
      </c>
      <c r="G2641" s="185" t="s">
        <v>15</v>
      </c>
      <c r="H2641" s="185" t="s">
        <v>15</v>
      </c>
      <c r="I2641" s="185" t="s">
        <v>15</v>
      </c>
      <c r="J2641" s="135" t="s">
        <v>1450</v>
      </c>
      <c r="K2641" s="186">
        <v>699720</v>
      </c>
      <c r="L2641" s="187" t="s">
        <v>173</v>
      </c>
      <c r="M2641" s="187" t="s">
        <v>175</v>
      </c>
    </row>
    <row r="2642" spans="1:13" s="188" customFormat="1">
      <c r="A2642" s="185" t="s">
        <v>1447</v>
      </c>
      <c r="B2642" s="133" t="s">
        <v>5978</v>
      </c>
      <c r="C2642" s="185" t="s">
        <v>3023</v>
      </c>
      <c r="D2642" s="133" t="s">
        <v>1768</v>
      </c>
      <c r="E2642" s="134">
        <v>1</v>
      </c>
      <c r="F2642" s="135" t="s">
        <v>1449</v>
      </c>
      <c r="G2642" s="185" t="s">
        <v>15</v>
      </c>
      <c r="H2642" s="185" t="s">
        <v>15</v>
      </c>
      <c r="I2642" s="185" t="s">
        <v>15</v>
      </c>
      <c r="J2642" s="135" t="s">
        <v>1450</v>
      </c>
      <c r="K2642" s="186">
        <v>1221720</v>
      </c>
      <c r="L2642" s="187" t="s">
        <v>173</v>
      </c>
      <c r="M2642" s="187" t="s">
        <v>175</v>
      </c>
    </row>
    <row r="2643" spans="1:13" s="188" customFormat="1">
      <c r="A2643" s="185" t="s">
        <v>1447</v>
      </c>
      <c r="B2643" s="133" t="s">
        <v>5979</v>
      </c>
      <c r="C2643" s="185" t="s">
        <v>3023</v>
      </c>
      <c r="D2643" s="133" t="s">
        <v>1770</v>
      </c>
      <c r="E2643" s="134">
        <v>1</v>
      </c>
      <c r="F2643" s="135" t="s">
        <v>1449</v>
      </c>
      <c r="G2643" s="185" t="s">
        <v>15</v>
      </c>
      <c r="H2643" s="185" t="s">
        <v>15</v>
      </c>
      <c r="I2643" s="185" t="s">
        <v>15</v>
      </c>
      <c r="J2643" s="135" t="s">
        <v>1450</v>
      </c>
      <c r="K2643" s="186">
        <v>52.92</v>
      </c>
      <c r="L2643" s="187" t="s">
        <v>173</v>
      </c>
      <c r="M2643" s="187" t="s">
        <v>175</v>
      </c>
    </row>
    <row r="2644" spans="1:13" s="188" customFormat="1">
      <c r="A2644" s="185" t="s">
        <v>1447</v>
      </c>
      <c r="B2644" s="133" t="s">
        <v>5980</v>
      </c>
      <c r="C2644" s="185" t="s">
        <v>3023</v>
      </c>
      <c r="D2644" s="133" t="s">
        <v>1770</v>
      </c>
      <c r="E2644" s="134">
        <v>1</v>
      </c>
      <c r="F2644" s="135" t="s">
        <v>1449</v>
      </c>
      <c r="G2644" s="185" t="s">
        <v>15</v>
      </c>
      <c r="H2644" s="185" t="s">
        <v>15</v>
      </c>
      <c r="I2644" s="185" t="s">
        <v>15</v>
      </c>
      <c r="J2644" s="135" t="s">
        <v>1450</v>
      </c>
      <c r="K2644" s="186">
        <v>34.200000000000003</v>
      </c>
      <c r="L2644" s="187" t="s">
        <v>173</v>
      </c>
      <c r="M2644" s="187" t="s">
        <v>175</v>
      </c>
    </row>
    <row r="2645" spans="1:13" s="188" customFormat="1">
      <c r="A2645" s="185" t="s">
        <v>1447</v>
      </c>
      <c r="B2645" s="133" t="s">
        <v>5981</v>
      </c>
      <c r="C2645" s="185" t="s">
        <v>3023</v>
      </c>
      <c r="D2645" s="133" t="s">
        <v>1770</v>
      </c>
      <c r="E2645" s="134">
        <v>1</v>
      </c>
      <c r="F2645" s="135" t="s">
        <v>1449</v>
      </c>
      <c r="G2645" s="185" t="s">
        <v>15</v>
      </c>
      <c r="H2645" s="185" t="s">
        <v>15</v>
      </c>
      <c r="I2645" s="185" t="s">
        <v>15</v>
      </c>
      <c r="J2645" s="135" t="s">
        <v>1450</v>
      </c>
      <c r="K2645" s="186">
        <v>27.96</v>
      </c>
      <c r="L2645" s="187" t="s">
        <v>173</v>
      </c>
      <c r="M2645" s="187" t="s">
        <v>175</v>
      </c>
    </row>
    <row r="2646" spans="1:13" s="188" customFormat="1">
      <c r="A2646" s="185" t="s">
        <v>1447</v>
      </c>
      <c r="B2646" s="133" t="s">
        <v>5982</v>
      </c>
      <c r="C2646" s="185" t="s">
        <v>3023</v>
      </c>
      <c r="D2646" s="133" t="s">
        <v>1770</v>
      </c>
      <c r="E2646" s="134">
        <v>1</v>
      </c>
      <c r="F2646" s="135" t="s">
        <v>1449</v>
      </c>
      <c r="G2646" s="185" t="s">
        <v>15</v>
      </c>
      <c r="H2646" s="185" t="s">
        <v>15</v>
      </c>
      <c r="I2646" s="185" t="s">
        <v>15</v>
      </c>
      <c r="J2646" s="135" t="s">
        <v>1450</v>
      </c>
      <c r="K2646" s="186">
        <v>24.96</v>
      </c>
      <c r="L2646" s="187" t="s">
        <v>173</v>
      </c>
      <c r="M2646" s="187" t="s">
        <v>175</v>
      </c>
    </row>
    <row r="2647" spans="1:13" s="188" customFormat="1">
      <c r="A2647" s="185" t="s">
        <v>1447</v>
      </c>
      <c r="B2647" s="133" t="s">
        <v>5983</v>
      </c>
      <c r="C2647" s="185" t="s">
        <v>3023</v>
      </c>
      <c r="D2647" s="133" t="s">
        <v>1770</v>
      </c>
      <c r="E2647" s="134">
        <v>1</v>
      </c>
      <c r="F2647" s="135" t="s">
        <v>1449</v>
      </c>
      <c r="G2647" s="185" t="s">
        <v>15</v>
      </c>
      <c r="H2647" s="185" t="s">
        <v>15</v>
      </c>
      <c r="I2647" s="185" t="s">
        <v>15</v>
      </c>
      <c r="J2647" s="135" t="s">
        <v>1450</v>
      </c>
      <c r="K2647" s="186">
        <v>21.84</v>
      </c>
      <c r="L2647" s="187" t="s">
        <v>173</v>
      </c>
      <c r="M2647" s="187" t="s">
        <v>175</v>
      </c>
    </row>
    <row r="2648" spans="1:13" s="188" customFormat="1">
      <c r="A2648" s="185" t="s">
        <v>1447</v>
      </c>
      <c r="B2648" s="133" t="s">
        <v>5984</v>
      </c>
      <c r="C2648" s="185" t="s">
        <v>3023</v>
      </c>
      <c r="D2648" s="133" t="s">
        <v>1770</v>
      </c>
      <c r="E2648" s="134">
        <v>1</v>
      </c>
      <c r="F2648" s="135" t="s">
        <v>1449</v>
      </c>
      <c r="G2648" s="185" t="s">
        <v>15</v>
      </c>
      <c r="H2648" s="185" t="s">
        <v>15</v>
      </c>
      <c r="I2648" s="185" t="s">
        <v>15</v>
      </c>
      <c r="J2648" s="135" t="s">
        <v>1450</v>
      </c>
      <c r="K2648" s="186">
        <v>19.32</v>
      </c>
      <c r="L2648" s="187" t="s">
        <v>173</v>
      </c>
      <c r="M2648" s="187" t="s">
        <v>175</v>
      </c>
    </row>
    <row r="2649" spans="1:13" s="188" customFormat="1">
      <c r="A2649" s="185" t="s">
        <v>1447</v>
      </c>
      <c r="B2649" s="133" t="s">
        <v>5985</v>
      </c>
      <c r="C2649" s="185" t="s">
        <v>3023</v>
      </c>
      <c r="D2649" s="133" t="s">
        <v>1771</v>
      </c>
      <c r="E2649" s="134">
        <v>1</v>
      </c>
      <c r="F2649" s="135" t="s">
        <v>1449</v>
      </c>
      <c r="G2649" s="185" t="s">
        <v>15</v>
      </c>
      <c r="H2649" s="185" t="s">
        <v>15</v>
      </c>
      <c r="I2649" s="185" t="s">
        <v>15</v>
      </c>
      <c r="J2649" s="135" t="s">
        <v>1450</v>
      </c>
      <c r="K2649" s="186">
        <v>161868</v>
      </c>
      <c r="L2649" s="187" t="s">
        <v>173</v>
      </c>
      <c r="M2649" s="187" t="s">
        <v>175</v>
      </c>
    </row>
    <row r="2650" spans="1:13" s="188" customFormat="1">
      <c r="A2650" s="185" t="s">
        <v>1447</v>
      </c>
      <c r="B2650" s="133" t="s">
        <v>5986</v>
      </c>
      <c r="C2650" s="185" t="s">
        <v>3023</v>
      </c>
      <c r="D2650" s="133" t="s">
        <v>1772</v>
      </c>
      <c r="E2650" s="134">
        <v>1</v>
      </c>
      <c r="F2650" s="135" t="s">
        <v>1449</v>
      </c>
      <c r="G2650" s="185" t="s">
        <v>15</v>
      </c>
      <c r="H2650" s="185" t="s">
        <v>15</v>
      </c>
      <c r="I2650" s="185" t="s">
        <v>15</v>
      </c>
      <c r="J2650" s="135" t="s">
        <v>1450</v>
      </c>
      <c r="K2650" s="186">
        <v>161868</v>
      </c>
      <c r="L2650" s="187" t="s">
        <v>173</v>
      </c>
      <c r="M2650" s="187" t="s">
        <v>175</v>
      </c>
    </row>
    <row r="2651" spans="1:13" s="188" customFormat="1">
      <c r="A2651" s="185" t="s">
        <v>1447</v>
      </c>
      <c r="B2651" s="133" t="s">
        <v>5987</v>
      </c>
      <c r="C2651" s="185" t="s">
        <v>3023</v>
      </c>
      <c r="D2651" s="133" t="s">
        <v>1773</v>
      </c>
      <c r="E2651" s="134">
        <v>1</v>
      </c>
      <c r="F2651" s="135" t="s">
        <v>1449</v>
      </c>
      <c r="G2651" s="185" t="s">
        <v>15</v>
      </c>
      <c r="H2651" s="185" t="s">
        <v>15</v>
      </c>
      <c r="I2651" s="185" t="s">
        <v>15</v>
      </c>
      <c r="J2651" s="135" t="s">
        <v>1450</v>
      </c>
      <c r="K2651" s="186">
        <v>996</v>
      </c>
      <c r="L2651" s="187" t="s">
        <v>173</v>
      </c>
      <c r="M2651" s="187" t="s">
        <v>175</v>
      </c>
    </row>
    <row r="2652" spans="1:13" s="188" customFormat="1">
      <c r="A2652" s="185" t="s">
        <v>1447</v>
      </c>
      <c r="B2652" s="133" t="s">
        <v>5988</v>
      </c>
      <c r="C2652" s="185" t="s">
        <v>3023</v>
      </c>
      <c r="D2652" s="133" t="s">
        <v>1773</v>
      </c>
      <c r="E2652" s="134">
        <v>1</v>
      </c>
      <c r="F2652" s="135" t="s">
        <v>1449</v>
      </c>
      <c r="G2652" s="185" t="s">
        <v>15</v>
      </c>
      <c r="H2652" s="185" t="s">
        <v>15</v>
      </c>
      <c r="I2652" s="185" t="s">
        <v>15</v>
      </c>
      <c r="J2652" s="135" t="s">
        <v>1450</v>
      </c>
      <c r="K2652" s="186">
        <v>936</v>
      </c>
      <c r="L2652" s="187" t="s">
        <v>173</v>
      </c>
      <c r="M2652" s="187" t="s">
        <v>175</v>
      </c>
    </row>
    <row r="2653" spans="1:13" s="188" customFormat="1">
      <c r="A2653" s="185" t="s">
        <v>1447</v>
      </c>
      <c r="B2653" s="133" t="s">
        <v>5989</v>
      </c>
      <c r="C2653" s="185" t="s">
        <v>3023</v>
      </c>
      <c r="D2653" s="133" t="s">
        <v>1773</v>
      </c>
      <c r="E2653" s="134">
        <v>1</v>
      </c>
      <c r="F2653" s="135" t="s">
        <v>1449</v>
      </c>
      <c r="G2653" s="185" t="s">
        <v>15</v>
      </c>
      <c r="H2653" s="185" t="s">
        <v>15</v>
      </c>
      <c r="I2653" s="185" t="s">
        <v>15</v>
      </c>
      <c r="J2653" s="135" t="s">
        <v>1450</v>
      </c>
      <c r="K2653" s="186">
        <v>876</v>
      </c>
      <c r="L2653" s="187" t="s">
        <v>173</v>
      </c>
      <c r="M2653" s="187" t="s">
        <v>175</v>
      </c>
    </row>
    <row r="2654" spans="1:13" s="188" customFormat="1">
      <c r="A2654" s="185" t="s">
        <v>1447</v>
      </c>
      <c r="B2654" s="133" t="s">
        <v>5990</v>
      </c>
      <c r="C2654" s="185" t="s">
        <v>3023</v>
      </c>
      <c r="D2654" s="133" t="s">
        <v>1773</v>
      </c>
      <c r="E2654" s="134">
        <v>1</v>
      </c>
      <c r="F2654" s="135" t="s">
        <v>1449</v>
      </c>
      <c r="G2654" s="185" t="s">
        <v>15</v>
      </c>
      <c r="H2654" s="185" t="s">
        <v>15</v>
      </c>
      <c r="I2654" s="185" t="s">
        <v>15</v>
      </c>
      <c r="J2654" s="135" t="s">
        <v>1450</v>
      </c>
      <c r="K2654" s="186">
        <v>804</v>
      </c>
      <c r="L2654" s="187" t="s">
        <v>173</v>
      </c>
      <c r="M2654" s="187" t="s">
        <v>175</v>
      </c>
    </row>
    <row r="2655" spans="1:13" s="188" customFormat="1">
      <c r="A2655" s="185" t="s">
        <v>1447</v>
      </c>
      <c r="B2655" s="133" t="s">
        <v>5991</v>
      </c>
      <c r="C2655" s="185" t="s">
        <v>3023</v>
      </c>
      <c r="D2655" s="133" t="s">
        <v>1773</v>
      </c>
      <c r="E2655" s="134">
        <v>1</v>
      </c>
      <c r="F2655" s="135" t="s">
        <v>1449</v>
      </c>
      <c r="G2655" s="185" t="s">
        <v>15</v>
      </c>
      <c r="H2655" s="185" t="s">
        <v>15</v>
      </c>
      <c r="I2655" s="185" t="s">
        <v>15</v>
      </c>
      <c r="J2655" s="135" t="s">
        <v>1450</v>
      </c>
      <c r="K2655" s="186">
        <v>684</v>
      </c>
      <c r="L2655" s="187" t="s">
        <v>173</v>
      </c>
      <c r="M2655" s="187" t="s">
        <v>175</v>
      </c>
    </row>
    <row r="2656" spans="1:13" s="188" customFormat="1">
      <c r="A2656" s="185" t="s">
        <v>1447</v>
      </c>
      <c r="B2656" s="133" t="s">
        <v>5992</v>
      </c>
      <c r="C2656" s="185" t="s">
        <v>3023</v>
      </c>
      <c r="D2656" s="133" t="s">
        <v>1773</v>
      </c>
      <c r="E2656" s="134">
        <v>1</v>
      </c>
      <c r="F2656" s="135" t="s">
        <v>1449</v>
      </c>
      <c r="G2656" s="185" t="s">
        <v>15</v>
      </c>
      <c r="H2656" s="185" t="s">
        <v>15</v>
      </c>
      <c r="I2656" s="185" t="s">
        <v>15</v>
      </c>
      <c r="J2656" s="135" t="s">
        <v>1450</v>
      </c>
      <c r="K2656" s="186">
        <v>624</v>
      </c>
      <c r="L2656" s="187" t="s">
        <v>173</v>
      </c>
      <c r="M2656" s="187" t="s">
        <v>175</v>
      </c>
    </row>
    <row r="2657" spans="1:13" s="188" customFormat="1">
      <c r="A2657" s="185" t="s">
        <v>1447</v>
      </c>
      <c r="B2657" s="133" t="s">
        <v>5993</v>
      </c>
      <c r="C2657" s="185" t="s">
        <v>3023</v>
      </c>
      <c r="D2657" s="133" t="s">
        <v>5994</v>
      </c>
      <c r="E2657" s="134">
        <v>1</v>
      </c>
      <c r="F2657" s="135" t="s">
        <v>1449</v>
      </c>
      <c r="G2657" s="185" t="s">
        <v>15</v>
      </c>
      <c r="H2657" s="185" t="s">
        <v>15</v>
      </c>
      <c r="I2657" s="185" t="s">
        <v>15</v>
      </c>
      <c r="J2657" s="135" t="s">
        <v>1450</v>
      </c>
      <c r="K2657" s="186">
        <v>155640</v>
      </c>
      <c r="L2657" s="187" t="s">
        <v>173</v>
      </c>
      <c r="M2657" s="187" t="s">
        <v>175</v>
      </c>
    </row>
    <row r="2658" spans="1:13" s="188" customFormat="1">
      <c r="A2658" s="185" t="s">
        <v>1447</v>
      </c>
      <c r="B2658" s="133" t="s">
        <v>5995</v>
      </c>
      <c r="C2658" s="185" t="s">
        <v>3023</v>
      </c>
      <c r="D2658" s="133" t="s">
        <v>5994</v>
      </c>
      <c r="E2658" s="134">
        <v>1</v>
      </c>
      <c r="F2658" s="135" t="s">
        <v>1449</v>
      </c>
      <c r="G2658" s="185" t="s">
        <v>15</v>
      </c>
      <c r="H2658" s="185" t="s">
        <v>15</v>
      </c>
      <c r="I2658" s="185" t="s">
        <v>15</v>
      </c>
      <c r="J2658" s="135" t="s">
        <v>1450</v>
      </c>
      <c r="K2658" s="186">
        <v>129492</v>
      </c>
      <c r="L2658" s="187" t="s">
        <v>173</v>
      </c>
      <c r="M2658" s="187" t="s">
        <v>175</v>
      </c>
    </row>
    <row r="2659" spans="1:13" s="188" customFormat="1">
      <c r="A2659" s="185" t="s">
        <v>1447</v>
      </c>
      <c r="B2659" s="133" t="s">
        <v>5996</v>
      </c>
      <c r="C2659" s="185" t="s">
        <v>3023</v>
      </c>
      <c r="D2659" s="133" t="s">
        <v>5994</v>
      </c>
      <c r="E2659" s="134">
        <v>1</v>
      </c>
      <c r="F2659" s="135" t="s">
        <v>1449</v>
      </c>
      <c r="G2659" s="185" t="s">
        <v>15</v>
      </c>
      <c r="H2659" s="185" t="s">
        <v>15</v>
      </c>
      <c r="I2659" s="185" t="s">
        <v>15</v>
      </c>
      <c r="J2659" s="135" t="s">
        <v>1450</v>
      </c>
      <c r="K2659" s="186">
        <v>104592</v>
      </c>
      <c r="L2659" s="187" t="s">
        <v>173</v>
      </c>
      <c r="M2659" s="187" t="s">
        <v>175</v>
      </c>
    </row>
    <row r="2660" spans="1:13" s="188" customFormat="1">
      <c r="A2660" s="185" t="s">
        <v>1447</v>
      </c>
      <c r="B2660" s="133" t="s">
        <v>5997</v>
      </c>
      <c r="C2660" s="185" t="s">
        <v>3023</v>
      </c>
      <c r="D2660" s="133" t="s">
        <v>5994</v>
      </c>
      <c r="E2660" s="134">
        <v>1</v>
      </c>
      <c r="F2660" s="135" t="s">
        <v>1449</v>
      </c>
      <c r="G2660" s="185" t="s">
        <v>15</v>
      </c>
      <c r="H2660" s="185" t="s">
        <v>15</v>
      </c>
      <c r="I2660" s="185" t="s">
        <v>15</v>
      </c>
      <c r="J2660" s="135" t="s">
        <v>1450</v>
      </c>
      <c r="K2660" s="186">
        <v>89652</v>
      </c>
      <c r="L2660" s="187" t="s">
        <v>173</v>
      </c>
      <c r="M2660" s="187" t="s">
        <v>175</v>
      </c>
    </row>
    <row r="2661" spans="1:13" s="188" customFormat="1">
      <c r="A2661" s="185" t="s">
        <v>1447</v>
      </c>
      <c r="B2661" s="133" t="s">
        <v>5998</v>
      </c>
      <c r="C2661" s="185" t="s">
        <v>3023</v>
      </c>
      <c r="D2661" s="133" t="s">
        <v>5994</v>
      </c>
      <c r="E2661" s="134">
        <v>1</v>
      </c>
      <c r="F2661" s="135" t="s">
        <v>1449</v>
      </c>
      <c r="G2661" s="185" t="s">
        <v>15</v>
      </c>
      <c r="H2661" s="185" t="s">
        <v>15</v>
      </c>
      <c r="I2661" s="185" t="s">
        <v>15</v>
      </c>
      <c r="J2661" s="135" t="s">
        <v>1450</v>
      </c>
      <c r="K2661" s="186">
        <v>80928</v>
      </c>
      <c r="L2661" s="187" t="s">
        <v>173</v>
      </c>
      <c r="M2661" s="187" t="s">
        <v>175</v>
      </c>
    </row>
    <row r="2662" spans="1:13" s="188" customFormat="1">
      <c r="A2662" s="185" t="s">
        <v>1447</v>
      </c>
      <c r="B2662" s="133" t="s">
        <v>5999</v>
      </c>
      <c r="C2662" s="185" t="s">
        <v>3023</v>
      </c>
      <c r="D2662" s="133" t="s">
        <v>6000</v>
      </c>
      <c r="E2662" s="134">
        <v>1</v>
      </c>
      <c r="F2662" s="135" t="s">
        <v>1449</v>
      </c>
      <c r="G2662" s="185" t="s">
        <v>15</v>
      </c>
      <c r="H2662" s="185" t="s">
        <v>15</v>
      </c>
      <c r="I2662" s="185" t="s">
        <v>15</v>
      </c>
      <c r="J2662" s="135" t="s">
        <v>1450</v>
      </c>
      <c r="K2662" s="186">
        <v>28020</v>
      </c>
      <c r="L2662" s="187" t="s">
        <v>173</v>
      </c>
      <c r="M2662" s="187" t="s">
        <v>175</v>
      </c>
    </row>
    <row r="2663" spans="1:13" s="188" customFormat="1">
      <c r="A2663" s="185" t="s">
        <v>1447</v>
      </c>
      <c r="B2663" s="133" t="s">
        <v>6001</v>
      </c>
      <c r="C2663" s="185" t="s">
        <v>3023</v>
      </c>
      <c r="D2663" s="133" t="s">
        <v>6000</v>
      </c>
      <c r="E2663" s="134">
        <v>1</v>
      </c>
      <c r="F2663" s="135" t="s">
        <v>1449</v>
      </c>
      <c r="G2663" s="185" t="s">
        <v>15</v>
      </c>
      <c r="H2663" s="185" t="s">
        <v>15</v>
      </c>
      <c r="I2663" s="185" t="s">
        <v>15</v>
      </c>
      <c r="J2663" s="135" t="s">
        <v>1450</v>
      </c>
      <c r="K2663" s="186">
        <v>18060</v>
      </c>
      <c r="L2663" s="187" t="s">
        <v>173</v>
      </c>
      <c r="M2663" s="187" t="s">
        <v>175</v>
      </c>
    </row>
    <row r="2664" spans="1:13" s="188" customFormat="1">
      <c r="A2664" s="185" t="s">
        <v>1447</v>
      </c>
      <c r="B2664" s="133" t="s">
        <v>6002</v>
      </c>
      <c r="C2664" s="185" t="s">
        <v>3023</v>
      </c>
      <c r="D2664" s="133" t="s">
        <v>6000</v>
      </c>
      <c r="E2664" s="134">
        <v>1</v>
      </c>
      <c r="F2664" s="135" t="s">
        <v>1449</v>
      </c>
      <c r="G2664" s="185" t="s">
        <v>15</v>
      </c>
      <c r="H2664" s="185" t="s">
        <v>15</v>
      </c>
      <c r="I2664" s="185" t="s">
        <v>15</v>
      </c>
      <c r="J2664" s="135" t="s">
        <v>1450</v>
      </c>
      <c r="K2664" s="186">
        <v>13260</v>
      </c>
      <c r="L2664" s="187" t="s">
        <v>173</v>
      </c>
      <c r="M2664" s="187" t="s">
        <v>175</v>
      </c>
    </row>
    <row r="2665" spans="1:13" s="188" customFormat="1">
      <c r="A2665" s="185" t="s">
        <v>1447</v>
      </c>
      <c r="B2665" s="133" t="s">
        <v>6003</v>
      </c>
      <c r="C2665" s="185" t="s">
        <v>3023</v>
      </c>
      <c r="D2665" s="133" t="s">
        <v>6000</v>
      </c>
      <c r="E2665" s="134">
        <v>1</v>
      </c>
      <c r="F2665" s="135" t="s">
        <v>1449</v>
      </c>
      <c r="G2665" s="185" t="s">
        <v>15</v>
      </c>
      <c r="H2665" s="185" t="s">
        <v>15</v>
      </c>
      <c r="I2665" s="185" t="s">
        <v>15</v>
      </c>
      <c r="J2665" s="135" t="s">
        <v>1450</v>
      </c>
      <c r="K2665" s="186">
        <v>9336</v>
      </c>
      <c r="L2665" s="187" t="s">
        <v>173</v>
      </c>
      <c r="M2665" s="187" t="s">
        <v>175</v>
      </c>
    </row>
    <row r="2666" spans="1:13" s="188" customFormat="1">
      <c r="A2666" s="185" t="s">
        <v>1447</v>
      </c>
      <c r="B2666" s="133" t="s">
        <v>6004</v>
      </c>
      <c r="C2666" s="185" t="s">
        <v>3023</v>
      </c>
      <c r="D2666" s="133" t="s">
        <v>6000</v>
      </c>
      <c r="E2666" s="134">
        <v>1</v>
      </c>
      <c r="F2666" s="135" t="s">
        <v>1449</v>
      </c>
      <c r="G2666" s="185" t="s">
        <v>15</v>
      </c>
      <c r="H2666" s="185" t="s">
        <v>15</v>
      </c>
      <c r="I2666" s="185" t="s">
        <v>15</v>
      </c>
      <c r="J2666" s="135" t="s">
        <v>1450</v>
      </c>
      <c r="K2666" s="186">
        <v>6720</v>
      </c>
      <c r="L2666" s="187" t="s">
        <v>173</v>
      </c>
      <c r="M2666" s="187" t="s">
        <v>175</v>
      </c>
    </row>
    <row r="2667" spans="1:13" s="188" customFormat="1">
      <c r="A2667" s="185" t="s">
        <v>1447</v>
      </c>
      <c r="B2667" s="133" t="s">
        <v>6005</v>
      </c>
      <c r="C2667" s="185" t="s">
        <v>3023</v>
      </c>
      <c r="D2667" s="133" t="s">
        <v>1774</v>
      </c>
      <c r="E2667" s="134">
        <v>1</v>
      </c>
      <c r="F2667" s="135" t="s">
        <v>1449</v>
      </c>
      <c r="G2667" s="185" t="s">
        <v>15</v>
      </c>
      <c r="H2667" s="185" t="s">
        <v>15</v>
      </c>
      <c r="I2667" s="185" t="s">
        <v>15</v>
      </c>
      <c r="J2667" s="135" t="s">
        <v>1450</v>
      </c>
      <c r="K2667" s="186">
        <v>13764</v>
      </c>
      <c r="L2667" s="187" t="s">
        <v>173</v>
      </c>
      <c r="M2667" s="187" t="s">
        <v>175</v>
      </c>
    </row>
    <row r="2668" spans="1:13" s="188" customFormat="1">
      <c r="A2668" s="185" t="s">
        <v>1447</v>
      </c>
      <c r="B2668" s="133" t="s">
        <v>6006</v>
      </c>
      <c r="C2668" s="185" t="s">
        <v>3023</v>
      </c>
      <c r="D2668" s="133" t="s">
        <v>1774</v>
      </c>
      <c r="E2668" s="134">
        <v>1</v>
      </c>
      <c r="F2668" s="135" t="s">
        <v>1449</v>
      </c>
      <c r="G2668" s="185" t="s">
        <v>15</v>
      </c>
      <c r="H2668" s="185" t="s">
        <v>15</v>
      </c>
      <c r="I2668" s="185" t="s">
        <v>15</v>
      </c>
      <c r="J2668" s="135" t="s">
        <v>1450</v>
      </c>
      <c r="K2668" s="186">
        <v>10464</v>
      </c>
      <c r="L2668" s="187" t="s">
        <v>173</v>
      </c>
      <c r="M2668" s="187" t="s">
        <v>175</v>
      </c>
    </row>
    <row r="2669" spans="1:13" s="188" customFormat="1">
      <c r="A2669" s="185" t="s">
        <v>1447</v>
      </c>
      <c r="B2669" s="133" t="s">
        <v>6007</v>
      </c>
      <c r="C2669" s="185" t="s">
        <v>3023</v>
      </c>
      <c r="D2669" s="133" t="s">
        <v>1774</v>
      </c>
      <c r="E2669" s="134">
        <v>1</v>
      </c>
      <c r="F2669" s="135" t="s">
        <v>1449</v>
      </c>
      <c r="G2669" s="185" t="s">
        <v>15</v>
      </c>
      <c r="H2669" s="185" t="s">
        <v>15</v>
      </c>
      <c r="I2669" s="185" t="s">
        <v>15</v>
      </c>
      <c r="J2669" s="135" t="s">
        <v>1450</v>
      </c>
      <c r="K2669" s="186">
        <v>8472</v>
      </c>
      <c r="L2669" s="187" t="s">
        <v>173</v>
      </c>
      <c r="M2669" s="187" t="s">
        <v>175</v>
      </c>
    </row>
    <row r="2670" spans="1:13" s="188" customFormat="1">
      <c r="A2670" s="185" t="s">
        <v>1447</v>
      </c>
      <c r="B2670" s="133" t="s">
        <v>6008</v>
      </c>
      <c r="C2670" s="185" t="s">
        <v>3023</v>
      </c>
      <c r="D2670" s="133" t="s">
        <v>1774</v>
      </c>
      <c r="E2670" s="134">
        <v>1</v>
      </c>
      <c r="F2670" s="135" t="s">
        <v>1449</v>
      </c>
      <c r="G2670" s="185" t="s">
        <v>15</v>
      </c>
      <c r="H2670" s="185" t="s">
        <v>15</v>
      </c>
      <c r="I2670" s="185" t="s">
        <v>15</v>
      </c>
      <c r="J2670" s="135" t="s">
        <v>1450</v>
      </c>
      <c r="K2670" s="186">
        <v>6600</v>
      </c>
      <c r="L2670" s="187" t="s">
        <v>173</v>
      </c>
      <c r="M2670" s="187" t="s">
        <v>175</v>
      </c>
    </row>
    <row r="2671" spans="1:13" s="188" customFormat="1">
      <c r="A2671" s="185" t="s">
        <v>1447</v>
      </c>
      <c r="B2671" s="133" t="s">
        <v>6009</v>
      </c>
      <c r="C2671" s="185" t="s">
        <v>3023</v>
      </c>
      <c r="D2671" s="133" t="s">
        <v>1774</v>
      </c>
      <c r="E2671" s="134">
        <v>1</v>
      </c>
      <c r="F2671" s="135" t="s">
        <v>1449</v>
      </c>
      <c r="G2671" s="185" t="s">
        <v>15</v>
      </c>
      <c r="H2671" s="185" t="s">
        <v>15</v>
      </c>
      <c r="I2671" s="185" t="s">
        <v>15</v>
      </c>
      <c r="J2671" s="135" t="s">
        <v>1450</v>
      </c>
      <c r="K2671" s="186">
        <v>5352</v>
      </c>
      <c r="L2671" s="187" t="s">
        <v>173</v>
      </c>
      <c r="M2671" s="187" t="s">
        <v>175</v>
      </c>
    </row>
    <row r="2672" spans="1:13" s="188" customFormat="1">
      <c r="A2672" s="185" t="s">
        <v>1447</v>
      </c>
      <c r="B2672" s="133" t="s">
        <v>6010</v>
      </c>
      <c r="C2672" s="185" t="s">
        <v>3023</v>
      </c>
      <c r="D2672" s="133" t="s">
        <v>1774</v>
      </c>
      <c r="E2672" s="134">
        <v>1</v>
      </c>
      <c r="F2672" s="135" t="s">
        <v>1449</v>
      </c>
      <c r="G2672" s="185" t="s">
        <v>15</v>
      </c>
      <c r="H2672" s="185" t="s">
        <v>15</v>
      </c>
      <c r="I2672" s="185" t="s">
        <v>15</v>
      </c>
      <c r="J2672" s="135" t="s">
        <v>1450</v>
      </c>
      <c r="K2672" s="186">
        <v>4104</v>
      </c>
      <c r="L2672" s="187" t="s">
        <v>173</v>
      </c>
      <c r="M2672" s="187" t="s">
        <v>175</v>
      </c>
    </row>
    <row r="2673" spans="1:13" s="188" customFormat="1">
      <c r="A2673" s="185" t="s">
        <v>1447</v>
      </c>
      <c r="B2673" s="133" t="s">
        <v>6011</v>
      </c>
      <c r="C2673" s="185" t="s">
        <v>3023</v>
      </c>
      <c r="D2673" s="133" t="s">
        <v>6012</v>
      </c>
      <c r="E2673" s="134">
        <v>1</v>
      </c>
      <c r="F2673" s="135" t="s">
        <v>1449</v>
      </c>
      <c r="G2673" s="185" t="s">
        <v>15</v>
      </c>
      <c r="H2673" s="185" t="s">
        <v>15</v>
      </c>
      <c r="I2673" s="185" t="s">
        <v>15</v>
      </c>
      <c r="J2673" s="135" t="s">
        <v>1450</v>
      </c>
      <c r="K2673" s="186">
        <v>747072</v>
      </c>
      <c r="L2673" s="187" t="s">
        <v>173</v>
      </c>
      <c r="M2673" s="187" t="s">
        <v>175</v>
      </c>
    </row>
    <row r="2674" spans="1:13" s="188" customFormat="1">
      <c r="A2674" s="185" t="s">
        <v>1447</v>
      </c>
      <c r="B2674" s="133" t="s">
        <v>6013</v>
      </c>
      <c r="C2674" s="185" t="s">
        <v>3023</v>
      </c>
      <c r="D2674" s="133" t="s">
        <v>6014</v>
      </c>
      <c r="E2674" s="134">
        <v>1</v>
      </c>
      <c r="F2674" s="135" t="s">
        <v>1449</v>
      </c>
      <c r="G2674" s="185" t="s">
        <v>15</v>
      </c>
      <c r="H2674" s="185" t="s">
        <v>15</v>
      </c>
      <c r="I2674" s="185" t="s">
        <v>15</v>
      </c>
      <c r="J2674" s="135" t="s">
        <v>1450</v>
      </c>
      <c r="K2674" s="186">
        <v>2184</v>
      </c>
      <c r="L2674" s="187" t="s">
        <v>173</v>
      </c>
      <c r="M2674" s="187" t="s">
        <v>175</v>
      </c>
    </row>
    <row r="2675" spans="1:13" s="188" customFormat="1">
      <c r="A2675" s="185" t="s">
        <v>1447</v>
      </c>
      <c r="B2675" s="133" t="s">
        <v>6015</v>
      </c>
      <c r="C2675" s="185" t="s">
        <v>3023</v>
      </c>
      <c r="D2675" s="133" t="s">
        <v>6014</v>
      </c>
      <c r="E2675" s="134">
        <v>1</v>
      </c>
      <c r="F2675" s="135" t="s">
        <v>1449</v>
      </c>
      <c r="G2675" s="185" t="s">
        <v>15</v>
      </c>
      <c r="H2675" s="185" t="s">
        <v>15</v>
      </c>
      <c r="I2675" s="185" t="s">
        <v>15</v>
      </c>
      <c r="J2675" s="135" t="s">
        <v>1450</v>
      </c>
      <c r="K2675" s="186">
        <v>1800</v>
      </c>
      <c r="L2675" s="187" t="s">
        <v>173</v>
      </c>
      <c r="M2675" s="187" t="s">
        <v>175</v>
      </c>
    </row>
    <row r="2676" spans="1:13" s="188" customFormat="1">
      <c r="A2676" s="185" t="s">
        <v>1447</v>
      </c>
      <c r="B2676" s="133" t="s">
        <v>6016</v>
      </c>
      <c r="C2676" s="185" t="s">
        <v>3023</v>
      </c>
      <c r="D2676" s="133" t="s">
        <v>6014</v>
      </c>
      <c r="E2676" s="134">
        <v>1</v>
      </c>
      <c r="F2676" s="135" t="s">
        <v>1449</v>
      </c>
      <c r="G2676" s="185" t="s">
        <v>15</v>
      </c>
      <c r="H2676" s="185" t="s">
        <v>15</v>
      </c>
      <c r="I2676" s="185" t="s">
        <v>15</v>
      </c>
      <c r="J2676" s="135" t="s">
        <v>1450</v>
      </c>
      <c r="K2676" s="186">
        <v>1560</v>
      </c>
      <c r="L2676" s="187" t="s">
        <v>173</v>
      </c>
      <c r="M2676" s="187" t="s">
        <v>175</v>
      </c>
    </row>
    <row r="2677" spans="1:13" s="188" customFormat="1">
      <c r="A2677" s="185" t="s">
        <v>1447</v>
      </c>
      <c r="B2677" s="133" t="s">
        <v>6017</v>
      </c>
      <c r="C2677" s="185" t="s">
        <v>3023</v>
      </c>
      <c r="D2677" s="133" t="s">
        <v>6014</v>
      </c>
      <c r="E2677" s="134">
        <v>1</v>
      </c>
      <c r="F2677" s="135" t="s">
        <v>1449</v>
      </c>
      <c r="G2677" s="185" t="s">
        <v>15</v>
      </c>
      <c r="H2677" s="185" t="s">
        <v>15</v>
      </c>
      <c r="I2677" s="185" t="s">
        <v>15</v>
      </c>
      <c r="J2677" s="135" t="s">
        <v>1450</v>
      </c>
      <c r="K2677" s="186">
        <v>1368</v>
      </c>
      <c r="L2677" s="187" t="s">
        <v>173</v>
      </c>
      <c r="M2677" s="187" t="s">
        <v>175</v>
      </c>
    </row>
    <row r="2678" spans="1:13" s="188" customFormat="1">
      <c r="A2678" s="185" t="s">
        <v>1447</v>
      </c>
      <c r="B2678" s="133" t="s">
        <v>6018</v>
      </c>
      <c r="C2678" s="185" t="s">
        <v>3023</v>
      </c>
      <c r="D2678" s="133" t="s">
        <v>6014</v>
      </c>
      <c r="E2678" s="134">
        <v>1</v>
      </c>
      <c r="F2678" s="135" t="s">
        <v>1449</v>
      </c>
      <c r="G2678" s="185" t="s">
        <v>15</v>
      </c>
      <c r="H2678" s="185" t="s">
        <v>15</v>
      </c>
      <c r="I2678" s="185" t="s">
        <v>15</v>
      </c>
      <c r="J2678" s="135" t="s">
        <v>1450</v>
      </c>
      <c r="K2678" s="186">
        <v>1224</v>
      </c>
      <c r="L2678" s="187" t="s">
        <v>173</v>
      </c>
      <c r="M2678" s="187" t="s">
        <v>175</v>
      </c>
    </row>
    <row r="2679" spans="1:13" s="188" customFormat="1">
      <c r="A2679" s="185" t="s">
        <v>1447</v>
      </c>
      <c r="B2679" s="133" t="s">
        <v>6019</v>
      </c>
      <c r="C2679" s="185" t="s">
        <v>3023</v>
      </c>
      <c r="D2679" s="133" t="s">
        <v>6014</v>
      </c>
      <c r="E2679" s="134">
        <v>1</v>
      </c>
      <c r="F2679" s="135" t="s">
        <v>1449</v>
      </c>
      <c r="G2679" s="185" t="s">
        <v>15</v>
      </c>
      <c r="H2679" s="185" t="s">
        <v>15</v>
      </c>
      <c r="I2679" s="185" t="s">
        <v>15</v>
      </c>
      <c r="J2679" s="135" t="s">
        <v>1450</v>
      </c>
      <c r="K2679" s="186">
        <v>1092</v>
      </c>
      <c r="L2679" s="187" t="s">
        <v>173</v>
      </c>
      <c r="M2679" s="187" t="s">
        <v>175</v>
      </c>
    </row>
    <row r="2680" spans="1:13" s="188" customFormat="1">
      <c r="A2680" s="185" t="s">
        <v>1447</v>
      </c>
      <c r="B2680" s="133" t="s">
        <v>6020</v>
      </c>
      <c r="C2680" s="185" t="s">
        <v>3023</v>
      </c>
      <c r="D2680" s="133" t="s">
        <v>1769</v>
      </c>
      <c r="E2680" s="134">
        <v>1</v>
      </c>
      <c r="F2680" s="135" t="s">
        <v>1449</v>
      </c>
      <c r="G2680" s="185" t="s">
        <v>15</v>
      </c>
      <c r="H2680" s="185" t="s">
        <v>15</v>
      </c>
      <c r="I2680" s="185" t="s">
        <v>15</v>
      </c>
      <c r="J2680" s="135" t="s">
        <v>1450</v>
      </c>
      <c r="K2680" s="186">
        <v>36108</v>
      </c>
      <c r="L2680" s="187" t="s">
        <v>173</v>
      </c>
      <c r="M2680" s="187" t="s">
        <v>175</v>
      </c>
    </row>
    <row r="2681" spans="1:13" s="188" customFormat="1">
      <c r="A2681" s="185" t="s">
        <v>1447</v>
      </c>
      <c r="B2681" s="133" t="s">
        <v>6021</v>
      </c>
      <c r="C2681" s="185" t="s">
        <v>3023</v>
      </c>
      <c r="D2681" s="133" t="s">
        <v>1769</v>
      </c>
      <c r="E2681" s="134">
        <v>1</v>
      </c>
      <c r="F2681" s="135" t="s">
        <v>1449</v>
      </c>
      <c r="G2681" s="185" t="s">
        <v>15</v>
      </c>
      <c r="H2681" s="185" t="s">
        <v>15</v>
      </c>
      <c r="I2681" s="185" t="s">
        <v>15</v>
      </c>
      <c r="J2681" s="135" t="s">
        <v>1450</v>
      </c>
      <c r="K2681" s="186">
        <v>19296</v>
      </c>
      <c r="L2681" s="187" t="s">
        <v>173</v>
      </c>
      <c r="M2681" s="187" t="s">
        <v>175</v>
      </c>
    </row>
    <row r="2682" spans="1:13" s="188" customFormat="1">
      <c r="A2682" s="185" t="s">
        <v>1447</v>
      </c>
      <c r="B2682" s="133" t="s">
        <v>6022</v>
      </c>
      <c r="C2682" s="185" t="s">
        <v>3023</v>
      </c>
      <c r="D2682" s="133" t="s">
        <v>1769</v>
      </c>
      <c r="E2682" s="134">
        <v>1</v>
      </c>
      <c r="F2682" s="135" t="s">
        <v>1449</v>
      </c>
      <c r="G2682" s="185" t="s">
        <v>15</v>
      </c>
      <c r="H2682" s="185" t="s">
        <v>15</v>
      </c>
      <c r="I2682" s="185" t="s">
        <v>15</v>
      </c>
      <c r="J2682" s="135" t="s">
        <v>1450</v>
      </c>
      <c r="K2682" s="186">
        <v>13692</v>
      </c>
      <c r="L2682" s="187" t="s">
        <v>173</v>
      </c>
      <c r="M2682" s="187" t="s">
        <v>175</v>
      </c>
    </row>
    <row r="2683" spans="1:13" s="188" customFormat="1">
      <c r="A2683" s="185" t="s">
        <v>1447</v>
      </c>
      <c r="B2683" s="133" t="s">
        <v>6023</v>
      </c>
      <c r="C2683" s="185" t="s">
        <v>3023</v>
      </c>
      <c r="D2683" s="133" t="s">
        <v>1769</v>
      </c>
      <c r="E2683" s="134">
        <v>1</v>
      </c>
      <c r="F2683" s="135" t="s">
        <v>1449</v>
      </c>
      <c r="G2683" s="185" t="s">
        <v>15</v>
      </c>
      <c r="H2683" s="185" t="s">
        <v>15</v>
      </c>
      <c r="I2683" s="185" t="s">
        <v>15</v>
      </c>
      <c r="J2683" s="135" t="s">
        <v>1450</v>
      </c>
      <c r="K2683" s="186">
        <v>9588</v>
      </c>
      <c r="L2683" s="187" t="s">
        <v>173</v>
      </c>
      <c r="M2683" s="187" t="s">
        <v>175</v>
      </c>
    </row>
    <row r="2684" spans="1:13" s="188" customFormat="1">
      <c r="A2684" s="185" t="s">
        <v>1447</v>
      </c>
      <c r="B2684" s="133" t="s">
        <v>6024</v>
      </c>
      <c r="C2684" s="185" t="s">
        <v>3023</v>
      </c>
      <c r="D2684" s="133" t="s">
        <v>1769</v>
      </c>
      <c r="E2684" s="134">
        <v>1</v>
      </c>
      <c r="F2684" s="135" t="s">
        <v>1449</v>
      </c>
      <c r="G2684" s="185" t="s">
        <v>15</v>
      </c>
      <c r="H2684" s="185" t="s">
        <v>15</v>
      </c>
      <c r="I2684" s="185" t="s">
        <v>15</v>
      </c>
      <c r="J2684" s="135" t="s">
        <v>1450</v>
      </c>
      <c r="K2684" s="186">
        <v>6600</v>
      </c>
      <c r="L2684" s="187" t="s">
        <v>173</v>
      </c>
      <c r="M2684" s="187" t="s">
        <v>175</v>
      </c>
    </row>
    <row r="2685" spans="1:13" s="188" customFormat="1">
      <c r="A2685" s="185" t="s">
        <v>1447</v>
      </c>
      <c r="B2685" s="133" t="s">
        <v>6025</v>
      </c>
      <c r="C2685" s="185" t="s">
        <v>3023</v>
      </c>
      <c r="D2685" s="133" t="s">
        <v>1769</v>
      </c>
      <c r="E2685" s="134">
        <v>1</v>
      </c>
      <c r="F2685" s="135" t="s">
        <v>1449</v>
      </c>
      <c r="G2685" s="185" t="s">
        <v>15</v>
      </c>
      <c r="H2685" s="185" t="s">
        <v>15</v>
      </c>
      <c r="I2685" s="185" t="s">
        <v>15</v>
      </c>
      <c r="J2685" s="135" t="s">
        <v>1450</v>
      </c>
      <c r="K2685" s="186">
        <v>5484</v>
      </c>
      <c r="L2685" s="187" t="s">
        <v>173</v>
      </c>
      <c r="M2685" s="187" t="s">
        <v>175</v>
      </c>
    </row>
    <row r="2686" spans="1:13" s="188" customFormat="1">
      <c r="A2686" s="185" t="s">
        <v>1447</v>
      </c>
      <c r="B2686" s="133" t="s">
        <v>6026</v>
      </c>
      <c r="C2686" s="185" t="s">
        <v>3023</v>
      </c>
      <c r="D2686" s="133" t="s">
        <v>1744</v>
      </c>
      <c r="E2686" s="134">
        <v>1</v>
      </c>
      <c r="F2686" s="135" t="s">
        <v>1449</v>
      </c>
      <c r="G2686" s="185" t="s">
        <v>15</v>
      </c>
      <c r="H2686" s="185" t="s">
        <v>15</v>
      </c>
      <c r="I2686" s="185" t="s">
        <v>15</v>
      </c>
      <c r="J2686" s="135" t="s">
        <v>1450</v>
      </c>
      <c r="K2686" s="186">
        <v>276</v>
      </c>
      <c r="L2686" s="187" t="s">
        <v>173</v>
      </c>
      <c r="M2686" s="187" t="s">
        <v>175</v>
      </c>
    </row>
    <row r="2687" spans="1:13" s="188" customFormat="1">
      <c r="A2687" s="185" t="s">
        <v>1447</v>
      </c>
      <c r="B2687" s="133" t="s">
        <v>6027</v>
      </c>
      <c r="C2687" s="185" t="s">
        <v>3023</v>
      </c>
      <c r="D2687" s="133" t="s">
        <v>1744</v>
      </c>
      <c r="E2687" s="134">
        <v>1</v>
      </c>
      <c r="F2687" s="135" t="s">
        <v>1449</v>
      </c>
      <c r="G2687" s="185" t="s">
        <v>15</v>
      </c>
      <c r="H2687" s="185" t="s">
        <v>15</v>
      </c>
      <c r="I2687" s="185" t="s">
        <v>15</v>
      </c>
      <c r="J2687" s="135" t="s">
        <v>1450</v>
      </c>
      <c r="K2687" s="186">
        <v>204</v>
      </c>
      <c r="L2687" s="187" t="s">
        <v>173</v>
      </c>
      <c r="M2687" s="187" t="s">
        <v>175</v>
      </c>
    </row>
    <row r="2688" spans="1:13" s="188" customFormat="1">
      <c r="A2688" s="185" t="s">
        <v>1447</v>
      </c>
      <c r="B2688" s="133" t="s">
        <v>6028</v>
      </c>
      <c r="C2688" s="185" t="s">
        <v>3023</v>
      </c>
      <c r="D2688" s="133" t="s">
        <v>1744</v>
      </c>
      <c r="E2688" s="134">
        <v>1</v>
      </c>
      <c r="F2688" s="135" t="s">
        <v>1449</v>
      </c>
      <c r="G2688" s="185" t="s">
        <v>15</v>
      </c>
      <c r="H2688" s="185" t="s">
        <v>15</v>
      </c>
      <c r="I2688" s="185" t="s">
        <v>15</v>
      </c>
      <c r="J2688" s="135" t="s">
        <v>1450</v>
      </c>
      <c r="K2688" s="186">
        <v>144</v>
      </c>
      <c r="L2688" s="187" t="s">
        <v>173</v>
      </c>
      <c r="M2688" s="187" t="s">
        <v>175</v>
      </c>
    </row>
    <row r="2689" spans="1:13" s="188" customFormat="1">
      <c r="A2689" s="185" t="s">
        <v>1447</v>
      </c>
      <c r="B2689" s="133" t="s">
        <v>6029</v>
      </c>
      <c r="C2689" s="185" t="s">
        <v>3023</v>
      </c>
      <c r="D2689" s="133" t="s">
        <v>1744</v>
      </c>
      <c r="E2689" s="134">
        <v>1</v>
      </c>
      <c r="F2689" s="135" t="s">
        <v>1449</v>
      </c>
      <c r="G2689" s="185" t="s">
        <v>15</v>
      </c>
      <c r="H2689" s="185" t="s">
        <v>15</v>
      </c>
      <c r="I2689" s="185" t="s">
        <v>15</v>
      </c>
      <c r="J2689" s="135" t="s">
        <v>1450</v>
      </c>
      <c r="K2689" s="186">
        <v>120</v>
      </c>
      <c r="L2689" s="187" t="s">
        <v>173</v>
      </c>
      <c r="M2689" s="187" t="s">
        <v>175</v>
      </c>
    </row>
    <row r="2690" spans="1:13" s="188" customFormat="1">
      <c r="A2690" s="185" t="s">
        <v>1447</v>
      </c>
      <c r="B2690" s="133" t="s">
        <v>6030</v>
      </c>
      <c r="C2690" s="185" t="s">
        <v>3023</v>
      </c>
      <c r="D2690" s="133" t="s">
        <v>1744</v>
      </c>
      <c r="E2690" s="134">
        <v>1</v>
      </c>
      <c r="F2690" s="135" t="s">
        <v>1449</v>
      </c>
      <c r="G2690" s="185" t="s">
        <v>15</v>
      </c>
      <c r="H2690" s="185" t="s">
        <v>15</v>
      </c>
      <c r="I2690" s="185" t="s">
        <v>15</v>
      </c>
      <c r="J2690" s="135" t="s">
        <v>1450</v>
      </c>
      <c r="K2690" s="186">
        <v>112.08</v>
      </c>
      <c r="L2690" s="187" t="s">
        <v>173</v>
      </c>
      <c r="M2690" s="187" t="s">
        <v>175</v>
      </c>
    </row>
    <row r="2691" spans="1:13" s="188" customFormat="1">
      <c r="A2691" s="185" t="s">
        <v>1447</v>
      </c>
      <c r="B2691" s="133" t="s">
        <v>6031</v>
      </c>
      <c r="C2691" s="185" t="s">
        <v>3023</v>
      </c>
      <c r="D2691" s="133" t="s">
        <v>1744</v>
      </c>
      <c r="E2691" s="134">
        <v>1</v>
      </c>
      <c r="F2691" s="135" t="s">
        <v>1449</v>
      </c>
      <c r="G2691" s="185" t="s">
        <v>15</v>
      </c>
      <c r="H2691" s="185" t="s">
        <v>15</v>
      </c>
      <c r="I2691" s="185" t="s">
        <v>15</v>
      </c>
      <c r="J2691" s="135" t="s">
        <v>1450</v>
      </c>
      <c r="K2691" s="186">
        <v>93.36</v>
      </c>
      <c r="L2691" s="187" t="s">
        <v>173</v>
      </c>
      <c r="M2691" s="187" t="s">
        <v>175</v>
      </c>
    </row>
    <row r="2692" spans="1:13" s="188" customFormat="1">
      <c r="A2692" s="185" t="s">
        <v>1447</v>
      </c>
      <c r="B2692" s="133" t="s">
        <v>6032</v>
      </c>
      <c r="C2692" s="185" t="s">
        <v>3023</v>
      </c>
      <c r="D2692" s="133" t="s">
        <v>1742</v>
      </c>
      <c r="E2692" s="134">
        <v>1</v>
      </c>
      <c r="F2692" s="135" t="s">
        <v>1449</v>
      </c>
      <c r="G2692" s="185" t="s">
        <v>15</v>
      </c>
      <c r="H2692" s="185" t="s">
        <v>15</v>
      </c>
      <c r="I2692" s="185" t="s">
        <v>15</v>
      </c>
      <c r="J2692" s="135" t="s">
        <v>1450</v>
      </c>
      <c r="K2692" s="186">
        <v>87.12</v>
      </c>
      <c r="L2692" s="187" t="s">
        <v>173</v>
      </c>
      <c r="M2692" s="187" t="s">
        <v>175</v>
      </c>
    </row>
    <row r="2693" spans="1:13" s="188" customFormat="1">
      <c r="A2693" s="185" t="s">
        <v>1447</v>
      </c>
      <c r="B2693" s="133" t="s">
        <v>6033</v>
      </c>
      <c r="C2693" s="185" t="s">
        <v>3023</v>
      </c>
      <c r="D2693" s="133" t="s">
        <v>1742</v>
      </c>
      <c r="E2693" s="134">
        <v>1</v>
      </c>
      <c r="F2693" s="135" t="s">
        <v>1449</v>
      </c>
      <c r="G2693" s="185" t="s">
        <v>15</v>
      </c>
      <c r="H2693" s="185" t="s">
        <v>15</v>
      </c>
      <c r="I2693" s="185" t="s">
        <v>15</v>
      </c>
      <c r="J2693" s="135" t="s">
        <v>1450</v>
      </c>
      <c r="K2693" s="186">
        <v>74.760000000000005</v>
      </c>
      <c r="L2693" s="187" t="s">
        <v>173</v>
      </c>
      <c r="M2693" s="187" t="s">
        <v>175</v>
      </c>
    </row>
    <row r="2694" spans="1:13" s="188" customFormat="1">
      <c r="A2694" s="185" t="s">
        <v>1447</v>
      </c>
      <c r="B2694" s="133" t="s">
        <v>6034</v>
      </c>
      <c r="C2694" s="185" t="s">
        <v>3023</v>
      </c>
      <c r="D2694" s="133" t="s">
        <v>1742</v>
      </c>
      <c r="E2694" s="134">
        <v>1</v>
      </c>
      <c r="F2694" s="135" t="s">
        <v>1449</v>
      </c>
      <c r="G2694" s="185" t="s">
        <v>15</v>
      </c>
      <c r="H2694" s="185" t="s">
        <v>15</v>
      </c>
      <c r="I2694" s="185" t="s">
        <v>15</v>
      </c>
      <c r="J2694" s="135" t="s">
        <v>1450</v>
      </c>
      <c r="K2694" s="186">
        <v>62.28</v>
      </c>
      <c r="L2694" s="187" t="s">
        <v>173</v>
      </c>
      <c r="M2694" s="187" t="s">
        <v>175</v>
      </c>
    </row>
    <row r="2695" spans="1:13" s="188" customFormat="1">
      <c r="A2695" s="185" t="s">
        <v>1447</v>
      </c>
      <c r="B2695" s="133" t="s">
        <v>6035</v>
      </c>
      <c r="C2695" s="185" t="s">
        <v>3023</v>
      </c>
      <c r="D2695" s="133" t="s">
        <v>1742</v>
      </c>
      <c r="E2695" s="134">
        <v>1</v>
      </c>
      <c r="F2695" s="135" t="s">
        <v>1449</v>
      </c>
      <c r="G2695" s="185" t="s">
        <v>15</v>
      </c>
      <c r="H2695" s="185" t="s">
        <v>15</v>
      </c>
      <c r="I2695" s="185" t="s">
        <v>15</v>
      </c>
      <c r="J2695" s="135" t="s">
        <v>1450</v>
      </c>
      <c r="K2695" s="186">
        <v>56.04</v>
      </c>
      <c r="L2695" s="187" t="s">
        <v>173</v>
      </c>
      <c r="M2695" s="187" t="s">
        <v>175</v>
      </c>
    </row>
    <row r="2696" spans="1:13" s="188" customFormat="1">
      <c r="A2696" s="185" t="s">
        <v>1447</v>
      </c>
      <c r="B2696" s="133" t="s">
        <v>6036</v>
      </c>
      <c r="C2696" s="185" t="s">
        <v>3023</v>
      </c>
      <c r="D2696" s="133" t="s">
        <v>1742</v>
      </c>
      <c r="E2696" s="134">
        <v>1</v>
      </c>
      <c r="F2696" s="135" t="s">
        <v>1449</v>
      </c>
      <c r="G2696" s="185" t="s">
        <v>15</v>
      </c>
      <c r="H2696" s="185" t="s">
        <v>15</v>
      </c>
      <c r="I2696" s="185" t="s">
        <v>15</v>
      </c>
      <c r="J2696" s="135" t="s">
        <v>1450</v>
      </c>
      <c r="K2696" s="186">
        <v>46.68</v>
      </c>
      <c r="L2696" s="187" t="s">
        <v>173</v>
      </c>
      <c r="M2696" s="187" t="s">
        <v>175</v>
      </c>
    </row>
    <row r="2697" spans="1:13" s="188" customFormat="1">
      <c r="A2697" s="185" t="s">
        <v>1447</v>
      </c>
      <c r="B2697" s="133" t="s">
        <v>6037</v>
      </c>
      <c r="C2697" s="185" t="s">
        <v>3023</v>
      </c>
      <c r="D2697" s="133" t="s">
        <v>1742</v>
      </c>
      <c r="E2697" s="134">
        <v>1</v>
      </c>
      <c r="F2697" s="135" t="s">
        <v>1449</v>
      </c>
      <c r="G2697" s="185" t="s">
        <v>15</v>
      </c>
      <c r="H2697" s="185" t="s">
        <v>15</v>
      </c>
      <c r="I2697" s="185" t="s">
        <v>15</v>
      </c>
      <c r="J2697" s="135" t="s">
        <v>1450</v>
      </c>
      <c r="K2697" s="186">
        <v>43.56</v>
      </c>
      <c r="L2697" s="187" t="s">
        <v>173</v>
      </c>
      <c r="M2697" s="187" t="s">
        <v>175</v>
      </c>
    </row>
    <row r="2698" spans="1:13" s="188" customFormat="1">
      <c r="A2698" s="185" t="s">
        <v>1447</v>
      </c>
      <c r="B2698" s="133" t="s">
        <v>6038</v>
      </c>
      <c r="C2698" s="185" t="s">
        <v>3023</v>
      </c>
      <c r="D2698" s="133" t="s">
        <v>1743</v>
      </c>
      <c r="E2698" s="134">
        <v>1</v>
      </c>
      <c r="F2698" s="135" t="s">
        <v>1449</v>
      </c>
      <c r="G2698" s="185" t="s">
        <v>15</v>
      </c>
      <c r="H2698" s="185" t="s">
        <v>15</v>
      </c>
      <c r="I2698" s="185" t="s">
        <v>15</v>
      </c>
      <c r="J2698" s="135" t="s">
        <v>1450</v>
      </c>
      <c r="K2698" s="186">
        <v>348</v>
      </c>
      <c r="L2698" s="187" t="s">
        <v>173</v>
      </c>
      <c r="M2698" s="187" t="s">
        <v>175</v>
      </c>
    </row>
    <row r="2699" spans="1:13" s="188" customFormat="1">
      <c r="A2699" s="185" t="s">
        <v>1447</v>
      </c>
      <c r="B2699" s="133" t="s">
        <v>6039</v>
      </c>
      <c r="C2699" s="185" t="s">
        <v>3023</v>
      </c>
      <c r="D2699" s="133" t="s">
        <v>1743</v>
      </c>
      <c r="E2699" s="134">
        <v>1</v>
      </c>
      <c r="F2699" s="135" t="s">
        <v>1449</v>
      </c>
      <c r="G2699" s="185" t="s">
        <v>15</v>
      </c>
      <c r="H2699" s="185" t="s">
        <v>15</v>
      </c>
      <c r="I2699" s="185" t="s">
        <v>15</v>
      </c>
      <c r="J2699" s="135" t="s">
        <v>1450</v>
      </c>
      <c r="K2699" s="186">
        <v>252</v>
      </c>
      <c r="L2699" s="187" t="s">
        <v>173</v>
      </c>
      <c r="M2699" s="187" t="s">
        <v>175</v>
      </c>
    </row>
    <row r="2700" spans="1:13" s="188" customFormat="1">
      <c r="A2700" s="185" t="s">
        <v>1447</v>
      </c>
      <c r="B2700" s="133" t="s">
        <v>6040</v>
      </c>
      <c r="C2700" s="185" t="s">
        <v>3023</v>
      </c>
      <c r="D2700" s="133" t="s">
        <v>1743</v>
      </c>
      <c r="E2700" s="134">
        <v>1</v>
      </c>
      <c r="F2700" s="135" t="s">
        <v>1449</v>
      </c>
      <c r="G2700" s="185" t="s">
        <v>15</v>
      </c>
      <c r="H2700" s="185" t="s">
        <v>15</v>
      </c>
      <c r="I2700" s="185" t="s">
        <v>15</v>
      </c>
      <c r="J2700" s="135" t="s">
        <v>1450</v>
      </c>
      <c r="K2700" s="186">
        <v>216</v>
      </c>
      <c r="L2700" s="187" t="s">
        <v>173</v>
      </c>
      <c r="M2700" s="187" t="s">
        <v>175</v>
      </c>
    </row>
    <row r="2701" spans="1:13" s="188" customFormat="1">
      <c r="A2701" s="185" t="s">
        <v>1447</v>
      </c>
      <c r="B2701" s="133" t="s">
        <v>6041</v>
      </c>
      <c r="C2701" s="185" t="s">
        <v>3023</v>
      </c>
      <c r="D2701" s="133" t="s">
        <v>1743</v>
      </c>
      <c r="E2701" s="134">
        <v>1</v>
      </c>
      <c r="F2701" s="135" t="s">
        <v>1449</v>
      </c>
      <c r="G2701" s="185" t="s">
        <v>15</v>
      </c>
      <c r="H2701" s="185" t="s">
        <v>15</v>
      </c>
      <c r="I2701" s="185" t="s">
        <v>15</v>
      </c>
      <c r="J2701" s="135" t="s">
        <v>1450</v>
      </c>
      <c r="K2701" s="186">
        <v>144</v>
      </c>
      <c r="L2701" s="187" t="s">
        <v>173</v>
      </c>
      <c r="M2701" s="187" t="s">
        <v>175</v>
      </c>
    </row>
    <row r="2702" spans="1:13" s="188" customFormat="1">
      <c r="A2702" s="185" t="s">
        <v>1447</v>
      </c>
      <c r="B2702" s="133" t="s">
        <v>6042</v>
      </c>
      <c r="C2702" s="185" t="s">
        <v>3023</v>
      </c>
      <c r="D2702" s="133" t="s">
        <v>1743</v>
      </c>
      <c r="E2702" s="134">
        <v>1</v>
      </c>
      <c r="F2702" s="135" t="s">
        <v>1449</v>
      </c>
      <c r="G2702" s="185" t="s">
        <v>15</v>
      </c>
      <c r="H2702" s="185" t="s">
        <v>15</v>
      </c>
      <c r="I2702" s="185" t="s">
        <v>15</v>
      </c>
      <c r="J2702" s="135" t="s">
        <v>1450</v>
      </c>
      <c r="K2702" s="186">
        <v>120</v>
      </c>
      <c r="L2702" s="187" t="s">
        <v>173</v>
      </c>
      <c r="M2702" s="187" t="s">
        <v>175</v>
      </c>
    </row>
    <row r="2703" spans="1:13" s="188" customFormat="1">
      <c r="A2703" s="185" t="s">
        <v>1447</v>
      </c>
      <c r="B2703" s="133" t="s">
        <v>6043</v>
      </c>
      <c r="C2703" s="185" t="s">
        <v>3023</v>
      </c>
      <c r="D2703" s="133" t="s">
        <v>1743</v>
      </c>
      <c r="E2703" s="134">
        <v>1</v>
      </c>
      <c r="F2703" s="135" t="s">
        <v>1449</v>
      </c>
      <c r="G2703" s="185" t="s">
        <v>15</v>
      </c>
      <c r="H2703" s="185" t="s">
        <v>15</v>
      </c>
      <c r="I2703" s="185" t="s">
        <v>15</v>
      </c>
      <c r="J2703" s="135" t="s">
        <v>1450</v>
      </c>
      <c r="K2703" s="186">
        <v>112.08</v>
      </c>
      <c r="L2703" s="187" t="s">
        <v>173</v>
      </c>
      <c r="M2703" s="187" t="s">
        <v>175</v>
      </c>
    </row>
    <row r="2704" spans="1:13" s="188" customFormat="1">
      <c r="A2704" s="185" t="s">
        <v>1447</v>
      </c>
      <c r="B2704" s="133" t="s">
        <v>6044</v>
      </c>
      <c r="C2704" s="185" t="s">
        <v>3023</v>
      </c>
      <c r="D2704" s="133" t="s">
        <v>1754</v>
      </c>
      <c r="E2704" s="134">
        <v>1</v>
      </c>
      <c r="F2704" s="135" t="s">
        <v>1449</v>
      </c>
      <c r="G2704" s="185" t="s">
        <v>15</v>
      </c>
      <c r="H2704" s="185" t="s">
        <v>15</v>
      </c>
      <c r="I2704" s="185" t="s">
        <v>15</v>
      </c>
      <c r="J2704" s="135" t="s">
        <v>1450</v>
      </c>
      <c r="K2704" s="186">
        <v>87.12</v>
      </c>
      <c r="L2704" s="187" t="s">
        <v>173</v>
      </c>
      <c r="M2704" s="187" t="s">
        <v>175</v>
      </c>
    </row>
    <row r="2705" spans="1:13" s="188" customFormat="1">
      <c r="A2705" s="185" t="s">
        <v>1447</v>
      </c>
      <c r="B2705" s="133" t="s">
        <v>6045</v>
      </c>
      <c r="C2705" s="185" t="s">
        <v>3023</v>
      </c>
      <c r="D2705" s="133" t="s">
        <v>1754</v>
      </c>
      <c r="E2705" s="134">
        <v>1</v>
      </c>
      <c r="F2705" s="135" t="s">
        <v>1449</v>
      </c>
      <c r="G2705" s="185" t="s">
        <v>15</v>
      </c>
      <c r="H2705" s="185" t="s">
        <v>15</v>
      </c>
      <c r="I2705" s="185" t="s">
        <v>15</v>
      </c>
      <c r="J2705" s="135" t="s">
        <v>1450</v>
      </c>
      <c r="K2705" s="186">
        <v>74.760000000000005</v>
      </c>
      <c r="L2705" s="187" t="s">
        <v>173</v>
      </c>
      <c r="M2705" s="187" t="s">
        <v>175</v>
      </c>
    </row>
    <row r="2706" spans="1:13" s="188" customFormat="1">
      <c r="A2706" s="185" t="s">
        <v>1447</v>
      </c>
      <c r="B2706" s="133" t="s">
        <v>6046</v>
      </c>
      <c r="C2706" s="185" t="s">
        <v>3023</v>
      </c>
      <c r="D2706" s="133" t="s">
        <v>1754</v>
      </c>
      <c r="E2706" s="134">
        <v>1</v>
      </c>
      <c r="F2706" s="135" t="s">
        <v>1449</v>
      </c>
      <c r="G2706" s="185" t="s">
        <v>15</v>
      </c>
      <c r="H2706" s="185" t="s">
        <v>15</v>
      </c>
      <c r="I2706" s="185" t="s">
        <v>15</v>
      </c>
      <c r="J2706" s="135" t="s">
        <v>1450</v>
      </c>
      <c r="K2706" s="186">
        <v>62.28</v>
      </c>
      <c r="L2706" s="187" t="s">
        <v>173</v>
      </c>
      <c r="M2706" s="187" t="s">
        <v>175</v>
      </c>
    </row>
    <row r="2707" spans="1:13" s="188" customFormat="1">
      <c r="A2707" s="185" t="s">
        <v>1447</v>
      </c>
      <c r="B2707" s="133" t="s">
        <v>6047</v>
      </c>
      <c r="C2707" s="185" t="s">
        <v>3023</v>
      </c>
      <c r="D2707" s="133" t="s">
        <v>1754</v>
      </c>
      <c r="E2707" s="134">
        <v>1</v>
      </c>
      <c r="F2707" s="135" t="s">
        <v>1449</v>
      </c>
      <c r="G2707" s="185" t="s">
        <v>15</v>
      </c>
      <c r="H2707" s="185" t="s">
        <v>15</v>
      </c>
      <c r="I2707" s="185" t="s">
        <v>15</v>
      </c>
      <c r="J2707" s="135" t="s">
        <v>1450</v>
      </c>
      <c r="K2707" s="186">
        <v>56.04</v>
      </c>
      <c r="L2707" s="187" t="s">
        <v>173</v>
      </c>
      <c r="M2707" s="187" t="s">
        <v>175</v>
      </c>
    </row>
    <row r="2708" spans="1:13" s="188" customFormat="1">
      <c r="A2708" s="185" t="s">
        <v>1447</v>
      </c>
      <c r="B2708" s="133" t="s">
        <v>6048</v>
      </c>
      <c r="C2708" s="185" t="s">
        <v>3023</v>
      </c>
      <c r="D2708" s="133" t="s">
        <v>1754</v>
      </c>
      <c r="E2708" s="134">
        <v>1</v>
      </c>
      <c r="F2708" s="135" t="s">
        <v>1449</v>
      </c>
      <c r="G2708" s="185" t="s">
        <v>15</v>
      </c>
      <c r="H2708" s="185" t="s">
        <v>15</v>
      </c>
      <c r="I2708" s="185" t="s">
        <v>15</v>
      </c>
      <c r="J2708" s="135" t="s">
        <v>1450</v>
      </c>
      <c r="K2708" s="186">
        <v>46.68</v>
      </c>
      <c r="L2708" s="187" t="s">
        <v>173</v>
      </c>
      <c r="M2708" s="187" t="s">
        <v>175</v>
      </c>
    </row>
    <row r="2709" spans="1:13" s="188" customFormat="1">
      <c r="A2709" s="185" t="s">
        <v>1447</v>
      </c>
      <c r="B2709" s="133" t="s">
        <v>6049</v>
      </c>
      <c r="C2709" s="185" t="s">
        <v>3023</v>
      </c>
      <c r="D2709" s="133" t="s">
        <v>1754</v>
      </c>
      <c r="E2709" s="134">
        <v>1</v>
      </c>
      <c r="F2709" s="135" t="s">
        <v>1449</v>
      </c>
      <c r="G2709" s="185" t="s">
        <v>15</v>
      </c>
      <c r="H2709" s="185" t="s">
        <v>15</v>
      </c>
      <c r="I2709" s="185" t="s">
        <v>15</v>
      </c>
      <c r="J2709" s="135" t="s">
        <v>1450</v>
      </c>
      <c r="K2709" s="186">
        <v>43.56</v>
      </c>
      <c r="L2709" s="187" t="s">
        <v>173</v>
      </c>
      <c r="M2709" s="187" t="s">
        <v>175</v>
      </c>
    </row>
    <row r="2710" spans="1:13" s="188" customFormat="1">
      <c r="A2710" s="185" t="s">
        <v>1447</v>
      </c>
      <c r="B2710" s="133" t="s">
        <v>6050</v>
      </c>
      <c r="C2710" s="185" t="s">
        <v>3023</v>
      </c>
      <c r="D2710" s="133" t="s">
        <v>6051</v>
      </c>
      <c r="E2710" s="134">
        <v>1</v>
      </c>
      <c r="F2710" s="135" t="s">
        <v>1449</v>
      </c>
      <c r="G2710" s="185" t="s">
        <v>15</v>
      </c>
      <c r="H2710" s="185" t="s">
        <v>15</v>
      </c>
      <c r="I2710" s="185" t="s">
        <v>15</v>
      </c>
      <c r="J2710" s="135" t="s">
        <v>1450</v>
      </c>
      <c r="K2710" s="186">
        <v>510816</v>
      </c>
      <c r="L2710" s="187" t="s">
        <v>173</v>
      </c>
      <c r="M2710" s="187" t="s">
        <v>175</v>
      </c>
    </row>
    <row r="2711" spans="1:13" s="188" customFormat="1">
      <c r="A2711" s="185" t="s">
        <v>1447</v>
      </c>
      <c r="B2711" s="133" t="s">
        <v>6052</v>
      </c>
      <c r="C2711" s="185" t="s">
        <v>3023</v>
      </c>
      <c r="D2711" s="133" t="s">
        <v>6053</v>
      </c>
      <c r="E2711" s="134">
        <v>1</v>
      </c>
      <c r="F2711" s="135" t="s">
        <v>1449</v>
      </c>
      <c r="G2711" s="185" t="s">
        <v>15</v>
      </c>
      <c r="H2711" s="185" t="s">
        <v>15</v>
      </c>
      <c r="I2711" s="185" t="s">
        <v>15</v>
      </c>
      <c r="J2711" s="135" t="s">
        <v>1450</v>
      </c>
      <c r="K2711" s="186">
        <v>5100</v>
      </c>
      <c r="L2711" s="187" t="s">
        <v>173</v>
      </c>
      <c r="M2711" s="187" t="s">
        <v>175</v>
      </c>
    </row>
    <row r="2712" spans="1:13" s="188" customFormat="1">
      <c r="A2712" s="185" t="s">
        <v>1447</v>
      </c>
      <c r="B2712" s="133" t="s">
        <v>6054</v>
      </c>
      <c r="C2712" s="185" t="s">
        <v>3023</v>
      </c>
      <c r="D2712" s="133" t="s">
        <v>6053</v>
      </c>
      <c r="E2712" s="134">
        <v>1</v>
      </c>
      <c r="F2712" s="135" t="s">
        <v>1449</v>
      </c>
      <c r="G2712" s="185" t="s">
        <v>15</v>
      </c>
      <c r="H2712" s="185" t="s">
        <v>15</v>
      </c>
      <c r="I2712" s="185" t="s">
        <v>15</v>
      </c>
      <c r="J2712" s="135" t="s">
        <v>1450</v>
      </c>
      <c r="K2712" s="186">
        <v>4176</v>
      </c>
      <c r="L2712" s="187" t="s">
        <v>173</v>
      </c>
      <c r="M2712" s="187" t="s">
        <v>175</v>
      </c>
    </row>
    <row r="2713" spans="1:13" s="188" customFormat="1">
      <c r="A2713" s="185" t="s">
        <v>1447</v>
      </c>
      <c r="B2713" s="133" t="s">
        <v>6055</v>
      </c>
      <c r="C2713" s="185" t="s">
        <v>3023</v>
      </c>
      <c r="D2713" s="133" t="s">
        <v>6053</v>
      </c>
      <c r="E2713" s="134">
        <v>1</v>
      </c>
      <c r="F2713" s="135" t="s">
        <v>1449</v>
      </c>
      <c r="G2713" s="185" t="s">
        <v>15</v>
      </c>
      <c r="H2713" s="185" t="s">
        <v>15</v>
      </c>
      <c r="I2713" s="185" t="s">
        <v>15</v>
      </c>
      <c r="J2713" s="135" t="s">
        <v>1450</v>
      </c>
      <c r="K2713" s="186">
        <v>3492</v>
      </c>
      <c r="L2713" s="187" t="s">
        <v>173</v>
      </c>
      <c r="M2713" s="187" t="s">
        <v>175</v>
      </c>
    </row>
    <row r="2714" spans="1:13" s="188" customFormat="1">
      <c r="A2714" s="185" t="s">
        <v>1447</v>
      </c>
      <c r="B2714" s="133" t="s">
        <v>6056</v>
      </c>
      <c r="C2714" s="185" t="s">
        <v>3023</v>
      </c>
      <c r="D2714" s="133" t="s">
        <v>6053</v>
      </c>
      <c r="E2714" s="134">
        <v>1</v>
      </c>
      <c r="F2714" s="135" t="s">
        <v>1449</v>
      </c>
      <c r="G2714" s="185" t="s">
        <v>15</v>
      </c>
      <c r="H2714" s="185" t="s">
        <v>15</v>
      </c>
      <c r="I2714" s="185" t="s">
        <v>15</v>
      </c>
      <c r="J2714" s="135" t="s">
        <v>1450</v>
      </c>
      <c r="K2714" s="186">
        <v>2868</v>
      </c>
      <c r="L2714" s="187" t="s">
        <v>173</v>
      </c>
      <c r="M2714" s="187" t="s">
        <v>175</v>
      </c>
    </row>
    <row r="2715" spans="1:13" s="188" customFormat="1">
      <c r="A2715" s="185" t="s">
        <v>1447</v>
      </c>
      <c r="B2715" s="133" t="s">
        <v>6057</v>
      </c>
      <c r="C2715" s="185" t="s">
        <v>3023</v>
      </c>
      <c r="D2715" s="133" t="s">
        <v>6053</v>
      </c>
      <c r="E2715" s="134">
        <v>1</v>
      </c>
      <c r="F2715" s="135" t="s">
        <v>1449</v>
      </c>
      <c r="G2715" s="185" t="s">
        <v>15</v>
      </c>
      <c r="H2715" s="185" t="s">
        <v>15</v>
      </c>
      <c r="I2715" s="185" t="s">
        <v>15</v>
      </c>
      <c r="J2715" s="135" t="s">
        <v>1450</v>
      </c>
      <c r="K2715" s="186">
        <v>2364</v>
      </c>
      <c r="L2715" s="187" t="s">
        <v>173</v>
      </c>
      <c r="M2715" s="187" t="s">
        <v>175</v>
      </c>
    </row>
    <row r="2716" spans="1:13" s="188" customFormat="1">
      <c r="A2716" s="185" t="s">
        <v>1447</v>
      </c>
      <c r="B2716" s="133" t="s">
        <v>6058</v>
      </c>
      <c r="C2716" s="185" t="s">
        <v>3023</v>
      </c>
      <c r="D2716" s="133" t="s">
        <v>1516</v>
      </c>
      <c r="E2716" s="134">
        <v>1</v>
      </c>
      <c r="F2716" s="135" t="s">
        <v>1449</v>
      </c>
      <c r="G2716" s="185" t="s">
        <v>15</v>
      </c>
      <c r="H2716" s="185" t="s">
        <v>15</v>
      </c>
      <c r="I2716" s="185" t="s">
        <v>15</v>
      </c>
      <c r="J2716" s="135" t="s">
        <v>1450</v>
      </c>
      <c r="K2716" s="186">
        <v>4356</v>
      </c>
      <c r="L2716" s="187" t="s">
        <v>173</v>
      </c>
      <c r="M2716" s="187" t="s">
        <v>175</v>
      </c>
    </row>
    <row r="2717" spans="1:13" s="188" customFormat="1">
      <c r="A2717" s="185" t="s">
        <v>1447</v>
      </c>
      <c r="B2717" s="133" t="s">
        <v>6059</v>
      </c>
      <c r="C2717" s="185" t="s">
        <v>3023</v>
      </c>
      <c r="D2717" s="133" t="s">
        <v>1516</v>
      </c>
      <c r="E2717" s="134">
        <v>1</v>
      </c>
      <c r="F2717" s="135" t="s">
        <v>1449</v>
      </c>
      <c r="G2717" s="185" t="s">
        <v>15</v>
      </c>
      <c r="H2717" s="185" t="s">
        <v>15</v>
      </c>
      <c r="I2717" s="185" t="s">
        <v>15</v>
      </c>
      <c r="J2717" s="135" t="s">
        <v>1450</v>
      </c>
      <c r="K2717" s="186">
        <v>3108</v>
      </c>
      <c r="L2717" s="187" t="s">
        <v>173</v>
      </c>
      <c r="M2717" s="187" t="s">
        <v>175</v>
      </c>
    </row>
    <row r="2718" spans="1:13" s="188" customFormat="1">
      <c r="A2718" s="185" t="s">
        <v>1447</v>
      </c>
      <c r="B2718" s="133" t="s">
        <v>6060</v>
      </c>
      <c r="C2718" s="185" t="s">
        <v>3023</v>
      </c>
      <c r="D2718" s="133" t="s">
        <v>1516</v>
      </c>
      <c r="E2718" s="134">
        <v>1</v>
      </c>
      <c r="F2718" s="135" t="s">
        <v>1449</v>
      </c>
      <c r="G2718" s="185" t="s">
        <v>15</v>
      </c>
      <c r="H2718" s="185" t="s">
        <v>15</v>
      </c>
      <c r="I2718" s="185" t="s">
        <v>15</v>
      </c>
      <c r="J2718" s="135" t="s">
        <v>1450</v>
      </c>
      <c r="K2718" s="186">
        <v>2796</v>
      </c>
      <c r="L2718" s="187" t="s">
        <v>173</v>
      </c>
      <c r="M2718" s="187" t="s">
        <v>175</v>
      </c>
    </row>
    <row r="2719" spans="1:13" s="188" customFormat="1">
      <c r="A2719" s="185" t="s">
        <v>1447</v>
      </c>
      <c r="B2719" s="133" t="s">
        <v>6061</v>
      </c>
      <c r="C2719" s="185" t="s">
        <v>3023</v>
      </c>
      <c r="D2719" s="133" t="s">
        <v>6062</v>
      </c>
      <c r="E2719" s="134">
        <v>1</v>
      </c>
      <c r="F2719" s="135" t="s">
        <v>1449</v>
      </c>
      <c r="G2719" s="185" t="s">
        <v>15</v>
      </c>
      <c r="H2719" s="185" t="s">
        <v>15</v>
      </c>
      <c r="I2719" s="185" t="s">
        <v>15</v>
      </c>
      <c r="J2719" s="135" t="s">
        <v>1450</v>
      </c>
      <c r="K2719" s="186">
        <v>62256</v>
      </c>
      <c r="L2719" s="187" t="s">
        <v>173</v>
      </c>
      <c r="M2719" s="187" t="s">
        <v>175</v>
      </c>
    </row>
    <row r="2720" spans="1:13" s="188" customFormat="1">
      <c r="A2720" s="185" t="s">
        <v>1447</v>
      </c>
      <c r="B2720" s="133" t="s">
        <v>6063</v>
      </c>
      <c r="C2720" s="185" t="s">
        <v>3023</v>
      </c>
      <c r="D2720" s="133" t="s">
        <v>1776</v>
      </c>
      <c r="E2720" s="134">
        <v>1</v>
      </c>
      <c r="F2720" s="135" t="s">
        <v>1449</v>
      </c>
      <c r="G2720" s="185" t="s">
        <v>15</v>
      </c>
      <c r="H2720" s="185" t="s">
        <v>15</v>
      </c>
      <c r="I2720" s="185" t="s">
        <v>15</v>
      </c>
      <c r="J2720" s="135" t="s">
        <v>1450</v>
      </c>
      <c r="K2720" s="186">
        <v>10068</v>
      </c>
      <c r="L2720" s="187" t="s">
        <v>173</v>
      </c>
      <c r="M2720" s="187" t="s">
        <v>175</v>
      </c>
    </row>
    <row r="2721" spans="1:13" s="188" customFormat="1">
      <c r="A2721" s="185" t="s">
        <v>1447</v>
      </c>
      <c r="B2721" s="133" t="s">
        <v>6064</v>
      </c>
      <c r="C2721" s="185" t="s">
        <v>3023</v>
      </c>
      <c r="D2721" s="133" t="s">
        <v>1776</v>
      </c>
      <c r="E2721" s="134">
        <v>1</v>
      </c>
      <c r="F2721" s="135" t="s">
        <v>1449</v>
      </c>
      <c r="G2721" s="185" t="s">
        <v>15</v>
      </c>
      <c r="H2721" s="185" t="s">
        <v>15</v>
      </c>
      <c r="I2721" s="185" t="s">
        <v>15</v>
      </c>
      <c r="J2721" s="135" t="s">
        <v>1450</v>
      </c>
      <c r="K2721" s="186">
        <v>8712</v>
      </c>
      <c r="L2721" s="187" t="s">
        <v>173</v>
      </c>
      <c r="M2721" s="187" t="s">
        <v>175</v>
      </c>
    </row>
    <row r="2722" spans="1:13" s="188" customFormat="1">
      <c r="A2722" s="185" t="s">
        <v>1447</v>
      </c>
      <c r="B2722" s="133" t="s">
        <v>6065</v>
      </c>
      <c r="C2722" s="185" t="s">
        <v>3023</v>
      </c>
      <c r="D2722" s="133" t="s">
        <v>1776</v>
      </c>
      <c r="E2722" s="134">
        <v>1</v>
      </c>
      <c r="F2722" s="135" t="s">
        <v>1449</v>
      </c>
      <c r="G2722" s="185" t="s">
        <v>15</v>
      </c>
      <c r="H2722" s="185" t="s">
        <v>15</v>
      </c>
      <c r="I2722" s="185" t="s">
        <v>15</v>
      </c>
      <c r="J2722" s="135" t="s">
        <v>1450</v>
      </c>
      <c r="K2722" s="186">
        <v>7476</v>
      </c>
      <c r="L2722" s="187" t="s">
        <v>173</v>
      </c>
      <c r="M2722" s="187" t="s">
        <v>175</v>
      </c>
    </row>
    <row r="2723" spans="1:13" s="188" customFormat="1">
      <c r="A2723" s="185" t="s">
        <v>1447</v>
      </c>
      <c r="B2723" s="133" t="s">
        <v>6066</v>
      </c>
      <c r="C2723" s="185" t="s">
        <v>3023</v>
      </c>
      <c r="D2723" s="133" t="s">
        <v>6067</v>
      </c>
      <c r="E2723" s="134">
        <v>1</v>
      </c>
      <c r="F2723" s="135" t="s">
        <v>1449</v>
      </c>
      <c r="G2723" s="185" t="s">
        <v>15</v>
      </c>
      <c r="H2723" s="185" t="s">
        <v>15</v>
      </c>
      <c r="I2723" s="185" t="s">
        <v>15</v>
      </c>
      <c r="J2723" s="135" t="s">
        <v>1450</v>
      </c>
      <c r="K2723" s="186">
        <v>13692</v>
      </c>
      <c r="L2723" s="187" t="s">
        <v>173</v>
      </c>
      <c r="M2723" s="187" t="s">
        <v>175</v>
      </c>
    </row>
    <row r="2724" spans="1:13" s="188" customFormat="1">
      <c r="A2724" s="185" t="s">
        <v>1447</v>
      </c>
      <c r="B2724" s="133" t="s">
        <v>6068</v>
      </c>
      <c r="C2724" s="185" t="s">
        <v>3023</v>
      </c>
      <c r="D2724" s="133" t="s">
        <v>6067</v>
      </c>
      <c r="E2724" s="134">
        <v>1</v>
      </c>
      <c r="F2724" s="135" t="s">
        <v>1449</v>
      </c>
      <c r="G2724" s="185" t="s">
        <v>15</v>
      </c>
      <c r="H2724" s="185" t="s">
        <v>15</v>
      </c>
      <c r="I2724" s="185" t="s">
        <v>15</v>
      </c>
      <c r="J2724" s="135" t="s">
        <v>1450</v>
      </c>
      <c r="K2724" s="186">
        <v>11952</v>
      </c>
      <c r="L2724" s="187" t="s">
        <v>173</v>
      </c>
      <c r="M2724" s="187" t="s">
        <v>175</v>
      </c>
    </row>
    <row r="2725" spans="1:13" s="188" customFormat="1">
      <c r="A2725" s="185" t="s">
        <v>1447</v>
      </c>
      <c r="B2725" s="133" t="s">
        <v>6069</v>
      </c>
      <c r="C2725" s="185" t="s">
        <v>3023</v>
      </c>
      <c r="D2725" s="133" t="s">
        <v>6067</v>
      </c>
      <c r="E2725" s="134">
        <v>1</v>
      </c>
      <c r="F2725" s="135" t="s">
        <v>1449</v>
      </c>
      <c r="G2725" s="185" t="s">
        <v>15</v>
      </c>
      <c r="H2725" s="185" t="s">
        <v>15</v>
      </c>
      <c r="I2725" s="185" t="s">
        <v>15</v>
      </c>
      <c r="J2725" s="135" t="s">
        <v>1450</v>
      </c>
      <c r="K2725" s="186">
        <v>10332</v>
      </c>
      <c r="L2725" s="187" t="s">
        <v>173</v>
      </c>
      <c r="M2725" s="187" t="s">
        <v>175</v>
      </c>
    </row>
    <row r="2726" spans="1:13" s="188" customFormat="1">
      <c r="A2726" s="185" t="s">
        <v>1447</v>
      </c>
      <c r="B2726" s="133" t="s">
        <v>6070</v>
      </c>
      <c r="C2726" s="185" t="s">
        <v>3023</v>
      </c>
      <c r="D2726" s="133" t="s">
        <v>6067</v>
      </c>
      <c r="E2726" s="134">
        <v>1</v>
      </c>
      <c r="F2726" s="135" t="s">
        <v>1449</v>
      </c>
      <c r="G2726" s="185" t="s">
        <v>15</v>
      </c>
      <c r="H2726" s="185" t="s">
        <v>15</v>
      </c>
      <c r="I2726" s="185" t="s">
        <v>15</v>
      </c>
      <c r="J2726" s="135" t="s">
        <v>1450</v>
      </c>
      <c r="K2726" s="186">
        <v>9588</v>
      </c>
      <c r="L2726" s="187" t="s">
        <v>173</v>
      </c>
      <c r="M2726" s="187" t="s">
        <v>175</v>
      </c>
    </row>
    <row r="2727" spans="1:13" s="188" customFormat="1">
      <c r="A2727" s="185" t="s">
        <v>1447</v>
      </c>
      <c r="B2727" s="133" t="s">
        <v>6071</v>
      </c>
      <c r="C2727" s="185" t="s">
        <v>3023</v>
      </c>
      <c r="D2727" s="133" t="s">
        <v>6067</v>
      </c>
      <c r="E2727" s="134">
        <v>1</v>
      </c>
      <c r="F2727" s="135" t="s">
        <v>1449</v>
      </c>
      <c r="G2727" s="185" t="s">
        <v>15</v>
      </c>
      <c r="H2727" s="185" t="s">
        <v>15</v>
      </c>
      <c r="I2727" s="185" t="s">
        <v>15</v>
      </c>
      <c r="J2727" s="135" t="s">
        <v>1450</v>
      </c>
      <c r="K2727" s="186">
        <v>8592</v>
      </c>
      <c r="L2727" s="187" t="s">
        <v>173</v>
      </c>
      <c r="M2727" s="187" t="s">
        <v>175</v>
      </c>
    </row>
    <row r="2728" spans="1:13" s="188" customFormat="1">
      <c r="A2728" s="185" t="s">
        <v>1447</v>
      </c>
      <c r="B2728" s="133" t="s">
        <v>6072</v>
      </c>
      <c r="C2728" s="185" t="s">
        <v>3023</v>
      </c>
      <c r="D2728" s="133" t="s">
        <v>1777</v>
      </c>
      <c r="E2728" s="134">
        <v>1</v>
      </c>
      <c r="F2728" s="135" t="s">
        <v>1449</v>
      </c>
      <c r="G2728" s="185" t="s">
        <v>15</v>
      </c>
      <c r="H2728" s="185" t="s">
        <v>15</v>
      </c>
      <c r="I2728" s="185" t="s">
        <v>15</v>
      </c>
      <c r="J2728" s="135" t="s">
        <v>1450</v>
      </c>
      <c r="K2728" s="186">
        <v>480</v>
      </c>
      <c r="L2728" s="187" t="s">
        <v>173</v>
      </c>
      <c r="M2728" s="187" t="s">
        <v>175</v>
      </c>
    </row>
    <row r="2729" spans="1:13" s="188" customFormat="1">
      <c r="A2729" s="185" t="s">
        <v>1447</v>
      </c>
      <c r="B2729" s="133" t="s">
        <v>6073</v>
      </c>
      <c r="C2729" s="185" t="s">
        <v>3023</v>
      </c>
      <c r="D2729" s="133" t="s">
        <v>1777</v>
      </c>
      <c r="E2729" s="134">
        <v>1</v>
      </c>
      <c r="F2729" s="135" t="s">
        <v>1449</v>
      </c>
      <c r="G2729" s="185" t="s">
        <v>15</v>
      </c>
      <c r="H2729" s="185" t="s">
        <v>15</v>
      </c>
      <c r="I2729" s="185" t="s">
        <v>15</v>
      </c>
      <c r="J2729" s="135" t="s">
        <v>1450</v>
      </c>
      <c r="K2729" s="186">
        <v>336</v>
      </c>
      <c r="L2729" s="187" t="s">
        <v>173</v>
      </c>
      <c r="M2729" s="187" t="s">
        <v>175</v>
      </c>
    </row>
    <row r="2730" spans="1:13" s="188" customFormat="1">
      <c r="A2730" s="185" t="s">
        <v>1447</v>
      </c>
      <c r="B2730" s="133" t="s">
        <v>6074</v>
      </c>
      <c r="C2730" s="185" t="s">
        <v>3023</v>
      </c>
      <c r="D2730" s="133" t="s">
        <v>1777</v>
      </c>
      <c r="E2730" s="134">
        <v>1</v>
      </c>
      <c r="F2730" s="135" t="s">
        <v>1449</v>
      </c>
      <c r="G2730" s="185" t="s">
        <v>15</v>
      </c>
      <c r="H2730" s="185" t="s">
        <v>15</v>
      </c>
      <c r="I2730" s="185" t="s">
        <v>15</v>
      </c>
      <c r="J2730" s="135" t="s">
        <v>1450</v>
      </c>
      <c r="K2730" s="186">
        <v>252</v>
      </c>
      <c r="L2730" s="187" t="s">
        <v>173</v>
      </c>
      <c r="M2730" s="187" t="s">
        <v>175</v>
      </c>
    </row>
    <row r="2731" spans="1:13" s="188" customFormat="1">
      <c r="A2731" s="185" t="s">
        <v>1447</v>
      </c>
      <c r="B2731" s="133" t="s">
        <v>6075</v>
      </c>
      <c r="C2731" s="185" t="s">
        <v>3023</v>
      </c>
      <c r="D2731" s="133" t="s">
        <v>1778</v>
      </c>
      <c r="E2731" s="134">
        <v>1</v>
      </c>
      <c r="F2731" s="135" t="s">
        <v>1449</v>
      </c>
      <c r="G2731" s="185" t="s">
        <v>15</v>
      </c>
      <c r="H2731" s="185" t="s">
        <v>15</v>
      </c>
      <c r="I2731" s="185" t="s">
        <v>15</v>
      </c>
      <c r="J2731" s="135" t="s">
        <v>1450</v>
      </c>
      <c r="K2731" s="186">
        <v>576</v>
      </c>
      <c r="L2731" s="187" t="s">
        <v>173</v>
      </c>
      <c r="M2731" s="187" t="s">
        <v>175</v>
      </c>
    </row>
    <row r="2732" spans="1:13" s="188" customFormat="1">
      <c r="A2732" s="185" t="s">
        <v>1447</v>
      </c>
      <c r="B2732" s="133" t="s">
        <v>6076</v>
      </c>
      <c r="C2732" s="185" t="s">
        <v>3023</v>
      </c>
      <c r="D2732" s="133" t="s">
        <v>1778</v>
      </c>
      <c r="E2732" s="134">
        <v>1</v>
      </c>
      <c r="F2732" s="135" t="s">
        <v>1449</v>
      </c>
      <c r="G2732" s="185" t="s">
        <v>15</v>
      </c>
      <c r="H2732" s="185" t="s">
        <v>15</v>
      </c>
      <c r="I2732" s="185" t="s">
        <v>15</v>
      </c>
      <c r="J2732" s="135" t="s">
        <v>1450</v>
      </c>
      <c r="K2732" s="186">
        <v>384</v>
      </c>
      <c r="L2732" s="187" t="s">
        <v>173</v>
      </c>
      <c r="M2732" s="187" t="s">
        <v>175</v>
      </c>
    </row>
    <row r="2733" spans="1:13" s="188" customFormat="1">
      <c r="A2733" s="185" t="s">
        <v>1447</v>
      </c>
      <c r="B2733" s="133" t="s">
        <v>6077</v>
      </c>
      <c r="C2733" s="185" t="s">
        <v>3023</v>
      </c>
      <c r="D2733" s="133" t="s">
        <v>1778</v>
      </c>
      <c r="E2733" s="134">
        <v>1</v>
      </c>
      <c r="F2733" s="135" t="s">
        <v>1449</v>
      </c>
      <c r="G2733" s="185" t="s">
        <v>15</v>
      </c>
      <c r="H2733" s="185" t="s">
        <v>15</v>
      </c>
      <c r="I2733" s="185" t="s">
        <v>15</v>
      </c>
      <c r="J2733" s="135" t="s">
        <v>1450</v>
      </c>
      <c r="K2733" s="186">
        <v>276</v>
      </c>
      <c r="L2733" s="187" t="s">
        <v>173</v>
      </c>
      <c r="M2733" s="187" t="s">
        <v>175</v>
      </c>
    </row>
    <row r="2734" spans="1:13" s="188" customFormat="1">
      <c r="A2734" s="185" t="s">
        <v>1447</v>
      </c>
      <c r="B2734" s="133" t="s">
        <v>6078</v>
      </c>
      <c r="C2734" s="185" t="s">
        <v>3023</v>
      </c>
      <c r="D2734" s="133" t="s">
        <v>1779</v>
      </c>
      <c r="E2734" s="134">
        <v>1</v>
      </c>
      <c r="F2734" s="135" t="s">
        <v>1449</v>
      </c>
      <c r="G2734" s="185" t="s">
        <v>15</v>
      </c>
      <c r="H2734" s="185" t="s">
        <v>15</v>
      </c>
      <c r="I2734" s="185" t="s">
        <v>15</v>
      </c>
      <c r="J2734" s="135" t="s">
        <v>1450</v>
      </c>
      <c r="K2734" s="186">
        <v>216</v>
      </c>
      <c r="L2734" s="187" t="s">
        <v>173</v>
      </c>
      <c r="M2734" s="187" t="s">
        <v>175</v>
      </c>
    </row>
    <row r="2735" spans="1:13" s="188" customFormat="1">
      <c r="A2735" s="185" t="s">
        <v>1447</v>
      </c>
      <c r="B2735" s="133" t="s">
        <v>6079</v>
      </c>
      <c r="C2735" s="185" t="s">
        <v>3023</v>
      </c>
      <c r="D2735" s="133" t="s">
        <v>1779</v>
      </c>
      <c r="E2735" s="134">
        <v>1</v>
      </c>
      <c r="F2735" s="135" t="s">
        <v>1449</v>
      </c>
      <c r="G2735" s="185" t="s">
        <v>15</v>
      </c>
      <c r="H2735" s="185" t="s">
        <v>15</v>
      </c>
      <c r="I2735" s="185" t="s">
        <v>15</v>
      </c>
      <c r="J2735" s="135" t="s">
        <v>1450</v>
      </c>
      <c r="K2735" s="186">
        <v>144</v>
      </c>
      <c r="L2735" s="187" t="s">
        <v>173</v>
      </c>
      <c r="M2735" s="187" t="s">
        <v>175</v>
      </c>
    </row>
    <row r="2736" spans="1:13" s="188" customFormat="1">
      <c r="A2736" s="185" t="s">
        <v>1447</v>
      </c>
      <c r="B2736" s="133" t="s">
        <v>6080</v>
      </c>
      <c r="C2736" s="185" t="s">
        <v>3023</v>
      </c>
      <c r="D2736" s="133" t="s">
        <v>1779</v>
      </c>
      <c r="E2736" s="134">
        <v>1</v>
      </c>
      <c r="F2736" s="135" t="s">
        <v>1449</v>
      </c>
      <c r="G2736" s="185" t="s">
        <v>15</v>
      </c>
      <c r="H2736" s="185" t="s">
        <v>15</v>
      </c>
      <c r="I2736" s="185" t="s">
        <v>15</v>
      </c>
      <c r="J2736" s="135" t="s">
        <v>1450</v>
      </c>
      <c r="K2736" s="186">
        <v>120</v>
      </c>
      <c r="L2736" s="187" t="s">
        <v>173</v>
      </c>
      <c r="M2736" s="187" t="s">
        <v>175</v>
      </c>
    </row>
    <row r="2737" spans="1:13" s="188" customFormat="1">
      <c r="A2737" s="185" t="s">
        <v>1447</v>
      </c>
      <c r="B2737" s="133" t="s">
        <v>6081</v>
      </c>
      <c r="C2737" s="185" t="s">
        <v>3023</v>
      </c>
      <c r="D2737" s="133" t="s">
        <v>1779</v>
      </c>
      <c r="E2737" s="134">
        <v>1</v>
      </c>
      <c r="F2737" s="135" t="s">
        <v>1449</v>
      </c>
      <c r="G2737" s="185" t="s">
        <v>15</v>
      </c>
      <c r="H2737" s="185" t="s">
        <v>15</v>
      </c>
      <c r="I2737" s="185" t="s">
        <v>15</v>
      </c>
      <c r="J2737" s="135" t="s">
        <v>1450</v>
      </c>
      <c r="K2737" s="186">
        <v>93.36</v>
      </c>
      <c r="L2737" s="187" t="s">
        <v>173</v>
      </c>
      <c r="M2737" s="187" t="s">
        <v>175</v>
      </c>
    </row>
    <row r="2738" spans="1:13" s="188" customFormat="1">
      <c r="A2738" s="185" t="s">
        <v>1447</v>
      </c>
      <c r="B2738" s="133" t="s">
        <v>6082</v>
      </c>
      <c r="C2738" s="185" t="s">
        <v>3023</v>
      </c>
      <c r="D2738" s="133" t="s">
        <v>6083</v>
      </c>
      <c r="E2738" s="134">
        <v>1</v>
      </c>
      <c r="F2738" s="135" t="s">
        <v>1449</v>
      </c>
      <c r="G2738" s="185" t="s">
        <v>15</v>
      </c>
      <c r="H2738" s="185" t="s">
        <v>15</v>
      </c>
      <c r="I2738" s="185" t="s">
        <v>15</v>
      </c>
      <c r="J2738" s="135" t="s">
        <v>1450</v>
      </c>
      <c r="K2738" s="186">
        <v>3420</v>
      </c>
      <c r="L2738" s="187" t="s">
        <v>173</v>
      </c>
      <c r="M2738" s="187" t="s">
        <v>175</v>
      </c>
    </row>
    <row r="2739" spans="1:13" s="188" customFormat="1">
      <c r="A2739" s="185" t="s">
        <v>1447</v>
      </c>
      <c r="B2739" s="133" t="s">
        <v>6084</v>
      </c>
      <c r="C2739" s="185" t="s">
        <v>3023</v>
      </c>
      <c r="D2739" s="133" t="s">
        <v>6083</v>
      </c>
      <c r="E2739" s="134">
        <v>1</v>
      </c>
      <c r="F2739" s="135" t="s">
        <v>1449</v>
      </c>
      <c r="G2739" s="185" t="s">
        <v>15</v>
      </c>
      <c r="H2739" s="185" t="s">
        <v>15</v>
      </c>
      <c r="I2739" s="185" t="s">
        <v>15</v>
      </c>
      <c r="J2739" s="135" t="s">
        <v>1450</v>
      </c>
      <c r="K2739" s="186">
        <v>2496</v>
      </c>
      <c r="L2739" s="187" t="s">
        <v>173</v>
      </c>
      <c r="M2739" s="187" t="s">
        <v>175</v>
      </c>
    </row>
    <row r="2740" spans="1:13" s="188" customFormat="1">
      <c r="A2740" s="185" t="s">
        <v>1447</v>
      </c>
      <c r="B2740" s="133" t="s">
        <v>6085</v>
      </c>
      <c r="C2740" s="185" t="s">
        <v>3023</v>
      </c>
      <c r="D2740" s="133" t="s">
        <v>6083</v>
      </c>
      <c r="E2740" s="134">
        <v>1</v>
      </c>
      <c r="F2740" s="135" t="s">
        <v>1449</v>
      </c>
      <c r="G2740" s="185" t="s">
        <v>15</v>
      </c>
      <c r="H2740" s="185" t="s">
        <v>15</v>
      </c>
      <c r="I2740" s="185" t="s">
        <v>15</v>
      </c>
      <c r="J2740" s="135" t="s">
        <v>1450</v>
      </c>
      <c r="K2740" s="186">
        <v>1524</v>
      </c>
      <c r="L2740" s="187" t="s">
        <v>173</v>
      </c>
      <c r="M2740" s="187" t="s">
        <v>175</v>
      </c>
    </row>
    <row r="2741" spans="1:13" s="188" customFormat="1">
      <c r="A2741" s="185" t="s">
        <v>1447</v>
      </c>
      <c r="B2741" s="133" t="s">
        <v>6086</v>
      </c>
      <c r="C2741" s="185" t="s">
        <v>3023</v>
      </c>
      <c r="D2741" s="133" t="s">
        <v>6083</v>
      </c>
      <c r="E2741" s="134">
        <v>1</v>
      </c>
      <c r="F2741" s="135" t="s">
        <v>1449</v>
      </c>
      <c r="G2741" s="185" t="s">
        <v>15</v>
      </c>
      <c r="H2741" s="185" t="s">
        <v>15</v>
      </c>
      <c r="I2741" s="185" t="s">
        <v>15</v>
      </c>
      <c r="J2741" s="135" t="s">
        <v>1450</v>
      </c>
      <c r="K2741" s="186">
        <v>1428</v>
      </c>
      <c r="L2741" s="187" t="s">
        <v>173</v>
      </c>
      <c r="M2741" s="187" t="s">
        <v>175</v>
      </c>
    </row>
    <row r="2742" spans="1:13" s="188" customFormat="1">
      <c r="A2742" s="185" t="s">
        <v>1447</v>
      </c>
      <c r="B2742" s="133" t="s">
        <v>6087</v>
      </c>
      <c r="C2742" s="185" t="s">
        <v>3023</v>
      </c>
      <c r="D2742" s="133" t="s">
        <v>6083</v>
      </c>
      <c r="E2742" s="134">
        <v>1</v>
      </c>
      <c r="F2742" s="135" t="s">
        <v>1449</v>
      </c>
      <c r="G2742" s="185" t="s">
        <v>15</v>
      </c>
      <c r="H2742" s="185" t="s">
        <v>15</v>
      </c>
      <c r="I2742" s="185" t="s">
        <v>15</v>
      </c>
      <c r="J2742" s="135" t="s">
        <v>1450</v>
      </c>
      <c r="K2742" s="186">
        <v>1308</v>
      </c>
      <c r="L2742" s="187" t="s">
        <v>173</v>
      </c>
      <c r="M2742" s="187" t="s">
        <v>175</v>
      </c>
    </row>
    <row r="2743" spans="1:13" s="188" customFormat="1">
      <c r="A2743" s="185" t="s">
        <v>1447</v>
      </c>
      <c r="B2743" s="133" t="s">
        <v>6088</v>
      </c>
      <c r="C2743" s="185" t="s">
        <v>3023</v>
      </c>
      <c r="D2743" s="133" t="s">
        <v>1775</v>
      </c>
      <c r="E2743" s="134">
        <v>1</v>
      </c>
      <c r="F2743" s="135" t="s">
        <v>1449</v>
      </c>
      <c r="G2743" s="185" t="s">
        <v>15</v>
      </c>
      <c r="H2743" s="185" t="s">
        <v>15</v>
      </c>
      <c r="I2743" s="185" t="s">
        <v>15</v>
      </c>
      <c r="J2743" s="135" t="s">
        <v>1450</v>
      </c>
      <c r="K2743" s="186">
        <v>1188</v>
      </c>
      <c r="L2743" s="187" t="s">
        <v>173</v>
      </c>
      <c r="M2743" s="187" t="s">
        <v>175</v>
      </c>
    </row>
    <row r="2744" spans="1:13" s="188" customFormat="1">
      <c r="A2744" s="185" t="s">
        <v>1447</v>
      </c>
      <c r="B2744" s="133" t="s">
        <v>6089</v>
      </c>
      <c r="C2744" s="185" t="s">
        <v>3023</v>
      </c>
      <c r="D2744" s="133" t="s">
        <v>1775</v>
      </c>
      <c r="E2744" s="134">
        <v>1</v>
      </c>
      <c r="F2744" s="135" t="s">
        <v>1449</v>
      </c>
      <c r="G2744" s="185" t="s">
        <v>15</v>
      </c>
      <c r="H2744" s="185" t="s">
        <v>15</v>
      </c>
      <c r="I2744" s="185" t="s">
        <v>15</v>
      </c>
      <c r="J2744" s="135" t="s">
        <v>1450</v>
      </c>
      <c r="K2744" s="186">
        <v>1116</v>
      </c>
      <c r="L2744" s="187" t="s">
        <v>173</v>
      </c>
      <c r="M2744" s="187" t="s">
        <v>175</v>
      </c>
    </row>
    <row r="2745" spans="1:13" s="188" customFormat="1">
      <c r="A2745" s="185" t="s">
        <v>1447</v>
      </c>
      <c r="B2745" s="133" t="s">
        <v>6090</v>
      </c>
      <c r="C2745" s="185" t="s">
        <v>3023</v>
      </c>
      <c r="D2745" s="133" t="s">
        <v>1775</v>
      </c>
      <c r="E2745" s="134">
        <v>1</v>
      </c>
      <c r="F2745" s="135" t="s">
        <v>1449</v>
      </c>
      <c r="G2745" s="185" t="s">
        <v>15</v>
      </c>
      <c r="H2745" s="185" t="s">
        <v>15</v>
      </c>
      <c r="I2745" s="185" t="s">
        <v>15</v>
      </c>
      <c r="J2745" s="135" t="s">
        <v>1450</v>
      </c>
      <c r="K2745" s="186">
        <v>876</v>
      </c>
      <c r="L2745" s="187" t="s">
        <v>173</v>
      </c>
      <c r="M2745" s="187" t="s">
        <v>175</v>
      </c>
    </row>
    <row r="2746" spans="1:13" s="188" customFormat="1">
      <c r="A2746" s="185" t="s">
        <v>1447</v>
      </c>
      <c r="B2746" s="133" t="s">
        <v>6091</v>
      </c>
      <c r="C2746" s="185" t="s">
        <v>3023</v>
      </c>
      <c r="D2746" s="133" t="s">
        <v>1775</v>
      </c>
      <c r="E2746" s="134">
        <v>1</v>
      </c>
      <c r="F2746" s="135" t="s">
        <v>1449</v>
      </c>
      <c r="G2746" s="185" t="s">
        <v>15</v>
      </c>
      <c r="H2746" s="185" t="s">
        <v>15</v>
      </c>
      <c r="I2746" s="185" t="s">
        <v>15</v>
      </c>
      <c r="J2746" s="135" t="s">
        <v>1450</v>
      </c>
      <c r="K2746" s="186">
        <v>744</v>
      </c>
      <c r="L2746" s="187" t="s">
        <v>173</v>
      </c>
      <c r="M2746" s="187" t="s">
        <v>175</v>
      </c>
    </row>
    <row r="2747" spans="1:13" s="188" customFormat="1">
      <c r="A2747" s="185" t="s">
        <v>1447</v>
      </c>
      <c r="B2747" s="133" t="s">
        <v>6092</v>
      </c>
      <c r="C2747" s="185" t="s">
        <v>3023</v>
      </c>
      <c r="D2747" s="133" t="s">
        <v>6093</v>
      </c>
      <c r="E2747" s="134">
        <v>1</v>
      </c>
      <c r="F2747" s="135" t="s">
        <v>1449</v>
      </c>
      <c r="G2747" s="185" t="s">
        <v>15</v>
      </c>
      <c r="H2747" s="185" t="s">
        <v>15</v>
      </c>
      <c r="I2747" s="185" t="s">
        <v>15</v>
      </c>
      <c r="J2747" s="135" t="s">
        <v>1450</v>
      </c>
      <c r="K2747" s="186">
        <v>1680</v>
      </c>
      <c r="L2747" s="187" t="s">
        <v>173</v>
      </c>
      <c r="M2747" s="187" t="s">
        <v>175</v>
      </c>
    </row>
    <row r="2748" spans="1:13" s="188" customFormat="1">
      <c r="A2748" s="185" t="s">
        <v>1447</v>
      </c>
      <c r="B2748" s="133" t="s">
        <v>6094</v>
      </c>
      <c r="C2748" s="185" t="s">
        <v>3023</v>
      </c>
      <c r="D2748" s="133" t="s">
        <v>6093</v>
      </c>
      <c r="E2748" s="134">
        <v>1</v>
      </c>
      <c r="F2748" s="135" t="s">
        <v>1449</v>
      </c>
      <c r="G2748" s="185" t="s">
        <v>15</v>
      </c>
      <c r="H2748" s="185" t="s">
        <v>15</v>
      </c>
      <c r="I2748" s="185" t="s">
        <v>15</v>
      </c>
      <c r="J2748" s="135" t="s">
        <v>1450</v>
      </c>
      <c r="K2748" s="186">
        <v>1116</v>
      </c>
      <c r="L2748" s="187" t="s">
        <v>173</v>
      </c>
      <c r="M2748" s="187" t="s">
        <v>175</v>
      </c>
    </row>
    <row r="2749" spans="1:13" s="188" customFormat="1">
      <c r="A2749" s="185" t="s">
        <v>1447</v>
      </c>
      <c r="B2749" s="133" t="s">
        <v>6095</v>
      </c>
      <c r="C2749" s="185" t="s">
        <v>3023</v>
      </c>
      <c r="D2749" s="133" t="s">
        <v>6093</v>
      </c>
      <c r="E2749" s="134">
        <v>1</v>
      </c>
      <c r="F2749" s="135" t="s">
        <v>1449</v>
      </c>
      <c r="G2749" s="185" t="s">
        <v>15</v>
      </c>
      <c r="H2749" s="185" t="s">
        <v>15</v>
      </c>
      <c r="I2749" s="185" t="s">
        <v>15</v>
      </c>
      <c r="J2749" s="135" t="s">
        <v>1450</v>
      </c>
      <c r="K2749" s="186">
        <v>744</v>
      </c>
      <c r="L2749" s="187" t="s">
        <v>173</v>
      </c>
      <c r="M2749" s="187" t="s">
        <v>175</v>
      </c>
    </row>
    <row r="2750" spans="1:13" s="188" customFormat="1">
      <c r="A2750" s="185" t="s">
        <v>1447</v>
      </c>
      <c r="B2750" s="133" t="s">
        <v>6096</v>
      </c>
      <c r="C2750" s="185" t="s">
        <v>3023</v>
      </c>
      <c r="D2750" s="133" t="s">
        <v>6093</v>
      </c>
      <c r="E2750" s="134">
        <v>1</v>
      </c>
      <c r="F2750" s="135" t="s">
        <v>1449</v>
      </c>
      <c r="G2750" s="185" t="s">
        <v>15</v>
      </c>
      <c r="H2750" s="185" t="s">
        <v>15</v>
      </c>
      <c r="I2750" s="185" t="s">
        <v>15</v>
      </c>
      <c r="J2750" s="135" t="s">
        <v>1450</v>
      </c>
      <c r="K2750" s="186">
        <v>660</v>
      </c>
      <c r="L2750" s="187" t="s">
        <v>173</v>
      </c>
      <c r="M2750" s="187" t="s">
        <v>175</v>
      </c>
    </row>
    <row r="2751" spans="1:13" s="188" customFormat="1">
      <c r="A2751" s="185" t="s">
        <v>1447</v>
      </c>
      <c r="B2751" s="133" t="s">
        <v>6097</v>
      </c>
      <c r="C2751" s="185" t="s">
        <v>3023</v>
      </c>
      <c r="D2751" s="133" t="s">
        <v>6093</v>
      </c>
      <c r="E2751" s="134">
        <v>1</v>
      </c>
      <c r="F2751" s="135" t="s">
        <v>1449</v>
      </c>
      <c r="G2751" s="185" t="s">
        <v>15</v>
      </c>
      <c r="H2751" s="185" t="s">
        <v>15</v>
      </c>
      <c r="I2751" s="185" t="s">
        <v>15</v>
      </c>
      <c r="J2751" s="135" t="s">
        <v>1450</v>
      </c>
      <c r="K2751" s="186">
        <v>552</v>
      </c>
      <c r="L2751" s="187" t="s">
        <v>173</v>
      </c>
      <c r="M2751" s="187" t="s">
        <v>175</v>
      </c>
    </row>
    <row r="2752" spans="1:13" s="188" customFormat="1">
      <c r="A2752" s="185" t="s">
        <v>1447</v>
      </c>
      <c r="B2752" s="133" t="s">
        <v>6098</v>
      </c>
      <c r="C2752" s="185" t="s">
        <v>3023</v>
      </c>
      <c r="D2752" s="133" t="s">
        <v>6099</v>
      </c>
      <c r="E2752" s="134">
        <v>1</v>
      </c>
      <c r="F2752" s="135" t="s">
        <v>1449</v>
      </c>
      <c r="G2752" s="185" t="s">
        <v>15</v>
      </c>
      <c r="H2752" s="185" t="s">
        <v>15</v>
      </c>
      <c r="I2752" s="185" t="s">
        <v>15</v>
      </c>
      <c r="J2752" s="135" t="s">
        <v>1450</v>
      </c>
      <c r="K2752" s="186">
        <v>32.04</v>
      </c>
      <c r="L2752" s="187" t="s">
        <v>173</v>
      </c>
      <c r="M2752" s="187" t="s">
        <v>175</v>
      </c>
    </row>
    <row r="2753" spans="1:13" s="188" customFormat="1">
      <c r="A2753" s="185" t="s">
        <v>1447</v>
      </c>
      <c r="B2753" s="133" t="s">
        <v>6100</v>
      </c>
      <c r="C2753" s="185" t="s">
        <v>3023</v>
      </c>
      <c r="D2753" s="133" t="s">
        <v>6099</v>
      </c>
      <c r="E2753" s="134">
        <v>1</v>
      </c>
      <c r="F2753" s="135" t="s">
        <v>1449</v>
      </c>
      <c r="G2753" s="185" t="s">
        <v>15</v>
      </c>
      <c r="H2753" s="185" t="s">
        <v>15</v>
      </c>
      <c r="I2753" s="185" t="s">
        <v>15</v>
      </c>
      <c r="J2753" s="135" t="s">
        <v>1450</v>
      </c>
      <c r="K2753" s="186">
        <v>30.96</v>
      </c>
      <c r="L2753" s="187" t="s">
        <v>173</v>
      </c>
      <c r="M2753" s="187" t="s">
        <v>175</v>
      </c>
    </row>
    <row r="2754" spans="1:13" s="188" customFormat="1">
      <c r="A2754" s="185" t="s">
        <v>1447</v>
      </c>
      <c r="B2754" s="133" t="s">
        <v>6101</v>
      </c>
      <c r="C2754" s="185" t="s">
        <v>3023</v>
      </c>
      <c r="D2754" s="133" t="s">
        <v>6099</v>
      </c>
      <c r="E2754" s="134">
        <v>1</v>
      </c>
      <c r="F2754" s="135" t="s">
        <v>1449</v>
      </c>
      <c r="G2754" s="185" t="s">
        <v>15</v>
      </c>
      <c r="H2754" s="185" t="s">
        <v>15</v>
      </c>
      <c r="I2754" s="185" t="s">
        <v>15</v>
      </c>
      <c r="J2754" s="135" t="s">
        <v>1450</v>
      </c>
      <c r="K2754" s="186">
        <v>29.759999999999998</v>
      </c>
      <c r="L2754" s="187" t="s">
        <v>173</v>
      </c>
      <c r="M2754" s="187" t="s">
        <v>175</v>
      </c>
    </row>
    <row r="2755" spans="1:13" s="188" customFormat="1">
      <c r="A2755" s="185" t="s">
        <v>1447</v>
      </c>
      <c r="B2755" s="133" t="s">
        <v>6102</v>
      </c>
      <c r="C2755" s="185" t="s">
        <v>3023</v>
      </c>
      <c r="D2755" s="133" t="s">
        <v>6099</v>
      </c>
      <c r="E2755" s="134">
        <v>1</v>
      </c>
      <c r="F2755" s="135" t="s">
        <v>1449</v>
      </c>
      <c r="G2755" s="185" t="s">
        <v>15</v>
      </c>
      <c r="H2755" s="185" t="s">
        <v>15</v>
      </c>
      <c r="I2755" s="185" t="s">
        <v>15</v>
      </c>
      <c r="J2755" s="135" t="s">
        <v>1450</v>
      </c>
      <c r="K2755" s="186">
        <v>28.68</v>
      </c>
      <c r="L2755" s="187" t="s">
        <v>173</v>
      </c>
      <c r="M2755" s="187" t="s">
        <v>175</v>
      </c>
    </row>
    <row r="2756" spans="1:13" s="188" customFormat="1">
      <c r="A2756" s="185" t="s">
        <v>1447</v>
      </c>
      <c r="B2756" s="133" t="s">
        <v>6103</v>
      </c>
      <c r="C2756" s="185" t="s">
        <v>3023</v>
      </c>
      <c r="D2756" s="133" t="s">
        <v>6099</v>
      </c>
      <c r="E2756" s="134">
        <v>1</v>
      </c>
      <c r="F2756" s="135" t="s">
        <v>1449</v>
      </c>
      <c r="G2756" s="185" t="s">
        <v>15</v>
      </c>
      <c r="H2756" s="185" t="s">
        <v>15</v>
      </c>
      <c r="I2756" s="185" t="s">
        <v>15</v>
      </c>
      <c r="J2756" s="135" t="s">
        <v>1450</v>
      </c>
      <c r="K2756" s="186">
        <v>27.48</v>
      </c>
      <c r="L2756" s="187" t="s">
        <v>173</v>
      </c>
      <c r="M2756" s="187" t="s">
        <v>175</v>
      </c>
    </row>
    <row r="2757" spans="1:13" s="188" customFormat="1">
      <c r="A2757" s="185" t="s">
        <v>1447</v>
      </c>
      <c r="B2757" s="133" t="s">
        <v>6104</v>
      </c>
      <c r="C2757" s="185" t="s">
        <v>3023</v>
      </c>
      <c r="D2757" s="133" t="s">
        <v>6099</v>
      </c>
      <c r="E2757" s="134">
        <v>1</v>
      </c>
      <c r="F2757" s="135" t="s">
        <v>1449</v>
      </c>
      <c r="G2757" s="185" t="s">
        <v>15</v>
      </c>
      <c r="H2757" s="185" t="s">
        <v>15</v>
      </c>
      <c r="I2757" s="185" t="s">
        <v>15</v>
      </c>
      <c r="J2757" s="135" t="s">
        <v>1450</v>
      </c>
      <c r="K2757" s="186">
        <v>26.400000000000002</v>
      </c>
      <c r="L2757" s="187" t="s">
        <v>173</v>
      </c>
      <c r="M2757" s="187" t="s">
        <v>175</v>
      </c>
    </row>
    <row r="2758" spans="1:13" s="188" customFormat="1">
      <c r="A2758" s="185" t="s">
        <v>1447</v>
      </c>
      <c r="B2758" s="133" t="s">
        <v>6105</v>
      </c>
      <c r="C2758" s="185" t="s">
        <v>3023</v>
      </c>
      <c r="D2758" s="133" t="s">
        <v>6099</v>
      </c>
      <c r="E2758" s="134">
        <v>1</v>
      </c>
      <c r="F2758" s="135" t="s">
        <v>1449</v>
      </c>
      <c r="G2758" s="185" t="s">
        <v>15</v>
      </c>
      <c r="H2758" s="185" t="s">
        <v>15</v>
      </c>
      <c r="I2758" s="185" t="s">
        <v>15</v>
      </c>
      <c r="J2758" s="135" t="s">
        <v>1450</v>
      </c>
      <c r="K2758" s="186">
        <v>25.200000000000003</v>
      </c>
      <c r="L2758" s="187" t="s">
        <v>173</v>
      </c>
      <c r="M2758" s="187" t="s">
        <v>175</v>
      </c>
    </row>
    <row r="2759" spans="1:13" s="188" customFormat="1">
      <c r="A2759" s="185" t="s">
        <v>1447</v>
      </c>
      <c r="B2759" s="133" t="s">
        <v>6106</v>
      </c>
      <c r="C2759" s="185" t="s">
        <v>3023</v>
      </c>
      <c r="D2759" s="133" t="s">
        <v>6099</v>
      </c>
      <c r="E2759" s="134">
        <v>1</v>
      </c>
      <c r="F2759" s="135" t="s">
        <v>1449</v>
      </c>
      <c r="G2759" s="185" t="s">
        <v>15</v>
      </c>
      <c r="H2759" s="185" t="s">
        <v>15</v>
      </c>
      <c r="I2759" s="185" t="s">
        <v>15</v>
      </c>
      <c r="J2759" s="135" t="s">
        <v>1450</v>
      </c>
      <c r="K2759" s="186">
        <v>24.119999999999997</v>
      </c>
      <c r="L2759" s="187" t="s">
        <v>173</v>
      </c>
      <c r="M2759" s="187" t="s">
        <v>175</v>
      </c>
    </row>
    <row r="2760" spans="1:13" s="188" customFormat="1">
      <c r="A2760" s="185" t="s">
        <v>1447</v>
      </c>
      <c r="B2760" s="133" t="s">
        <v>6107</v>
      </c>
      <c r="C2760" s="185" t="s">
        <v>3023</v>
      </c>
      <c r="D2760" s="133" t="s">
        <v>6099</v>
      </c>
      <c r="E2760" s="134">
        <v>1</v>
      </c>
      <c r="F2760" s="135" t="s">
        <v>1449</v>
      </c>
      <c r="G2760" s="185" t="s">
        <v>15</v>
      </c>
      <c r="H2760" s="185" t="s">
        <v>15</v>
      </c>
      <c r="I2760" s="185" t="s">
        <v>15</v>
      </c>
      <c r="J2760" s="135" t="s">
        <v>1450</v>
      </c>
      <c r="K2760" s="186">
        <v>22.919999999999998</v>
      </c>
      <c r="L2760" s="187" t="s">
        <v>173</v>
      </c>
      <c r="M2760" s="187" t="s">
        <v>175</v>
      </c>
    </row>
    <row r="2761" spans="1:13" s="188" customFormat="1">
      <c r="A2761" s="185" t="s">
        <v>1447</v>
      </c>
      <c r="B2761" s="133" t="s">
        <v>6108</v>
      </c>
      <c r="C2761" s="185" t="s">
        <v>3023</v>
      </c>
      <c r="D2761" s="133" t="s">
        <v>6099</v>
      </c>
      <c r="E2761" s="134">
        <v>1</v>
      </c>
      <c r="F2761" s="135" t="s">
        <v>1449</v>
      </c>
      <c r="G2761" s="185" t="s">
        <v>15</v>
      </c>
      <c r="H2761" s="185" t="s">
        <v>15</v>
      </c>
      <c r="I2761" s="185" t="s">
        <v>15</v>
      </c>
      <c r="J2761" s="135" t="s">
        <v>1450</v>
      </c>
      <c r="K2761" s="186">
        <v>18.240000000000002</v>
      </c>
      <c r="L2761" s="187" t="s">
        <v>173</v>
      </c>
      <c r="M2761" s="187" t="s">
        <v>175</v>
      </c>
    </row>
    <row r="2762" spans="1:13" s="188" customFormat="1">
      <c r="A2762" s="185" t="s">
        <v>1447</v>
      </c>
      <c r="B2762" s="133" t="s">
        <v>6109</v>
      </c>
      <c r="C2762" s="185" t="s">
        <v>3023</v>
      </c>
      <c r="D2762" s="133" t="s">
        <v>6099</v>
      </c>
      <c r="E2762" s="134">
        <v>1</v>
      </c>
      <c r="F2762" s="135" t="s">
        <v>1449</v>
      </c>
      <c r="G2762" s="185" t="s">
        <v>15</v>
      </c>
      <c r="H2762" s="185" t="s">
        <v>15</v>
      </c>
      <c r="I2762" s="185" t="s">
        <v>15</v>
      </c>
      <c r="J2762" s="135" t="s">
        <v>1450</v>
      </c>
      <c r="K2762" s="186">
        <v>17.28</v>
      </c>
      <c r="L2762" s="187" t="s">
        <v>173</v>
      </c>
      <c r="M2762" s="187" t="s">
        <v>175</v>
      </c>
    </row>
    <row r="2763" spans="1:13" s="188" customFormat="1">
      <c r="A2763" s="185" t="s">
        <v>1447</v>
      </c>
      <c r="B2763" s="133" t="s">
        <v>6110</v>
      </c>
      <c r="C2763" s="185" t="s">
        <v>3023</v>
      </c>
      <c r="D2763" s="133" t="s">
        <v>1780</v>
      </c>
      <c r="E2763" s="134">
        <v>1</v>
      </c>
      <c r="F2763" s="135" t="s">
        <v>1449</v>
      </c>
      <c r="G2763" s="185" t="s">
        <v>15</v>
      </c>
      <c r="H2763" s="185" t="s">
        <v>15</v>
      </c>
      <c r="I2763" s="185" t="s">
        <v>15</v>
      </c>
      <c r="J2763" s="135" t="s">
        <v>1450</v>
      </c>
      <c r="K2763" s="186">
        <v>2868</v>
      </c>
      <c r="L2763" s="187" t="s">
        <v>173</v>
      </c>
      <c r="M2763" s="187" t="s">
        <v>175</v>
      </c>
    </row>
    <row r="2764" spans="1:13" s="188" customFormat="1">
      <c r="A2764" s="185" t="s">
        <v>1447</v>
      </c>
      <c r="B2764" s="133" t="s">
        <v>6111</v>
      </c>
      <c r="C2764" s="185" t="s">
        <v>3023</v>
      </c>
      <c r="D2764" s="133" t="s">
        <v>1780</v>
      </c>
      <c r="E2764" s="134">
        <v>1</v>
      </c>
      <c r="F2764" s="135" t="s">
        <v>1449</v>
      </c>
      <c r="G2764" s="185" t="s">
        <v>15</v>
      </c>
      <c r="H2764" s="185" t="s">
        <v>15</v>
      </c>
      <c r="I2764" s="185" t="s">
        <v>15</v>
      </c>
      <c r="J2764" s="135" t="s">
        <v>1450</v>
      </c>
      <c r="K2764" s="186">
        <v>2616</v>
      </c>
      <c r="L2764" s="187" t="s">
        <v>173</v>
      </c>
      <c r="M2764" s="187" t="s">
        <v>175</v>
      </c>
    </row>
    <row r="2765" spans="1:13" s="188" customFormat="1">
      <c r="A2765" s="185" t="s">
        <v>1447</v>
      </c>
      <c r="B2765" s="133" t="s">
        <v>6112</v>
      </c>
      <c r="C2765" s="185" t="s">
        <v>3023</v>
      </c>
      <c r="D2765" s="133" t="s">
        <v>1780</v>
      </c>
      <c r="E2765" s="134">
        <v>1</v>
      </c>
      <c r="F2765" s="135" t="s">
        <v>1449</v>
      </c>
      <c r="G2765" s="185" t="s">
        <v>15</v>
      </c>
      <c r="H2765" s="185" t="s">
        <v>15</v>
      </c>
      <c r="I2765" s="185" t="s">
        <v>15</v>
      </c>
      <c r="J2765" s="135" t="s">
        <v>1450</v>
      </c>
      <c r="K2765" s="186">
        <v>2304</v>
      </c>
      <c r="L2765" s="187" t="s">
        <v>173</v>
      </c>
      <c r="M2765" s="187" t="s">
        <v>175</v>
      </c>
    </row>
    <row r="2766" spans="1:13" s="188" customFormat="1">
      <c r="A2766" s="185" t="s">
        <v>1447</v>
      </c>
      <c r="B2766" s="133" t="s">
        <v>6113</v>
      </c>
      <c r="C2766" s="185" t="s">
        <v>3023</v>
      </c>
      <c r="D2766" s="133" t="s">
        <v>1780</v>
      </c>
      <c r="E2766" s="134">
        <v>1</v>
      </c>
      <c r="F2766" s="135" t="s">
        <v>1449</v>
      </c>
      <c r="G2766" s="185" t="s">
        <v>15</v>
      </c>
      <c r="H2766" s="185" t="s">
        <v>15</v>
      </c>
      <c r="I2766" s="185" t="s">
        <v>15</v>
      </c>
      <c r="J2766" s="135" t="s">
        <v>1450</v>
      </c>
      <c r="K2766" s="186">
        <v>1992</v>
      </c>
      <c r="L2766" s="187" t="s">
        <v>173</v>
      </c>
      <c r="M2766" s="187" t="s">
        <v>175</v>
      </c>
    </row>
    <row r="2767" spans="1:13" s="188" customFormat="1">
      <c r="A2767" s="185" t="s">
        <v>1447</v>
      </c>
      <c r="B2767" s="133" t="s">
        <v>6114</v>
      </c>
      <c r="C2767" s="185" t="s">
        <v>3023</v>
      </c>
      <c r="D2767" s="133" t="s">
        <v>1780</v>
      </c>
      <c r="E2767" s="134">
        <v>1</v>
      </c>
      <c r="F2767" s="135" t="s">
        <v>1449</v>
      </c>
      <c r="G2767" s="185" t="s">
        <v>15</v>
      </c>
      <c r="H2767" s="185" t="s">
        <v>15</v>
      </c>
      <c r="I2767" s="185" t="s">
        <v>15</v>
      </c>
      <c r="J2767" s="135" t="s">
        <v>1450</v>
      </c>
      <c r="K2767" s="186">
        <v>1740</v>
      </c>
      <c r="L2767" s="187" t="s">
        <v>173</v>
      </c>
      <c r="M2767" s="187" t="s">
        <v>175</v>
      </c>
    </row>
    <row r="2768" spans="1:13" s="188" customFormat="1">
      <c r="A2768" s="185" t="s">
        <v>1447</v>
      </c>
      <c r="B2768" s="133" t="s">
        <v>6115</v>
      </c>
      <c r="C2768" s="185" t="s">
        <v>3023</v>
      </c>
      <c r="D2768" s="133" t="s">
        <v>1780</v>
      </c>
      <c r="E2768" s="134">
        <v>1</v>
      </c>
      <c r="F2768" s="135" t="s">
        <v>1449</v>
      </c>
      <c r="G2768" s="185" t="s">
        <v>15</v>
      </c>
      <c r="H2768" s="185" t="s">
        <v>15</v>
      </c>
      <c r="I2768" s="185" t="s">
        <v>15</v>
      </c>
      <c r="J2768" s="135" t="s">
        <v>1450</v>
      </c>
      <c r="K2768" s="186">
        <v>1248</v>
      </c>
      <c r="L2768" s="187" t="s">
        <v>173</v>
      </c>
      <c r="M2768" s="187" t="s">
        <v>175</v>
      </c>
    </row>
    <row r="2769" spans="1:13" s="188" customFormat="1">
      <c r="A2769" s="185" t="s">
        <v>1447</v>
      </c>
      <c r="B2769" s="133" t="s">
        <v>6116</v>
      </c>
      <c r="C2769" s="185" t="s">
        <v>3023</v>
      </c>
      <c r="D2769" s="133" t="s">
        <v>1780</v>
      </c>
      <c r="E2769" s="134">
        <v>1</v>
      </c>
      <c r="F2769" s="135" t="s">
        <v>1449</v>
      </c>
      <c r="G2769" s="185" t="s">
        <v>15</v>
      </c>
      <c r="H2769" s="185" t="s">
        <v>15</v>
      </c>
      <c r="I2769" s="185" t="s">
        <v>15</v>
      </c>
      <c r="J2769" s="135" t="s">
        <v>1450</v>
      </c>
      <c r="K2769" s="186">
        <v>876</v>
      </c>
      <c r="L2769" s="187" t="s">
        <v>173</v>
      </c>
      <c r="M2769" s="187" t="s">
        <v>175</v>
      </c>
    </row>
    <row r="2770" spans="1:13" s="188" customFormat="1">
      <c r="A2770" s="185" t="s">
        <v>1447</v>
      </c>
      <c r="B2770" s="133" t="s">
        <v>6117</v>
      </c>
      <c r="C2770" s="185" t="s">
        <v>3023</v>
      </c>
      <c r="D2770" s="133" t="s">
        <v>1780</v>
      </c>
      <c r="E2770" s="134">
        <v>1</v>
      </c>
      <c r="F2770" s="135" t="s">
        <v>1449</v>
      </c>
      <c r="G2770" s="185" t="s">
        <v>15</v>
      </c>
      <c r="H2770" s="185" t="s">
        <v>15</v>
      </c>
      <c r="I2770" s="185" t="s">
        <v>15</v>
      </c>
      <c r="J2770" s="135" t="s">
        <v>1450</v>
      </c>
      <c r="K2770" s="186">
        <v>624</v>
      </c>
      <c r="L2770" s="187" t="s">
        <v>173</v>
      </c>
      <c r="M2770" s="187" t="s">
        <v>175</v>
      </c>
    </row>
    <row r="2771" spans="1:13" s="188" customFormat="1">
      <c r="A2771" s="185" t="s">
        <v>1447</v>
      </c>
      <c r="B2771" s="133" t="s">
        <v>6118</v>
      </c>
      <c r="C2771" s="185" t="s">
        <v>3023</v>
      </c>
      <c r="D2771" s="133" t="s">
        <v>1780</v>
      </c>
      <c r="E2771" s="134">
        <v>1</v>
      </c>
      <c r="F2771" s="135" t="s">
        <v>1449</v>
      </c>
      <c r="G2771" s="185" t="s">
        <v>15</v>
      </c>
      <c r="H2771" s="185" t="s">
        <v>15</v>
      </c>
      <c r="I2771" s="185" t="s">
        <v>15</v>
      </c>
      <c r="J2771" s="135" t="s">
        <v>1450</v>
      </c>
      <c r="K2771" s="186">
        <v>504</v>
      </c>
      <c r="L2771" s="187" t="s">
        <v>173</v>
      </c>
      <c r="M2771" s="187" t="s">
        <v>175</v>
      </c>
    </row>
    <row r="2772" spans="1:13" s="188" customFormat="1">
      <c r="A2772" s="185" t="s">
        <v>1447</v>
      </c>
      <c r="B2772" s="133" t="s">
        <v>6119</v>
      </c>
      <c r="C2772" s="185" t="s">
        <v>3023</v>
      </c>
      <c r="D2772" s="133" t="s">
        <v>1780</v>
      </c>
      <c r="E2772" s="134">
        <v>1</v>
      </c>
      <c r="F2772" s="135" t="s">
        <v>1449</v>
      </c>
      <c r="G2772" s="185" t="s">
        <v>15</v>
      </c>
      <c r="H2772" s="185" t="s">
        <v>15</v>
      </c>
      <c r="I2772" s="185" t="s">
        <v>15</v>
      </c>
      <c r="J2772" s="135" t="s">
        <v>1450</v>
      </c>
      <c r="K2772" s="186">
        <v>372</v>
      </c>
      <c r="L2772" s="187" t="s">
        <v>173</v>
      </c>
      <c r="M2772" s="187" t="s">
        <v>175</v>
      </c>
    </row>
    <row r="2773" spans="1:13" s="188" customFormat="1">
      <c r="A2773" s="185" t="s">
        <v>1447</v>
      </c>
      <c r="B2773" s="133" t="s">
        <v>6120</v>
      </c>
      <c r="C2773" s="185" t="s">
        <v>3023</v>
      </c>
      <c r="D2773" s="133" t="s">
        <v>1780</v>
      </c>
      <c r="E2773" s="134">
        <v>1</v>
      </c>
      <c r="F2773" s="135" t="s">
        <v>1449</v>
      </c>
      <c r="G2773" s="185" t="s">
        <v>15</v>
      </c>
      <c r="H2773" s="185" t="s">
        <v>15</v>
      </c>
      <c r="I2773" s="185" t="s">
        <v>15</v>
      </c>
      <c r="J2773" s="135" t="s">
        <v>1450</v>
      </c>
      <c r="K2773" s="186">
        <v>312</v>
      </c>
      <c r="L2773" s="187" t="s">
        <v>173</v>
      </c>
      <c r="M2773" s="187" t="s">
        <v>175</v>
      </c>
    </row>
    <row r="2774" spans="1:13" s="188" customFormat="1">
      <c r="A2774" s="185" t="s">
        <v>1447</v>
      </c>
      <c r="B2774" s="133" t="s">
        <v>6121</v>
      </c>
      <c r="C2774" s="185" t="s">
        <v>3023</v>
      </c>
      <c r="D2774" s="133" t="s">
        <v>1780</v>
      </c>
      <c r="E2774" s="134">
        <v>1</v>
      </c>
      <c r="F2774" s="135" t="s">
        <v>1449</v>
      </c>
      <c r="G2774" s="185" t="s">
        <v>15</v>
      </c>
      <c r="H2774" s="185" t="s">
        <v>15</v>
      </c>
      <c r="I2774" s="185" t="s">
        <v>15</v>
      </c>
      <c r="J2774" s="135" t="s">
        <v>1450</v>
      </c>
      <c r="K2774" s="186">
        <v>192</v>
      </c>
      <c r="L2774" s="187" t="s">
        <v>173</v>
      </c>
      <c r="M2774" s="187" t="s">
        <v>175</v>
      </c>
    </row>
    <row r="2775" spans="1:13" s="188" customFormat="1">
      <c r="A2775" s="185" t="s">
        <v>1447</v>
      </c>
      <c r="B2775" s="133" t="s">
        <v>6122</v>
      </c>
      <c r="C2775" s="185" t="s">
        <v>3023</v>
      </c>
      <c r="D2775" s="133" t="s">
        <v>1780</v>
      </c>
      <c r="E2775" s="134">
        <v>1</v>
      </c>
      <c r="F2775" s="135" t="s">
        <v>1449</v>
      </c>
      <c r="G2775" s="185" t="s">
        <v>15</v>
      </c>
      <c r="H2775" s="185" t="s">
        <v>15</v>
      </c>
      <c r="I2775" s="185" t="s">
        <v>15</v>
      </c>
      <c r="J2775" s="135" t="s">
        <v>1450</v>
      </c>
      <c r="K2775" s="186">
        <v>156</v>
      </c>
      <c r="L2775" s="187" t="s">
        <v>173</v>
      </c>
      <c r="M2775" s="187" t="s">
        <v>175</v>
      </c>
    </row>
    <row r="2776" spans="1:13" s="188" customFormat="1">
      <c r="A2776" s="185" t="s">
        <v>1447</v>
      </c>
      <c r="B2776" s="133" t="s">
        <v>6123</v>
      </c>
      <c r="C2776" s="185" t="s">
        <v>3023</v>
      </c>
      <c r="D2776" s="133" t="s">
        <v>1780</v>
      </c>
      <c r="E2776" s="134">
        <v>1</v>
      </c>
      <c r="F2776" s="135" t="s">
        <v>1449</v>
      </c>
      <c r="G2776" s="185" t="s">
        <v>15</v>
      </c>
      <c r="H2776" s="185" t="s">
        <v>15</v>
      </c>
      <c r="I2776" s="185" t="s">
        <v>15</v>
      </c>
      <c r="J2776" s="135" t="s">
        <v>1450</v>
      </c>
      <c r="K2776" s="186">
        <v>144</v>
      </c>
      <c r="L2776" s="187" t="s">
        <v>173</v>
      </c>
      <c r="M2776" s="187" t="s">
        <v>175</v>
      </c>
    </row>
    <row r="2777" spans="1:13" s="188" customFormat="1">
      <c r="A2777" s="185" t="s">
        <v>1447</v>
      </c>
      <c r="B2777" s="133" t="s">
        <v>6124</v>
      </c>
      <c r="C2777" s="185" t="s">
        <v>3023</v>
      </c>
      <c r="D2777" s="133" t="s">
        <v>1781</v>
      </c>
      <c r="E2777" s="134">
        <v>1</v>
      </c>
      <c r="F2777" s="135" t="s">
        <v>1449</v>
      </c>
      <c r="G2777" s="185" t="s">
        <v>15</v>
      </c>
      <c r="H2777" s="185" t="s">
        <v>15</v>
      </c>
      <c r="I2777" s="185" t="s">
        <v>15</v>
      </c>
      <c r="J2777" s="135" t="s">
        <v>1450</v>
      </c>
      <c r="K2777" s="186">
        <v>2304</v>
      </c>
      <c r="L2777" s="187" t="s">
        <v>173</v>
      </c>
      <c r="M2777" s="187" t="s">
        <v>175</v>
      </c>
    </row>
    <row r="2778" spans="1:13" s="188" customFormat="1">
      <c r="A2778" s="185" t="s">
        <v>1447</v>
      </c>
      <c r="B2778" s="133" t="s">
        <v>6125</v>
      </c>
      <c r="C2778" s="185" t="s">
        <v>3023</v>
      </c>
      <c r="D2778" s="133" t="s">
        <v>1781</v>
      </c>
      <c r="E2778" s="134">
        <v>1</v>
      </c>
      <c r="F2778" s="135" t="s">
        <v>1449</v>
      </c>
      <c r="G2778" s="185" t="s">
        <v>15</v>
      </c>
      <c r="H2778" s="185" t="s">
        <v>15</v>
      </c>
      <c r="I2778" s="185" t="s">
        <v>15</v>
      </c>
      <c r="J2778" s="135" t="s">
        <v>1450</v>
      </c>
      <c r="K2778" s="186">
        <v>1992</v>
      </c>
      <c r="L2778" s="187" t="s">
        <v>173</v>
      </c>
      <c r="M2778" s="187" t="s">
        <v>175</v>
      </c>
    </row>
    <row r="2779" spans="1:13" s="188" customFormat="1">
      <c r="A2779" s="185" t="s">
        <v>1447</v>
      </c>
      <c r="B2779" s="133" t="s">
        <v>6126</v>
      </c>
      <c r="C2779" s="185" t="s">
        <v>3023</v>
      </c>
      <c r="D2779" s="133" t="s">
        <v>1781</v>
      </c>
      <c r="E2779" s="134">
        <v>1</v>
      </c>
      <c r="F2779" s="135" t="s">
        <v>1449</v>
      </c>
      <c r="G2779" s="185" t="s">
        <v>15</v>
      </c>
      <c r="H2779" s="185" t="s">
        <v>15</v>
      </c>
      <c r="I2779" s="185" t="s">
        <v>15</v>
      </c>
      <c r="J2779" s="135" t="s">
        <v>1450</v>
      </c>
      <c r="K2779" s="186">
        <v>1740</v>
      </c>
      <c r="L2779" s="187" t="s">
        <v>173</v>
      </c>
      <c r="M2779" s="187" t="s">
        <v>175</v>
      </c>
    </row>
    <row r="2780" spans="1:13" s="188" customFormat="1">
      <c r="A2780" s="185" t="s">
        <v>1447</v>
      </c>
      <c r="B2780" s="133" t="s">
        <v>6127</v>
      </c>
      <c r="C2780" s="185" t="s">
        <v>3023</v>
      </c>
      <c r="D2780" s="133" t="s">
        <v>1781</v>
      </c>
      <c r="E2780" s="134">
        <v>1</v>
      </c>
      <c r="F2780" s="135" t="s">
        <v>1449</v>
      </c>
      <c r="G2780" s="185" t="s">
        <v>15</v>
      </c>
      <c r="H2780" s="185" t="s">
        <v>15</v>
      </c>
      <c r="I2780" s="185" t="s">
        <v>15</v>
      </c>
      <c r="J2780" s="135" t="s">
        <v>1450</v>
      </c>
      <c r="K2780" s="186">
        <v>1248</v>
      </c>
      <c r="L2780" s="187" t="s">
        <v>173</v>
      </c>
      <c r="M2780" s="187" t="s">
        <v>175</v>
      </c>
    </row>
    <row r="2781" spans="1:13" s="188" customFormat="1">
      <c r="A2781" s="185" t="s">
        <v>1447</v>
      </c>
      <c r="B2781" s="133" t="s">
        <v>6128</v>
      </c>
      <c r="C2781" s="185" t="s">
        <v>3023</v>
      </c>
      <c r="D2781" s="133" t="s">
        <v>1781</v>
      </c>
      <c r="E2781" s="134">
        <v>1</v>
      </c>
      <c r="F2781" s="135" t="s">
        <v>1449</v>
      </c>
      <c r="G2781" s="185" t="s">
        <v>15</v>
      </c>
      <c r="H2781" s="185" t="s">
        <v>15</v>
      </c>
      <c r="I2781" s="185" t="s">
        <v>15</v>
      </c>
      <c r="J2781" s="135" t="s">
        <v>1450</v>
      </c>
      <c r="K2781" s="186">
        <v>876</v>
      </c>
      <c r="L2781" s="187" t="s">
        <v>173</v>
      </c>
      <c r="M2781" s="187" t="s">
        <v>175</v>
      </c>
    </row>
    <row r="2782" spans="1:13" s="188" customFormat="1">
      <c r="A2782" s="185" t="s">
        <v>1447</v>
      </c>
      <c r="B2782" s="133" t="s">
        <v>6129</v>
      </c>
      <c r="C2782" s="185" t="s">
        <v>3023</v>
      </c>
      <c r="D2782" s="133" t="s">
        <v>1781</v>
      </c>
      <c r="E2782" s="134">
        <v>1</v>
      </c>
      <c r="F2782" s="135" t="s">
        <v>1449</v>
      </c>
      <c r="G2782" s="185" t="s">
        <v>15</v>
      </c>
      <c r="H2782" s="185" t="s">
        <v>15</v>
      </c>
      <c r="I2782" s="185" t="s">
        <v>15</v>
      </c>
      <c r="J2782" s="135" t="s">
        <v>1450</v>
      </c>
      <c r="K2782" s="186">
        <v>624</v>
      </c>
      <c r="L2782" s="187" t="s">
        <v>173</v>
      </c>
      <c r="M2782" s="187" t="s">
        <v>175</v>
      </c>
    </row>
    <row r="2783" spans="1:13" s="188" customFormat="1">
      <c r="A2783" s="185" t="s">
        <v>1447</v>
      </c>
      <c r="B2783" s="133" t="s">
        <v>6130</v>
      </c>
      <c r="C2783" s="185" t="s">
        <v>3023</v>
      </c>
      <c r="D2783" s="133" t="s">
        <v>1781</v>
      </c>
      <c r="E2783" s="134">
        <v>1</v>
      </c>
      <c r="F2783" s="135" t="s">
        <v>1449</v>
      </c>
      <c r="G2783" s="185" t="s">
        <v>15</v>
      </c>
      <c r="H2783" s="185" t="s">
        <v>15</v>
      </c>
      <c r="I2783" s="185" t="s">
        <v>15</v>
      </c>
      <c r="J2783" s="135" t="s">
        <v>1450</v>
      </c>
      <c r="K2783" s="186">
        <v>504</v>
      </c>
      <c r="L2783" s="187" t="s">
        <v>173</v>
      </c>
      <c r="M2783" s="187" t="s">
        <v>175</v>
      </c>
    </row>
    <row r="2784" spans="1:13" s="188" customFormat="1">
      <c r="A2784" s="185" t="s">
        <v>1447</v>
      </c>
      <c r="B2784" s="133" t="s">
        <v>6131</v>
      </c>
      <c r="C2784" s="185" t="s">
        <v>3023</v>
      </c>
      <c r="D2784" s="133" t="s">
        <v>1781</v>
      </c>
      <c r="E2784" s="134">
        <v>1</v>
      </c>
      <c r="F2784" s="135" t="s">
        <v>1449</v>
      </c>
      <c r="G2784" s="185" t="s">
        <v>15</v>
      </c>
      <c r="H2784" s="185" t="s">
        <v>15</v>
      </c>
      <c r="I2784" s="185" t="s">
        <v>15</v>
      </c>
      <c r="J2784" s="135" t="s">
        <v>1450</v>
      </c>
      <c r="K2784" s="186">
        <v>372</v>
      </c>
      <c r="L2784" s="187" t="s">
        <v>173</v>
      </c>
      <c r="M2784" s="187" t="s">
        <v>175</v>
      </c>
    </row>
    <row r="2785" spans="1:13" s="188" customFormat="1">
      <c r="A2785" s="185" t="s">
        <v>1447</v>
      </c>
      <c r="B2785" s="133" t="s">
        <v>6132</v>
      </c>
      <c r="C2785" s="185" t="s">
        <v>3023</v>
      </c>
      <c r="D2785" s="133" t="s">
        <v>1781</v>
      </c>
      <c r="E2785" s="134">
        <v>1</v>
      </c>
      <c r="F2785" s="135" t="s">
        <v>1449</v>
      </c>
      <c r="G2785" s="185" t="s">
        <v>15</v>
      </c>
      <c r="H2785" s="185" t="s">
        <v>15</v>
      </c>
      <c r="I2785" s="185" t="s">
        <v>15</v>
      </c>
      <c r="J2785" s="135" t="s">
        <v>1450</v>
      </c>
      <c r="K2785" s="186">
        <v>312</v>
      </c>
      <c r="L2785" s="187" t="s">
        <v>173</v>
      </c>
      <c r="M2785" s="187" t="s">
        <v>175</v>
      </c>
    </row>
    <row r="2786" spans="1:13" s="188" customFormat="1">
      <c r="A2786" s="185" t="s">
        <v>1447</v>
      </c>
      <c r="B2786" s="133" t="s">
        <v>6133</v>
      </c>
      <c r="C2786" s="185" t="s">
        <v>3023</v>
      </c>
      <c r="D2786" s="133" t="s">
        <v>1781</v>
      </c>
      <c r="E2786" s="134">
        <v>1</v>
      </c>
      <c r="F2786" s="135" t="s">
        <v>1449</v>
      </c>
      <c r="G2786" s="185" t="s">
        <v>15</v>
      </c>
      <c r="H2786" s="185" t="s">
        <v>15</v>
      </c>
      <c r="I2786" s="185" t="s">
        <v>15</v>
      </c>
      <c r="J2786" s="135" t="s">
        <v>1450</v>
      </c>
      <c r="K2786" s="186">
        <v>192</v>
      </c>
      <c r="L2786" s="187" t="s">
        <v>173</v>
      </c>
      <c r="M2786" s="187" t="s">
        <v>175</v>
      </c>
    </row>
    <row r="2787" spans="1:13" s="188" customFormat="1">
      <c r="A2787" s="185" t="s">
        <v>1447</v>
      </c>
      <c r="B2787" s="133" t="s">
        <v>6134</v>
      </c>
      <c r="C2787" s="185" t="s">
        <v>3023</v>
      </c>
      <c r="D2787" s="133" t="s">
        <v>1781</v>
      </c>
      <c r="E2787" s="134">
        <v>1</v>
      </c>
      <c r="F2787" s="135" t="s">
        <v>1449</v>
      </c>
      <c r="G2787" s="185" t="s">
        <v>15</v>
      </c>
      <c r="H2787" s="185" t="s">
        <v>15</v>
      </c>
      <c r="I2787" s="185" t="s">
        <v>15</v>
      </c>
      <c r="J2787" s="135" t="s">
        <v>1450</v>
      </c>
      <c r="K2787" s="186">
        <v>156</v>
      </c>
      <c r="L2787" s="187" t="s">
        <v>173</v>
      </c>
      <c r="M2787" s="187" t="s">
        <v>175</v>
      </c>
    </row>
    <row r="2788" spans="1:13" s="188" customFormat="1">
      <c r="A2788" s="185" t="s">
        <v>1447</v>
      </c>
      <c r="B2788" s="133" t="s">
        <v>6135</v>
      </c>
      <c r="C2788" s="185" t="s">
        <v>3023</v>
      </c>
      <c r="D2788" s="133" t="s">
        <v>1781</v>
      </c>
      <c r="E2788" s="134">
        <v>1</v>
      </c>
      <c r="F2788" s="135" t="s">
        <v>1449</v>
      </c>
      <c r="G2788" s="185" t="s">
        <v>15</v>
      </c>
      <c r="H2788" s="185" t="s">
        <v>15</v>
      </c>
      <c r="I2788" s="185" t="s">
        <v>15</v>
      </c>
      <c r="J2788" s="135" t="s">
        <v>1450</v>
      </c>
      <c r="K2788" s="186">
        <v>144</v>
      </c>
      <c r="L2788" s="187" t="s">
        <v>173</v>
      </c>
      <c r="M2788" s="187" t="s">
        <v>175</v>
      </c>
    </row>
    <row r="2789" spans="1:13" s="188" customFormat="1">
      <c r="A2789" s="185" t="s">
        <v>1447</v>
      </c>
      <c r="B2789" s="133" t="s">
        <v>6136</v>
      </c>
      <c r="C2789" s="185" t="s">
        <v>3023</v>
      </c>
      <c r="D2789" s="133" t="s">
        <v>1782</v>
      </c>
      <c r="E2789" s="134">
        <v>1</v>
      </c>
      <c r="F2789" s="135" t="s">
        <v>1449</v>
      </c>
      <c r="G2789" s="185" t="s">
        <v>15</v>
      </c>
      <c r="H2789" s="185" t="s">
        <v>15</v>
      </c>
      <c r="I2789" s="185" t="s">
        <v>15</v>
      </c>
      <c r="J2789" s="135" t="s">
        <v>1450</v>
      </c>
      <c r="K2789" s="186">
        <v>264</v>
      </c>
      <c r="L2789" s="187" t="s">
        <v>173</v>
      </c>
      <c r="M2789" s="187" t="s">
        <v>175</v>
      </c>
    </row>
    <row r="2790" spans="1:13" s="188" customFormat="1">
      <c r="A2790" s="185" t="s">
        <v>1447</v>
      </c>
      <c r="B2790" s="133" t="s">
        <v>6137</v>
      </c>
      <c r="C2790" s="185" t="s">
        <v>3023</v>
      </c>
      <c r="D2790" s="133" t="s">
        <v>1782</v>
      </c>
      <c r="E2790" s="134">
        <v>1</v>
      </c>
      <c r="F2790" s="135" t="s">
        <v>1449</v>
      </c>
      <c r="G2790" s="185" t="s">
        <v>15</v>
      </c>
      <c r="H2790" s="185" t="s">
        <v>15</v>
      </c>
      <c r="I2790" s="185" t="s">
        <v>15</v>
      </c>
      <c r="J2790" s="135" t="s">
        <v>1450</v>
      </c>
      <c r="K2790" s="186">
        <v>240</v>
      </c>
      <c r="L2790" s="187" t="s">
        <v>173</v>
      </c>
      <c r="M2790" s="187" t="s">
        <v>175</v>
      </c>
    </row>
    <row r="2791" spans="1:13" s="188" customFormat="1">
      <c r="A2791" s="185" t="s">
        <v>1447</v>
      </c>
      <c r="B2791" s="133" t="s">
        <v>6138</v>
      </c>
      <c r="C2791" s="185" t="s">
        <v>3023</v>
      </c>
      <c r="D2791" s="133" t="s">
        <v>1782</v>
      </c>
      <c r="E2791" s="134">
        <v>1</v>
      </c>
      <c r="F2791" s="135" t="s">
        <v>1449</v>
      </c>
      <c r="G2791" s="185" t="s">
        <v>15</v>
      </c>
      <c r="H2791" s="185" t="s">
        <v>15</v>
      </c>
      <c r="I2791" s="185" t="s">
        <v>15</v>
      </c>
      <c r="J2791" s="135" t="s">
        <v>1450</v>
      </c>
      <c r="K2791" s="186">
        <v>216</v>
      </c>
      <c r="L2791" s="187" t="s">
        <v>173</v>
      </c>
      <c r="M2791" s="187" t="s">
        <v>175</v>
      </c>
    </row>
    <row r="2792" spans="1:13" s="188" customFormat="1">
      <c r="A2792" s="185" t="s">
        <v>1447</v>
      </c>
      <c r="B2792" s="133" t="s">
        <v>6139</v>
      </c>
      <c r="C2792" s="185" t="s">
        <v>3023</v>
      </c>
      <c r="D2792" s="133" t="s">
        <v>1782</v>
      </c>
      <c r="E2792" s="134">
        <v>1</v>
      </c>
      <c r="F2792" s="135" t="s">
        <v>1449</v>
      </c>
      <c r="G2792" s="185" t="s">
        <v>15</v>
      </c>
      <c r="H2792" s="185" t="s">
        <v>15</v>
      </c>
      <c r="I2792" s="185" t="s">
        <v>15</v>
      </c>
      <c r="J2792" s="135" t="s">
        <v>1450</v>
      </c>
      <c r="K2792" s="186">
        <v>192</v>
      </c>
      <c r="L2792" s="187" t="s">
        <v>173</v>
      </c>
      <c r="M2792" s="187" t="s">
        <v>175</v>
      </c>
    </row>
    <row r="2793" spans="1:13" s="188" customFormat="1">
      <c r="A2793" s="185" t="s">
        <v>1447</v>
      </c>
      <c r="B2793" s="133" t="s">
        <v>6140</v>
      </c>
      <c r="C2793" s="185" t="s">
        <v>3023</v>
      </c>
      <c r="D2793" s="133" t="s">
        <v>1782</v>
      </c>
      <c r="E2793" s="134">
        <v>1</v>
      </c>
      <c r="F2793" s="135" t="s">
        <v>1449</v>
      </c>
      <c r="G2793" s="185" t="s">
        <v>15</v>
      </c>
      <c r="H2793" s="185" t="s">
        <v>15</v>
      </c>
      <c r="I2793" s="185" t="s">
        <v>15</v>
      </c>
      <c r="J2793" s="135" t="s">
        <v>1450</v>
      </c>
      <c r="K2793" s="186">
        <v>156</v>
      </c>
      <c r="L2793" s="187" t="s">
        <v>173</v>
      </c>
      <c r="M2793" s="187" t="s">
        <v>175</v>
      </c>
    </row>
    <row r="2794" spans="1:13" s="188" customFormat="1">
      <c r="A2794" s="185" t="s">
        <v>1447</v>
      </c>
      <c r="B2794" s="133" t="s">
        <v>6141</v>
      </c>
      <c r="C2794" s="185" t="s">
        <v>3023</v>
      </c>
      <c r="D2794" s="133" t="s">
        <v>1782</v>
      </c>
      <c r="E2794" s="134">
        <v>1</v>
      </c>
      <c r="F2794" s="135" t="s">
        <v>1449</v>
      </c>
      <c r="G2794" s="185" t="s">
        <v>15</v>
      </c>
      <c r="H2794" s="185" t="s">
        <v>15</v>
      </c>
      <c r="I2794" s="185" t="s">
        <v>15</v>
      </c>
      <c r="J2794" s="135" t="s">
        <v>1450</v>
      </c>
      <c r="K2794" s="186">
        <v>120</v>
      </c>
      <c r="L2794" s="187" t="s">
        <v>173</v>
      </c>
      <c r="M2794" s="187" t="s">
        <v>175</v>
      </c>
    </row>
    <row r="2795" spans="1:13" s="188" customFormat="1">
      <c r="A2795" s="185" t="s">
        <v>1447</v>
      </c>
      <c r="B2795" s="133" t="s">
        <v>6142</v>
      </c>
      <c r="C2795" s="185" t="s">
        <v>3023</v>
      </c>
      <c r="D2795" s="133" t="s">
        <v>1782</v>
      </c>
      <c r="E2795" s="134">
        <v>1</v>
      </c>
      <c r="F2795" s="135" t="s">
        <v>1449</v>
      </c>
      <c r="G2795" s="185" t="s">
        <v>15</v>
      </c>
      <c r="H2795" s="185" t="s">
        <v>15</v>
      </c>
      <c r="I2795" s="185" t="s">
        <v>15</v>
      </c>
      <c r="J2795" s="135" t="s">
        <v>1450</v>
      </c>
      <c r="K2795" s="186">
        <v>87.12</v>
      </c>
      <c r="L2795" s="187" t="s">
        <v>173</v>
      </c>
      <c r="M2795" s="187" t="s">
        <v>175</v>
      </c>
    </row>
    <row r="2796" spans="1:13" s="188" customFormat="1">
      <c r="A2796" s="185" t="s">
        <v>1447</v>
      </c>
      <c r="B2796" s="133" t="s">
        <v>6143</v>
      </c>
      <c r="C2796" s="185" t="s">
        <v>3023</v>
      </c>
      <c r="D2796" s="133" t="s">
        <v>1782</v>
      </c>
      <c r="E2796" s="134">
        <v>1</v>
      </c>
      <c r="F2796" s="135" t="s">
        <v>1449</v>
      </c>
      <c r="G2796" s="185" t="s">
        <v>15</v>
      </c>
      <c r="H2796" s="185" t="s">
        <v>15</v>
      </c>
      <c r="I2796" s="185" t="s">
        <v>15</v>
      </c>
      <c r="J2796" s="135" t="s">
        <v>1450</v>
      </c>
      <c r="K2796" s="186">
        <v>62.28</v>
      </c>
      <c r="L2796" s="187" t="s">
        <v>173</v>
      </c>
      <c r="M2796" s="187" t="s">
        <v>175</v>
      </c>
    </row>
    <row r="2797" spans="1:13" s="188" customFormat="1">
      <c r="A2797" s="185" t="s">
        <v>1447</v>
      </c>
      <c r="B2797" s="133" t="s">
        <v>6144</v>
      </c>
      <c r="C2797" s="185" t="s">
        <v>3023</v>
      </c>
      <c r="D2797" s="133" t="s">
        <v>1782</v>
      </c>
      <c r="E2797" s="134">
        <v>1</v>
      </c>
      <c r="F2797" s="135" t="s">
        <v>1449</v>
      </c>
      <c r="G2797" s="185" t="s">
        <v>15</v>
      </c>
      <c r="H2797" s="185" t="s">
        <v>15</v>
      </c>
      <c r="I2797" s="185" t="s">
        <v>15</v>
      </c>
      <c r="J2797" s="135" t="s">
        <v>1450</v>
      </c>
      <c r="K2797" s="186">
        <v>46.68</v>
      </c>
      <c r="L2797" s="187" t="s">
        <v>173</v>
      </c>
      <c r="M2797" s="187" t="s">
        <v>175</v>
      </c>
    </row>
    <row r="2798" spans="1:13" s="188" customFormat="1">
      <c r="A2798" s="185" t="s">
        <v>1447</v>
      </c>
      <c r="B2798" s="133" t="s">
        <v>6145</v>
      </c>
      <c r="C2798" s="185" t="s">
        <v>3023</v>
      </c>
      <c r="D2798" s="133" t="s">
        <v>1782</v>
      </c>
      <c r="E2798" s="134">
        <v>1</v>
      </c>
      <c r="F2798" s="135" t="s">
        <v>1449</v>
      </c>
      <c r="G2798" s="185" t="s">
        <v>15</v>
      </c>
      <c r="H2798" s="185" t="s">
        <v>15</v>
      </c>
      <c r="I2798" s="185" t="s">
        <v>15</v>
      </c>
      <c r="J2798" s="135" t="s">
        <v>1450</v>
      </c>
      <c r="K2798" s="186">
        <v>37.32</v>
      </c>
      <c r="L2798" s="187" t="s">
        <v>173</v>
      </c>
      <c r="M2798" s="187" t="s">
        <v>175</v>
      </c>
    </row>
    <row r="2799" spans="1:13" s="188" customFormat="1">
      <c r="A2799" s="185" t="s">
        <v>1447</v>
      </c>
      <c r="B2799" s="133" t="s">
        <v>6146</v>
      </c>
      <c r="C2799" s="185" t="s">
        <v>3023</v>
      </c>
      <c r="D2799" s="133" t="s">
        <v>1782</v>
      </c>
      <c r="E2799" s="134">
        <v>1</v>
      </c>
      <c r="F2799" s="135" t="s">
        <v>1449</v>
      </c>
      <c r="G2799" s="185" t="s">
        <v>15</v>
      </c>
      <c r="H2799" s="185" t="s">
        <v>15</v>
      </c>
      <c r="I2799" s="185" t="s">
        <v>15</v>
      </c>
      <c r="J2799" s="135" t="s">
        <v>1450</v>
      </c>
      <c r="K2799" s="186">
        <v>27.96</v>
      </c>
      <c r="L2799" s="187" t="s">
        <v>173</v>
      </c>
      <c r="M2799" s="187" t="s">
        <v>175</v>
      </c>
    </row>
    <row r="2800" spans="1:13" s="188" customFormat="1">
      <c r="A2800" s="185" t="s">
        <v>1447</v>
      </c>
      <c r="B2800" s="133" t="s">
        <v>6147</v>
      </c>
      <c r="C2800" s="185" t="s">
        <v>3023</v>
      </c>
      <c r="D2800" s="133" t="s">
        <v>1782</v>
      </c>
      <c r="E2800" s="134">
        <v>1</v>
      </c>
      <c r="F2800" s="135" t="s">
        <v>1449</v>
      </c>
      <c r="G2800" s="185" t="s">
        <v>15</v>
      </c>
      <c r="H2800" s="185" t="s">
        <v>15</v>
      </c>
      <c r="I2800" s="185" t="s">
        <v>15</v>
      </c>
      <c r="J2800" s="135" t="s">
        <v>1450</v>
      </c>
      <c r="K2800" s="186">
        <v>15.600000000000001</v>
      </c>
      <c r="L2800" s="187" t="s">
        <v>173</v>
      </c>
      <c r="M2800" s="187" t="s">
        <v>175</v>
      </c>
    </row>
    <row r="2801" spans="1:13" s="188" customFormat="1">
      <c r="A2801" s="185" t="s">
        <v>1447</v>
      </c>
      <c r="B2801" s="133" t="s">
        <v>6148</v>
      </c>
      <c r="C2801" s="185" t="s">
        <v>3023</v>
      </c>
      <c r="D2801" s="133" t="s">
        <v>1782</v>
      </c>
      <c r="E2801" s="134">
        <v>1</v>
      </c>
      <c r="F2801" s="135" t="s">
        <v>1449</v>
      </c>
      <c r="G2801" s="185" t="s">
        <v>15</v>
      </c>
      <c r="H2801" s="185" t="s">
        <v>15</v>
      </c>
      <c r="I2801" s="185" t="s">
        <v>15</v>
      </c>
      <c r="J2801" s="135" t="s">
        <v>1450</v>
      </c>
      <c r="K2801" s="186">
        <v>9.36</v>
      </c>
      <c r="L2801" s="187" t="s">
        <v>173</v>
      </c>
      <c r="M2801" s="187" t="s">
        <v>175</v>
      </c>
    </row>
    <row r="2802" spans="1:13" s="188" customFormat="1">
      <c r="A2802" s="185" t="s">
        <v>1447</v>
      </c>
      <c r="B2802" s="133" t="s">
        <v>6149</v>
      </c>
      <c r="C2802" s="185" t="s">
        <v>3023</v>
      </c>
      <c r="D2802" s="133" t="s">
        <v>1782</v>
      </c>
      <c r="E2802" s="134">
        <v>1</v>
      </c>
      <c r="F2802" s="135" t="s">
        <v>1449</v>
      </c>
      <c r="G2802" s="185" t="s">
        <v>15</v>
      </c>
      <c r="H2802" s="185" t="s">
        <v>15</v>
      </c>
      <c r="I2802" s="185" t="s">
        <v>15</v>
      </c>
      <c r="J2802" s="135" t="s">
        <v>1450</v>
      </c>
      <c r="K2802" s="186">
        <v>6.24</v>
      </c>
      <c r="L2802" s="187" t="s">
        <v>173</v>
      </c>
      <c r="M2802" s="187" t="s">
        <v>175</v>
      </c>
    </row>
    <row r="2803" spans="1:13" s="188" customFormat="1">
      <c r="A2803" s="185" t="s">
        <v>1447</v>
      </c>
      <c r="B2803" s="133" t="s">
        <v>6150</v>
      </c>
      <c r="C2803" s="185" t="s">
        <v>3023</v>
      </c>
      <c r="D2803" s="133" t="s">
        <v>1783</v>
      </c>
      <c r="E2803" s="134">
        <v>1</v>
      </c>
      <c r="F2803" s="135" t="s">
        <v>1449</v>
      </c>
      <c r="G2803" s="185" t="s">
        <v>15</v>
      </c>
      <c r="H2803" s="185" t="s">
        <v>15</v>
      </c>
      <c r="I2803" s="185" t="s">
        <v>15</v>
      </c>
      <c r="J2803" s="135" t="s">
        <v>1450</v>
      </c>
      <c r="K2803" s="186">
        <v>156</v>
      </c>
      <c r="L2803" s="187" t="s">
        <v>173</v>
      </c>
      <c r="M2803" s="187" t="s">
        <v>175</v>
      </c>
    </row>
    <row r="2804" spans="1:13" s="188" customFormat="1">
      <c r="A2804" s="185" t="s">
        <v>1447</v>
      </c>
      <c r="B2804" s="133" t="s">
        <v>6151</v>
      </c>
      <c r="C2804" s="185" t="s">
        <v>3023</v>
      </c>
      <c r="D2804" s="133" t="s">
        <v>1783</v>
      </c>
      <c r="E2804" s="134">
        <v>1</v>
      </c>
      <c r="F2804" s="135" t="s">
        <v>1449</v>
      </c>
      <c r="G2804" s="185" t="s">
        <v>15</v>
      </c>
      <c r="H2804" s="185" t="s">
        <v>15</v>
      </c>
      <c r="I2804" s="185" t="s">
        <v>15</v>
      </c>
      <c r="J2804" s="135" t="s">
        <v>1450</v>
      </c>
      <c r="K2804" s="186">
        <v>120</v>
      </c>
      <c r="L2804" s="187" t="s">
        <v>173</v>
      </c>
      <c r="M2804" s="187" t="s">
        <v>175</v>
      </c>
    </row>
    <row r="2805" spans="1:13" s="188" customFormat="1">
      <c r="A2805" s="185" t="s">
        <v>1447</v>
      </c>
      <c r="B2805" s="133" t="s">
        <v>6152</v>
      </c>
      <c r="C2805" s="185" t="s">
        <v>3023</v>
      </c>
      <c r="D2805" s="133" t="s">
        <v>1783</v>
      </c>
      <c r="E2805" s="134">
        <v>1</v>
      </c>
      <c r="F2805" s="135" t="s">
        <v>1449</v>
      </c>
      <c r="G2805" s="185" t="s">
        <v>15</v>
      </c>
      <c r="H2805" s="185" t="s">
        <v>15</v>
      </c>
      <c r="I2805" s="185" t="s">
        <v>15</v>
      </c>
      <c r="J2805" s="135" t="s">
        <v>1450</v>
      </c>
      <c r="K2805" s="186">
        <v>87.12</v>
      </c>
      <c r="L2805" s="187" t="s">
        <v>173</v>
      </c>
      <c r="M2805" s="187" t="s">
        <v>175</v>
      </c>
    </row>
    <row r="2806" spans="1:13" s="188" customFormat="1">
      <c r="A2806" s="185" t="s">
        <v>1447</v>
      </c>
      <c r="B2806" s="133" t="s">
        <v>6153</v>
      </c>
      <c r="C2806" s="185" t="s">
        <v>3023</v>
      </c>
      <c r="D2806" s="133" t="s">
        <v>1783</v>
      </c>
      <c r="E2806" s="134">
        <v>1</v>
      </c>
      <c r="F2806" s="135" t="s">
        <v>1449</v>
      </c>
      <c r="G2806" s="185" t="s">
        <v>15</v>
      </c>
      <c r="H2806" s="185" t="s">
        <v>15</v>
      </c>
      <c r="I2806" s="185" t="s">
        <v>15</v>
      </c>
      <c r="J2806" s="135" t="s">
        <v>1450</v>
      </c>
      <c r="K2806" s="186">
        <v>62.28</v>
      </c>
      <c r="L2806" s="187" t="s">
        <v>173</v>
      </c>
      <c r="M2806" s="187" t="s">
        <v>175</v>
      </c>
    </row>
    <row r="2807" spans="1:13" s="188" customFormat="1">
      <c r="A2807" s="185" t="s">
        <v>1447</v>
      </c>
      <c r="B2807" s="133" t="s">
        <v>6154</v>
      </c>
      <c r="C2807" s="185" t="s">
        <v>3023</v>
      </c>
      <c r="D2807" s="133" t="s">
        <v>1783</v>
      </c>
      <c r="E2807" s="134">
        <v>1</v>
      </c>
      <c r="F2807" s="135" t="s">
        <v>1449</v>
      </c>
      <c r="G2807" s="185" t="s">
        <v>15</v>
      </c>
      <c r="H2807" s="185" t="s">
        <v>15</v>
      </c>
      <c r="I2807" s="185" t="s">
        <v>15</v>
      </c>
      <c r="J2807" s="135" t="s">
        <v>1450</v>
      </c>
      <c r="K2807" s="186">
        <v>46.68</v>
      </c>
      <c r="L2807" s="187" t="s">
        <v>173</v>
      </c>
      <c r="M2807" s="187" t="s">
        <v>175</v>
      </c>
    </row>
    <row r="2808" spans="1:13" s="188" customFormat="1">
      <c r="A2808" s="185" t="s">
        <v>1447</v>
      </c>
      <c r="B2808" s="133" t="s">
        <v>6155</v>
      </c>
      <c r="C2808" s="185" t="s">
        <v>3023</v>
      </c>
      <c r="D2808" s="133" t="s">
        <v>1783</v>
      </c>
      <c r="E2808" s="134">
        <v>1</v>
      </c>
      <c r="F2808" s="135" t="s">
        <v>1449</v>
      </c>
      <c r="G2808" s="185" t="s">
        <v>15</v>
      </c>
      <c r="H2808" s="185" t="s">
        <v>15</v>
      </c>
      <c r="I2808" s="185" t="s">
        <v>15</v>
      </c>
      <c r="J2808" s="135" t="s">
        <v>1450</v>
      </c>
      <c r="K2808" s="186">
        <v>37.32</v>
      </c>
      <c r="L2808" s="187" t="s">
        <v>173</v>
      </c>
      <c r="M2808" s="187" t="s">
        <v>175</v>
      </c>
    </row>
    <row r="2809" spans="1:13" s="188" customFormat="1">
      <c r="A2809" s="185" t="s">
        <v>1447</v>
      </c>
      <c r="B2809" s="133" t="s">
        <v>6156</v>
      </c>
      <c r="C2809" s="185" t="s">
        <v>3023</v>
      </c>
      <c r="D2809" s="133" t="s">
        <v>1783</v>
      </c>
      <c r="E2809" s="134">
        <v>1</v>
      </c>
      <c r="F2809" s="135" t="s">
        <v>1449</v>
      </c>
      <c r="G2809" s="185" t="s">
        <v>15</v>
      </c>
      <c r="H2809" s="185" t="s">
        <v>15</v>
      </c>
      <c r="I2809" s="185" t="s">
        <v>15</v>
      </c>
      <c r="J2809" s="135" t="s">
        <v>1450</v>
      </c>
      <c r="K2809" s="186">
        <v>27.96</v>
      </c>
      <c r="L2809" s="187" t="s">
        <v>173</v>
      </c>
      <c r="M2809" s="187" t="s">
        <v>175</v>
      </c>
    </row>
    <row r="2810" spans="1:13" s="188" customFormat="1">
      <c r="A2810" s="185" t="s">
        <v>1447</v>
      </c>
      <c r="B2810" s="133" t="s">
        <v>6157</v>
      </c>
      <c r="C2810" s="185" t="s">
        <v>3023</v>
      </c>
      <c r="D2810" s="133" t="s">
        <v>1783</v>
      </c>
      <c r="E2810" s="134">
        <v>1</v>
      </c>
      <c r="F2810" s="135" t="s">
        <v>1449</v>
      </c>
      <c r="G2810" s="185" t="s">
        <v>15</v>
      </c>
      <c r="H2810" s="185" t="s">
        <v>15</v>
      </c>
      <c r="I2810" s="185" t="s">
        <v>15</v>
      </c>
      <c r="J2810" s="135" t="s">
        <v>1450</v>
      </c>
      <c r="K2810" s="186">
        <v>15.600000000000001</v>
      </c>
      <c r="L2810" s="187" t="s">
        <v>173</v>
      </c>
      <c r="M2810" s="187" t="s">
        <v>175</v>
      </c>
    </row>
    <row r="2811" spans="1:13" s="188" customFormat="1">
      <c r="A2811" s="185" t="s">
        <v>1447</v>
      </c>
      <c r="B2811" s="133" t="s">
        <v>6158</v>
      </c>
      <c r="C2811" s="185" t="s">
        <v>3023</v>
      </c>
      <c r="D2811" s="133" t="s">
        <v>1783</v>
      </c>
      <c r="E2811" s="134">
        <v>1</v>
      </c>
      <c r="F2811" s="135" t="s">
        <v>1449</v>
      </c>
      <c r="G2811" s="185" t="s">
        <v>15</v>
      </c>
      <c r="H2811" s="185" t="s">
        <v>15</v>
      </c>
      <c r="I2811" s="185" t="s">
        <v>15</v>
      </c>
      <c r="J2811" s="135" t="s">
        <v>1450</v>
      </c>
      <c r="K2811" s="186">
        <v>9.36</v>
      </c>
      <c r="L2811" s="187" t="s">
        <v>173</v>
      </c>
      <c r="M2811" s="187" t="s">
        <v>175</v>
      </c>
    </row>
    <row r="2812" spans="1:13" s="188" customFormat="1">
      <c r="A2812" s="185" t="s">
        <v>1447</v>
      </c>
      <c r="B2812" s="133" t="s">
        <v>6159</v>
      </c>
      <c r="C2812" s="185" t="s">
        <v>3023</v>
      </c>
      <c r="D2812" s="133" t="s">
        <v>1783</v>
      </c>
      <c r="E2812" s="134">
        <v>1</v>
      </c>
      <c r="F2812" s="135" t="s">
        <v>1449</v>
      </c>
      <c r="G2812" s="185" t="s">
        <v>15</v>
      </c>
      <c r="H2812" s="185" t="s">
        <v>15</v>
      </c>
      <c r="I2812" s="185" t="s">
        <v>15</v>
      </c>
      <c r="J2812" s="135" t="s">
        <v>1450</v>
      </c>
      <c r="K2812" s="186">
        <v>6.24</v>
      </c>
      <c r="L2812" s="187" t="s">
        <v>173</v>
      </c>
      <c r="M2812" s="187" t="s">
        <v>175</v>
      </c>
    </row>
    <row r="2813" spans="1:13" s="188" customFormat="1">
      <c r="A2813" s="185" t="s">
        <v>1447</v>
      </c>
      <c r="B2813" s="133" t="s">
        <v>6160</v>
      </c>
      <c r="C2813" s="185" t="s">
        <v>3023</v>
      </c>
      <c r="D2813" s="133" t="s">
        <v>1784</v>
      </c>
      <c r="E2813" s="134">
        <v>1</v>
      </c>
      <c r="F2813" s="135" t="s">
        <v>1449</v>
      </c>
      <c r="G2813" s="185" t="s">
        <v>15</v>
      </c>
      <c r="H2813" s="185" t="s">
        <v>15</v>
      </c>
      <c r="I2813" s="185" t="s">
        <v>15</v>
      </c>
      <c r="J2813" s="135" t="s">
        <v>1450</v>
      </c>
      <c r="K2813" s="186">
        <v>432</v>
      </c>
      <c r="L2813" s="187" t="s">
        <v>173</v>
      </c>
      <c r="M2813" s="187" t="s">
        <v>175</v>
      </c>
    </row>
    <row r="2814" spans="1:13" s="188" customFormat="1">
      <c r="A2814" s="185" t="s">
        <v>1447</v>
      </c>
      <c r="B2814" s="133" t="s">
        <v>6161</v>
      </c>
      <c r="C2814" s="185" t="s">
        <v>3023</v>
      </c>
      <c r="D2814" s="133" t="s">
        <v>1785</v>
      </c>
      <c r="E2814" s="134">
        <v>1</v>
      </c>
      <c r="F2814" s="135" t="s">
        <v>1449</v>
      </c>
      <c r="G2814" s="185" t="s">
        <v>15</v>
      </c>
      <c r="H2814" s="185" t="s">
        <v>15</v>
      </c>
      <c r="I2814" s="185" t="s">
        <v>15</v>
      </c>
      <c r="J2814" s="135" t="s">
        <v>1450</v>
      </c>
      <c r="K2814" s="186">
        <v>1560</v>
      </c>
      <c r="L2814" s="187" t="s">
        <v>173</v>
      </c>
      <c r="M2814" s="187" t="s">
        <v>175</v>
      </c>
    </row>
    <row r="2815" spans="1:13" s="188" customFormat="1">
      <c r="A2815" s="185" t="s">
        <v>1447</v>
      </c>
      <c r="B2815" s="133" t="s">
        <v>6162</v>
      </c>
      <c r="C2815" s="185" t="s">
        <v>3023</v>
      </c>
      <c r="D2815" s="133" t="s">
        <v>1786</v>
      </c>
      <c r="E2815" s="134">
        <v>1</v>
      </c>
      <c r="F2815" s="135" t="s">
        <v>1449</v>
      </c>
      <c r="G2815" s="185" t="s">
        <v>15</v>
      </c>
      <c r="H2815" s="185" t="s">
        <v>15</v>
      </c>
      <c r="I2815" s="185" t="s">
        <v>15</v>
      </c>
      <c r="J2815" s="135" t="s">
        <v>1450</v>
      </c>
      <c r="K2815" s="186">
        <v>1560</v>
      </c>
      <c r="L2815" s="187" t="s">
        <v>173</v>
      </c>
      <c r="M2815" s="187" t="s">
        <v>175</v>
      </c>
    </row>
    <row r="2816" spans="1:13" s="188" customFormat="1">
      <c r="A2816" s="185" t="s">
        <v>1447</v>
      </c>
      <c r="B2816" s="133" t="s">
        <v>6163</v>
      </c>
      <c r="C2816" s="185" t="s">
        <v>3023</v>
      </c>
      <c r="D2816" s="133" t="s">
        <v>1787</v>
      </c>
      <c r="E2816" s="134">
        <v>1</v>
      </c>
      <c r="F2816" s="135" t="s">
        <v>1449</v>
      </c>
      <c r="G2816" s="185" t="s">
        <v>15</v>
      </c>
      <c r="H2816" s="185" t="s">
        <v>15</v>
      </c>
      <c r="I2816" s="185" t="s">
        <v>15</v>
      </c>
      <c r="J2816" s="135" t="s">
        <v>1450</v>
      </c>
      <c r="K2816" s="186">
        <v>1560</v>
      </c>
      <c r="L2816" s="187" t="s">
        <v>173</v>
      </c>
      <c r="M2816" s="187" t="s">
        <v>175</v>
      </c>
    </row>
    <row r="2817" spans="1:13" s="188" customFormat="1">
      <c r="A2817" s="185" t="s">
        <v>1447</v>
      </c>
      <c r="B2817" s="133" t="s">
        <v>6164</v>
      </c>
      <c r="C2817" s="185" t="s">
        <v>3023</v>
      </c>
      <c r="D2817" s="133" t="s">
        <v>1788</v>
      </c>
      <c r="E2817" s="134">
        <v>1</v>
      </c>
      <c r="F2817" s="135" t="s">
        <v>1449</v>
      </c>
      <c r="G2817" s="185" t="s">
        <v>15</v>
      </c>
      <c r="H2817" s="185" t="s">
        <v>15</v>
      </c>
      <c r="I2817" s="185" t="s">
        <v>15</v>
      </c>
      <c r="J2817" s="135" t="s">
        <v>1450</v>
      </c>
      <c r="K2817" s="186">
        <v>1560</v>
      </c>
      <c r="L2817" s="187" t="s">
        <v>173</v>
      </c>
      <c r="M2817" s="187" t="s">
        <v>175</v>
      </c>
    </row>
    <row r="2818" spans="1:13" s="188" customFormat="1">
      <c r="A2818" s="185" t="s">
        <v>1447</v>
      </c>
      <c r="B2818" s="133" t="s">
        <v>6165</v>
      </c>
      <c r="C2818" s="185" t="s">
        <v>3023</v>
      </c>
      <c r="D2818" s="133" t="s">
        <v>1789</v>
      </c>
      <c r="E2818" s="134">
        <v>1</v>
      </c>
      <c r="F2818" s="135" t="s">
        <v>1449</v>
      </c>
      <c r="G2818" s="185" t="s">
        <v>15</v>
      </c>
      <c r="H2818" s="185" t="s">
        <v>15</v>
      </c>
      <c r="I2818" s="185" t="s">
        <v>15</v>
      </c>
      <c r="J2818" s="135" t="s">
        <v>1450</v>
      </c>
      <c r="K2818" s="186">
        <v>1560</v>
      </c>
      <c r="L2818" s="187" t="s">
        <v>173</v>
      </c>
      <c r="M2818" s="187" t="s">
        <v>175</v>
      </c>
    </row>
    <row r="2819" spans="1:13" s="188" customFormat="1">
      <c r="A2819" s="185" t="s">
        <v>1447</v>
      </c>
      <c r="B2819" s="133" t="s">
        <v>6166</v>
      </c>
      <c r="C2819" s="185" t="s">
        <v>3023</v>
      </c>
      <c r="D2819" s="133" t="s">
        <v>1790</v>
      </c>
      <c r="E2819" s="134">
        <v>1</v>
      </c>
      <c r="F2819" s="135" t="s">
        <v>1449</v>
      </c>
      <c r="G2819" s="185" t="s">
        <v>15</v>
      </c>
      <c r="H2819" s="185" t="s">
        <v>15</v>
      </c>
      <c r="I2819" s="185" t="s">
        <v>15</v>
      </c>
      <c r="J2819" s="135" t="s">
        <v>1450</v>
      </c>
      <c r="K2819" s="186">
        <v>1560</v>
      </c>
      <c r="L2819" s="187" t="s">
        <v>173</v>
      </c>
      <c r="M2819" s="187" t="s">
        <v>175</v>
      </c>
    </row>
    <row r="2820" spans="1:13" s="188" customFormat="1">
      <c r="A2820" s="185" t="s">
        <v>1447</v>
      </c>
      <c r="B2820" s="133" t="s">
        <v>6167</v>
      </c>
      <c r="C2820" s="185" t="s">
        <v>3023</v>
      </c>
      <c r="D2820" s="133" t="s">
        <v>1791</v>
      </c>
      <c r="E2820" s="134">
        <v>1</v>
      </c>
      <c r="F2820" s="135" t="s">
        <v>1449</v>
      </c>
      <c r="G2820" s="185" t="s">
        <v>15</v>
      </c>
      <c r="H2820" s="185" t="s">
        <v>15</v>
      </c>
      <c r="I2820" s="185" t="s">
        <v>15</v>
      </c>
      <c r="J2820" s="135" t="s">
        <v>1450</v>
      </c>
      <c r="K2820" s="186">
        <v>1560</v>
      </c>
      <c r="L2820" s="187" t="s">
        <v>173</v>
      </c>
      <c r="M2820" s="187" t="s">
        <v>175</v>
      </c>
    </row>
    <row r="2821" spans="1:13" s="188" customFormat="1">
      <c r="A2821" s="185" t="s">
        <v>1447</v>
      </c>
      <c r="B2821" s="133" t="s">
        <v>6168</v>
      </c>
      <c r="C2821" s="185" t="s">
        <v>3023</v>
      </c>
      <c r="D2821" s="133" t="s">
        <v>1792</v>
      </c>
      <c r="E2821" s="134">
        <v>1</v>
      </c>
      <c r="F2821" s="135" t="s">
        <v>1449</v>
      </c>
      <c r="G2821" s="185" t="s">
        <v>15</v>
      </c>
      <c r="H2821" s="185" t="s">
        <v>15</v>
      </c>
      <c r="I2821" s="185" t="s">
        <v>15</v>
      </c>
      <c r="J2821" s="135" t="s">
        <v>1450</v>
      </c>
      <c r="K2821" s="186">
        <v>114.12</v>
      </c>
      <c r="L2821" s="187" t="s">
        <v>173</v>
      </c>
      <c r="M2821" s="187" t="s">
        <v>175</v>
      </c>
    </row>
    <row r="2822" spans="1:13" s="188" customFormat="1">
      <c r="A2822" s="185" t="s">
        <v>1447</v>
      </c>
      <c r="B2822" s="133" t="s">
        <v>6169</v>
      </c>
      <c r="C2822" s="185" t="s">
        <v>3023</v>
      </c>
      <c r="D2822" s="133" t="s">
        <v>1792</v>
      </c>
      <c r="E2822" s="134">
        <v>1</v>
      </c>
      <c r="F2822" s="135" t="s">
        <v>1449</v>
      </c>
      <c r="G2822" s="185" t="s">
        <v>15</v>
      </c>
      <c r="H2822" s="185" t="s">
        <v>15</v>
      </c>
      <c r="I2822" s="185" t="s">
        <v>15</v>
      </c>
      <c r="J2822" s="135" t="s">
        <v>1450</v>
      </c>
      <c r="K2822" s="186">
        <v>92.4</v>
      </c>
      <c r="L2822" s="187" t="s">
        <v>173</v>
      </c>
      <c r="M2822" s="187" t="s">
        <v>175</v>
      </c>
    </row>
    <row r="2823" spans="1:13" s="188" customFormat="1">
      <c r="A2823" s="185" t="s">
        <v>1447</v>
      </c>
      <c r="B2823" s="133" t="s">
        <v>6170</v>
      </c>
      <c r="C2823" s="185" t="s">
        <v>3023</v>
      </c>
      <c r="D2823" s="133" t="s">
        <v>1792</v>
      </c>
      <c r="E2823" s="134">
        <v>1</v>
      </c>
      <c r="F2823" s="135" t="s">
        <v>1449</v>
      </c>
      <c r="G2823" s="185" t="s">
        <v>15</v>
      </c>
      <c r="H2823" s="185" t="s">
        <v>15</v>
      </c>
      <c r="I2823" s="185" t="s">
        <v>15</v>
      </c>
      <c r="J2823" s="135" t="s">
        <v>1450</v>
      </c>
      <c r="K2823" s="186">
        <v>61.199999999999996</v>
      </c>
      <c r="L2823" s="187" t="s">
        <v>173</v>
      </c>
      <c r="M2823" s="187" t="s">
        <v>175</v>
      </c>
    </row>
    <row r="2824" spans="1:13" s="188" customFormat="1">
      <c r="A2824" s="185" t="s">
        <v>1447</v>
      </c>
      <c r="B2824" s="133" t="s">
        <v>6171</v>
      </c>
      <c r="C2824" s="185" t="s">
        <v>3023</v>
      </c>
      <c r="D2824" s="133" t="s">
        <v>1792</v>
      </c>
      <c r="E2824" s="134">
        <v>1</v>
      </c>
      <c r="F2824" s="135" t="s">
        <v>1449</v>
      </c>
      <c r="G2824" s="185" t="s">
        <v>15</v>
      </c>
      <c r="H2824" s="185" t="s">
        <v>15</v>
      </c>
      <c r="I2824" s="185" t="s">
        <v>15</v>
      </c>
      <c r="J2824" s="135" t="s">
        <v>1450</v>
      </c>
      <c r="K2824" s="186">
        <v>40.44</v>
      </c>
      <c r="L2824" s="187" t="s">
        <v>173</v>
      </c>
      <c r="M2824" s="187" t="s">
        <v>175</v>
      </c>
    </row>
    <row r="2825" spans="1:13" s="188" customFormat="1">
      <c r="A2825" s="185" t="s">
        <v>1447</v>
      </c>
      <c r="B2825" s="133" t="s">
        <v>6172</v>
      </c>
      <c r="C2825" s="185" t="s">
        <v>3023</v>
      </c>
      <c r="D2825" s="133" t="s">
        <v>1792</v>
      </c>
      <c r="E2825" s="134">
        <v>1</v>
      </c>
      <c r="F2825" s="135" t="s">
        <v>1449</v>
      </c>
      <c r="G2825" s="185" t="s">
        <v>15</v>
      </c>
      <c r="H2825" s="185" t="s">
        <v>15</v>
      </c>
      <c r="I2825" s="185" t="s">
        <v>15</v>
      </c>
      <c r="J2825" s="135" t="s">
        <v>1450</v>
      </c>
      <c r="K2825" s="186">
        <v>33.24</v>
      </c>
      <c r="L2825" s="187" t="s">
        <v>173</v>
      </c>
      <c r="M2825" s="187" t="s">
        <v>175</v>
      </c>
    </row>
    <row r="2826" spans="1:13" s="188" customFormat="1">
      <c r="A2826" s="185" t="s">
        <v>1447</v>
      </c>
      <c r="B2826" s="133" t="s">
        <v>6173</v>
      </c>
      <c r="C2826" s="185" t="s">
        <v>3023</v>
      </c>
      <c r="D2826" s="133" t="s">
        <v>1792</v>
      </c>
      <c r="E2826" s="134">
        <v>1</v>
      </c>
      <c r="F2826" s="135" t="s">
        <v>1449</v>
      </c>
      <c r="G2826" s="185" t="s">
        <v>15</v>
      </c>
      <c r="H2826" s="185" t="s">
        <v>15</v>
      </c>
      <c r="I2826" s="185" t="s">
        <v>15</v>
      </c>
      <c r="J2826" s="135" t="s">
        <v>1450</v>
      </c>
      <c r="K2826" s="186">
        <v>27</v>
      </c>
      <c r="L2826" s="187" t="s">
        <v>173</v>
      </c>
      <c r="M2826" s="187" t="s">
        <v>175</v>
      </c>
    </row>
    <row r="2827" spans="1:13" s="188" customFormat="1">
      <c r="A2827" s="185" t="s">
        <v>1447</v>
      </c>
      <c r="B2827" s="133" t="s">
        <v>6174</v>
      </c>
      <c r="C2827" s="185" t="s">
        <v>3023</v>
      </c>
      <c r="D2827" s="133" t="s">
        <v>1792</v>
      </c>
      <c r="E2827" s="134">
        <v>1</v>
      </c>
      <c r="F2827" s="135" t="s">
        <v>1449</v>
      </c>
      <c r="G2827" s="185" t="s">
        <v>15</v>
      </c>
      <c r="H2827" s="185" t="s">
        <v>15</v>
      </c>
      <c r="I2827" s="185" t="s">
        <v>15</v>
      </c>
      <c r="J2827" s="135" t="s">
        <v>1450</v>
      </c>
      <c r="K2827" s="186">
        <v>21.84</v>
      </c>
      <c r="L2827" s="187" t="s">
        <v>173</v>
      </c>
      <c r="M2827" s="187" t="s">
        <v>175</v>
      </c>
    </row>
    <row r="2828" spans="1:13" s="188" customFormat="1">
      <c r="A2828" s="185" t="s">
        <v>1447</v>
      </c>
      <c r="B2828" s="133" t="s">
        <v>6175</v>
      </c>
      <c r="C2828" s="185" t="s">
        <v>3023</v>
      </c>
      <c r="D2828" s="133" t="s">
        <v>1792</v>
      </c>
      <c r="E2828" s="134">
        <v>1</v>
      </c>
      <c r="F2828" s="135" t="s">
        <v>1449</v>
      </c>
      <c r="G2828" s="185" t="s">
        <v>15</v>
      </c>
      <c r="H2828" s="185" t="s">
        <v>15</v>
      </c>
      <c r="I2828" s="185" t="s">
        <v>15</v>
      </c>
      <c r="J2828" s="135" t="s">
        <v>1450</v>
      </c>
      <c r="K2828" s="186">
        <v>19.919999999999998</v>
      </c>
      <c r="L2828" s="187" t="s">
        <v>173</v>
      </c>
      <c r="M2828" s="187" t="s">
        <v>175</v>
      </c>
    </row>
    <row r="2829" spans="1:13" s="188" customFormat="1">
      <c r="A2829" s="185" t="s">
        <v>1447</v>
      </c>
      <c r="B2829" s="133" t="s">
        <v>6176</v>
      </c>
      <c r="C2829" s="185" t="s">
        <v>3023</v>
      </c>
      <c r="D2829" s="133" t="s">
        <v>1792</v>
      </c>
      <c r="E2829" s="134">
        <v>1</v>
      </c>
      <c r="F2829" s="135" t="s">
        <v>1449</v>
      </c>
      <c r="G2829" s="185" t="s">
        <v>15</v>
      </c>
      <c r="H2829" s="185" t="s">
        <v>15</v>
      </c>
      <c r="I2829" s="185" t="s">
        <v>15</v>
      </c>
      <c r="J2829" s="135" t="s">
        <v>1450</v>
      </c>
      <c r="K2829" s="186">
        <v>18.72</v>
      </c>
      <c r="L2829" s="187" t="s">
        <v>173</v>
      </c>
      <c r="M2829" s="187" t="s">
        <v>175</v>
      </c>
    </row>
    <row r="2830" spans="1:13" s="188" customFormat="1">
      <c r="A2830" s="185" t="s">
        <v>1447</v>
      </c>
      <c r="B2830" s="133" t="s">
        <v>6177</v>
      </c>
      <c r="C2830" s="185" t="s">
        <v>3023</v>
      </c>
      <c r="D2830" s="133" t="s">
        <v>1793</v>
      </c>
      <c r="E2830" s="134">
        <v>1</v>
      </c>
      <c r="F2830" s="135" t="s">
        <v>1449</v>
      </c>
      <c r="G2830" s="185" t="s">
        <v>15</v>
      </c>
      <c r="H2830" s="185" t="s">
        <v>15</v>
      </c>
      <c r="I2830" s="185" t="s">
        <v>15</v>
      </c>
      <c r="J2830" s="135" t="s">
        <v>1450</v>
      </c>
      <c r="K2830" s="186">
        <v>624</v>
      </c>
      <c r="L2830" s="187" t="s">
        <v>173</v>
      </c>
      <c r="M2830" s="187" t="s">
        <v>175</v>
      </c>
    </row>
    <row r="2831" spans="1:13" s="188" customFormat="1">
      <c r="A2831" s="185" t="s">
        <v>1447</v>
      </c>
      <c r="B2831" s="133" t="s">
        <v>6178</v>
      </c>
      <c r="C2831" s="185" t="s">
        <v>3023</v>
      </c>
      <c r="D2831" s="133" t="s">
        <v>1793</v>
      </c>
      <c r="E2831" s="134">
        <v>1</v>
      </c>
      <c r="F2831" s="135" t="s">
        <v>1449</v>
      </c>
      <c r="G2831" s="185" t="s">
        <v>15</v>
      </c>
      <c r="H2831" s="185" t="s">
        <v>15</v>
      </c>
      <c r="I2831" s="185" t="s">
        <v>15</v>
      </c>
      <c r="J2831" s="135" t="s">
        <v>1450</v>
      </c>
      <c r="K2831" s="186">
        <v>564</v>
      </c>
      <c r="L2831" s="187" t="s">
        <v>173</v>
      </c>
      <c r="M2831" s="187" t="s">
        <v>175</v>
      </c>
    </row>
    <row r="2832" spans="1:13" s="188" customFormat="1">
      <c r="A2832" s="185" t="s">
        <v>1447</v>
      </c>
      <c r="B2832" s="133" t="s">
        <v>6179</v>
      </c>
      <c r="C2832" s="185" t="s">
        <v>3023</v>
      </c>
      <c r="D2832" s="133" t="s">
        <v>1793</v>
      </c>
      <c r="E2832" s="134">
        <v>1</v>
      </c>
      <c r="F2832" s="135" t="s">
        <v>1449</v>
      </c>
      <c r="G2832" s="185" t="s">
        <v>15</v>
      </c>
      <c r="H2832" s="185" t="s">
        <v>15</v>
      </c>
      <c r="I2832" s="185" t="s">
        <v>15</v>
      </c>
      <c r="J2832" s="135" t="s">
        <v>1450</v>
      </c>
      <c r="K2832" s="186">
        <v>504</v>
      </c>
      <c r="L2832" s="187" t="s">
        <v>173</v>
      </c>
      <c r="M2832" s="187" t="s">
        <v>175</v>
      </c>
    </row>
    <row r="2833" spans="1:13" s="188" customFormat="1">
      <c r="A2833" s="185" t="s">
        <v>1447</v>
      </c>
      <c r="B2833" s="133" t="s">
        <v>6180</v>
      </c>
      <c r="C2833" s="185" t="s">
        <v>3023</v>
      </c>
      <c r="D2833" s="133" t="s">
        <v>1793</v>
      </c>
      <c r="E2833" s="134">
        <v>1</v>
      </c>
      <c r="F2833" s="135" t="s">
        <v>1449</v>
      </c>
      <c r="G2833" s="185" t="s">
        <v>15</v>
      </c>
      <c r="H2833" s="185" t="s">
        <v>15</v>
      </c>
      <c r="I2833" s="185" t="s">
        <v>15</v>
      </c>
      <c r="J2833" s="135" t="s">
        <v>1450</v>
      </c>
      <c r="K2833" s="186">
        <v>432</v>
      </c>
      <c r="L2833" s="187" t="s">
        <v>173</v>
      </c>
      <c r="M2833" s="187" t="s">
        <v>175</v>
      </c>
    </row>
    <row r="2834" spans="1:13" s="188" customFormat="1">
      <c r="A2834" s="185" t="s">
        <v>1447</v>
      </c>
      <c r="B2834" s="133" t="s">
        <v>6181</v>
      </c>
      <c r="C2834" s="185" t="s">
        <v>3023</v>
      </c>
      <c r="D2834" s="133" t="s">
        <v>1793</v>
      </c>
      <c r="E2834" s="134">
        <v>1</v>
      </c>
      <c r="F2834" s="135" t="s">
        <v>1449</v>
      </c>
      <c r="G2834" s="185" t="s">
        <v>15</v>
      </c>
      <c r="H2834" s="185" t="s">
        <v>15</v>
      </c>
      <c r="I2834" s="185" t="s">
        <v>15</v>
      </c>
      <c r="J2834" s="135" t="s">
        <v>1450</v>
      </c>
      <c r="K2834" s="186">
        <v>372</v>
      </c>
      <c r="L2834" s="187" t="s">
        <v>173</v>
      </c>
      <c r="M2834" s="187" t="s">
        <v>175</v>
      </c>
    </row>
    <row r="2835" spans="1:13" s="188" customFormat="1">
      <c r="A2835" s="185" t="s">
        <v>1447</v>
      </c>
      <c r="B2835" s="133" t="s">
        <v>6182</v>
      </c>
      <c r="C2835" s="185" t="s">
        <v>3023</v>
      </c>
      <c r="D2835" s="133" t="s">
        <v>1793</v>
      </c>
      <c r="E2835" s="134">
        <v>1</v>
      </c>
      <c r="F2835" s="135" t="s">
        <v>1449</v>
      </c>
      <c r="G2835" s="185" t="s">
        <v>15</v>
      </c>
      <c r="H2835" s="185" t="s">
        <v>15</v>
      </c>
      <c r="I2835" s="185" t="s">
        <v>15</v>
      </c>
      <c r="J2835" s="135" t="s">
        <v>1450</v>
      </c>
      <c r="K2835" s="186">
        <v>312</v>
      </c>
      <c r="L2835" s="187" t="s">
        <v>173</v>
      </c>
      <c r="M2835" s="187" t="s">
        <v>175</v>
      </c>
    </row>
    <row r="2836" spans="1:13" s="188" customFormat="1">
      <c r="A2836" s="185" t="s">
        <v>1447</v>
      </c>
      <c r="B2836" s="133" t="s">
        <v>6183</v>
      </c>
      <c r="C2836" s="185" t="s">
        <v>3023</v>
      </c>
      <c r="D2836" s="133" t="s">
        <v>6184</v>
      </c>
      <c r="E2836" s="134">
        <v>1</v>
      </c>
      <c r="F2836" s="135" t="s">
        <v>1449</v>
      </c>
      <c r="G2836" s="185" t="s">
        <v>15</v>
      </c>
      <c r="H2836" s="185" t="s">
        <v>15</v>
      </c>
      <c r="I2836" s="185" t="s">
        <v>15</v>
      </c>
      <c r="J2836" s="135" t="s">
        <v>1450</v>
      </c>
      <c r="K2836" s="186">
        <v>87</v>
      </c>
      <c r="L2836" s="187" t="s">
        <v>173</v>
      </c>
      <c r="M2836" s="187" t="s">
        <v>175</v>
      </c>
    </row>
    <row r="2837" spans="1:13" s="188" customFormat="1">
      <c r="A2837" s="185" t="s">
        <v>1447</v>
      </c>
      <c r="B2837" s="133" t="s">
        <v>6185</v>
      </c>
      <c r="C2837" s="185" t="s">
        <v>3023</v>
      </c>
      <c r="D2837" s="133" t="s">
        <v>6184</v>
      </c>
      <c r="E2837" s="134">
        <v>1</v>
      </c>
      <c r="F2837" s="135" t="s">
        <v>1449</v>
      </c>
      <c r="G2837" s="185" t="s">
        <v>15</v>
      </c>
      <c r="H2837" s="185" t="s">
        <v>15</v>
      </c>
      <c r="I2837" s="185" t="s">
        <v>15</v>
      </c>
      <c r="J2837" s="135" t="s">
        <v>1450</v>
      </c>
      <c r="K2837" s="186">
        <v>55.92</v>
      </c>
      <c r="L2837" s="187" t="s">
        <v>173</v>
      </c>
      <c r="M2837" s="187" t="s">
        <v>175</v>
      </c>
    </row>
    <row r="2838" spans="1:13" s="188" customFormat="1">
      <c r="A2838" s="185" t="s">
        <v>1447</v>
      </c>
      <c r="B2838" s="133" t="s">
        <v>6186</v>
      </c>
      <c r="C2838" s="185" t="s">
        <v>3023</v>
      </c>
      <c r="D2838" s="133" t="s">
        <v>6184</v>
      </c>
      <c r="E2838" s="134">
        <v>1</v>
      </c>
      <c r="F2838" s="135" t="s">
        <v>1449</v>
      </c>
      <c r="G2838" s="185" t="s">
        <v>15</v>
      </c>
      <c r="H2838" s="185" t="s">
        <v>15</v>
      </c>
      <c r="I2838" s="185" t="s">
        <v>15</v>
      </c>
      <c r="J2838" s="135" t="s">
        <v>1450</v>
      </c>
      <c r="K2838" s="186">
        <v>18.600000000000001</v>
      </c>
      <c r="L2838" s="187" t="s">
        <v>173</v>
      </c>
      <c r="M2838" s="187" t="s">
        <v>175</v>
      </c>
    </row>
    <row r="2839" spans="1:13" s="188" customFormat="1">
      <c r="A2839" s="185" t="s">
        <v>1447</v>
      </c>
      <c r="B2839" s="133" t="s">
        <v>6187</v>
      </c>
      <c r="C2839" s="185" t="s">
        <v>3023</v>
      </c>
      <c r="D2839" s="133" t="s">
        <v>6184</v>
      </c>
      <c r="E2839" s="134">
        <v>1</v>
      </c>
      <c r="F2839" s="135" t="s">
        <v>1449</v>
      </c>
      <c r="G2839" s="185" t="s">
        <v>15</v>
      </c>
      <c r="H2839" s="185" t="s">
        <v>15</v>
      </c>
      <c r="I2839" s="185" t="s">
        <v>15</v>
      </c>
      <c r="J2839" s="135" t="s">
        <v>1450</v>
      </c>
      <c r="K2839" s="186">
        <v>9.36</v>
      </c>
      <c r="L2839" s="187" t="s">
        <v>173</v>
      </c>
      <c r="M2839" s="187" t="s">
        <v>175</v>
      </c>
    </row>
    <row r="2840" spans="1:13" s="188" customFormat="1">
      <c r="A2840" s="185" t="s">
        <v>1447</v>
      </c>
      <c r="B2840" s="133" t="s">
        <v>6188</v>
      </c>
      <c r="C2840" s="185" t="s">
        <v>3023</v>
      </c>
      <c r="D2840" s="133" t="s">
        <v>6189</v>
      </c>
      <c r="E2840" s="134">
        <v>1</v>
      </c>
      <c r="F2840" s="135" t="s">
        <v>1449</v>
      </c>
      <c r="G2840" s="185" t="s">
        <v>15</v>
      </c>
      <c r="H2840" s="185" t="s">
        <v>15</v>
      </c>
      <c r="I2840" s="185" t="s">
        <v>15</v>
      </c>
      <c r="J2840" s="135" t="s">
        <v>1450</v>
      </c>
      <c r="K2840" s="186">
        <v>156</v>
      </c>
      <c r="L2840" s="187" t="s">
        <v>173</v>
      </c>
      <c r="M2840" s="187" t="s">
        <v>175</v>
      </c>
    </row>
    <row r="2841" spans="1:13" s="188" customFormat="1">
      <c r="A2841" s="185" t="s">
        <v>1447</v>
      </c>
      <c r="B2841" s="133" t="s">
        <v>6190</v>
      </c>
      <c r="C2841" s="185" t="s">
        <v>3023</v>
      </c>
      <c r="D2841" s="133" t="s">
        <v>6189</v>
      </c>
      <c r="E2841" s="134">
        <v>1</v>
      </c>
      <c r="F2841" s="135" t="s">
        <v>1449</v>
      </c>
      <c r="G2841" s="185" t="s">
        <v>15</v>
      </c>
      <c r="H2841" s="185" t="s">
        <v>15</v>
      </c>
      <c r="I2841" s="185" t="s">
        <v>15</v>
      </c>
      <c r="J2841" s="135" t="s">
        <v>1450</v>
      </c>
      <c r="K2841" s="186">
        <v>118.32</v>
      </c>
      <c r="L2841" s="187" t="s">
        <v>173</v>
      </c>
      <c r="M2841" s="187" t="s">
        <v>175</v>
      </c>
    </row>
    <row r="2842" spans="1:13" s="188" customFormat="1">
      <c r="A2842" s="185" t="s">
        <v>1447</v>
      </c>
      <c r="B2842" s="133" t="s">
        <v>6191</v>
      </c>
      <c r="C2842" s="185" t="s">
        <v>3023</v>
      </c>
      <c r="D2842" s="133" t="s">
        <v>6189</v>
      </c>
      <c r="E2842" s="134">
        <v>1</v>
      </c>
      <c r="F2842" s="135" t="s">
        <v>1449</v>
      </c>
      <c r="G2842" s="185" t="s">
        <v>15</v>
      </c>
      <c r="H2842" s="185" t="s">
        <v>15</v>
      </c>
      <c r="I2842" s="185" t="s">
        <v>15</v>
      </c>
      <c r="J2842" s="135" t="s">
        <v>1450</v>
      </c>
      <c r="K2842" s="186">
        <v>103.19999999999999</v>
      </c>
      <c r="L2842" s="187" t="s">
        <v>173</v>
      </c>
      <c r="M2842" s="187" t="s">
        <v>175</v>
      </c>
    </row>
    <row r="2843" spans="1:13" s="188" customFormat="1">
      <c r="A2843" s="185" t="s">
        <v>1447</v>
      </c>
      <c r="B2843" s="133" t="s">
        <v>6192</v>
      </c>
      <c r="C2843" s="185" t="s">
        <v>3023</v>
      </c>
      <c r="D2843" s="133" t="s">
        <v>6189</v>
      </c>
      <c r="E2843" s="134">
        <v>1</v>
      </c>
      <c r="F2843" s="135" t="s">
        <v>1449</v>
      </c>
      <c r="G2843" s="185" t="s">
        <v>15</v>
      </c>
      <c r="H2843" s="185" t="s">
        <v>15</v>
      </c>
      <c r="I2843" s="185" t="s">
        <v>15</v>
      </c>
      <c r="J2843" s="135" t="s">
        <v>1450</v>
      </c>
      <c r="K2843" s="186">
        <v>90</v>
      </c>
      <c r="L2843" s="187" t="s">
        <v>173</v>
      </c>
      <c r="M2843" s="187" t="s">
        <v>175</v>
      </c>
    </row>
    <row r="2844" spans="1:13" s="188" customFormat="1">
      <c r="A2844" s="185" t="s">
        <v>1447</v>
      </c>
      <c r="B2844" s="133" t="s">
        <v>6193</v>
      </c>
      <c r="C2844" s="185" t="s">
        <v>3023</v>
      </c>
      <c r="D2844" s="133" t="s">
        <v>6189</v>
      </c>
      <c r="E2844" s="134">
        <v>1</v>
      </c>
      <c r="F2844" s="135" t="s">
        <v>1449</v>
      </c>
      <c r="G2844" s="185" t="s">
        <v>15</v>
      </c>
      <c r="H2844" s="185" t="s">
        <v>15</v>
      </c>
      <c r="I2844" s="185" t="s">
        <v>15</v>
      </c>
      <c r="J2844" s="135" t="s">
        <v>1450</v>
      </c>
      <c r="K2844" s="186">
        <v>80.28</v>
      </c>
      <c r="L2844" s="187" t="s">
        <v>173</v>
      </c>
      <c r="M2844" s="187" t="s">
        <v>175</v>
      </c>
    </row>
    <row r="2845" spans="1:13" s="188" customFormat="1">
      <c r="A2845" s="185" t="s">
        <v>1447</v>
      </c>
      <c r="B2845" s="133" t="s">
        <v>6194</v>
      </c>
      <c r="C2845" s="185" t="s">
        <v>3023</v>
      </c>
      <c r="D2845" s="133" t="s">
        <v>6189</v>
      </c>
      <c r="E2845" s="134">
        <v>1</v>
      </c>
      <c r="F2845" s="135" t="s">
        <v>1449</v>
      </c>
      <c r="G2845" s="185" t="s">
        <v>15</v>
      </c>
      <c r="H2845" s="185" t="s">
        <v>15</v>
      </c>
      <c r="I2845" s="185" t="s">
        <v>15</v>
      </c>
      <c r="J2845" s="135" t="s">
        <v>1450</v>
      </c>
      <c r="K2845" s="186">
        <v>70.44</v>
      </c>
      <c r="L2845" s="187" t="s">
        <v>173</v>
      </c>
      <c r="M2845" s="187" t="s">
        <v>175</v>
      </c>
    </row>
    <row r="2846" spans="1:13" s="188" customFormat="1">
      <c r="A2846" s="185" t="s">
        <v>1447</v>
      </c>
      <c r="B2846" s="133" t="s">
        <v>6195</v>
      </c>
      <c r="C2846" s="185" t="s">
        <v>3023</v>
      </c>
      <c r="D2846" s="133" t="s">
        <v>6189</v>
      </c>
      <c r="E2846" s="134">
        <v>1</v>
      </c>
      <c r="F2846" s="135" t="s">
        <v>1449</v>
      </c>
      <c r="G2846" s="185" t="s">
        <v>15</v>
      </c>
      <c r="H2846" s="185" t="s">
        <v>15</v>
      </c>
      <c r="I2846" s="185" t="s">
        <v>15</v>
      </c>
      <c r="J2846" s="135" t="s">
        <v>1450</v>
      </c>
      <c r="K2846" s="186">
        <v>60.480000000000004</v>
      </c>
      <c r="L2846" s="187" t="s">
        <v>173</v>
      </c>
      <c r="M2846" s="187" t="s">
        <v>175</v>
      </c>
    </row>
    <row r="2847" spans="1:13" s="188" customFormat="1">
      <c r="A2847" s="185" t="s">
        <v>1447</v>
      </c>
      <c r="B2847" s="133" t="s">
        <v>6196</v>
      </c>
      <c r="C2847" s="185" t="s">
        <v>3023</v>
      </c>
      <c r="D2847" s="133" t="s">
        <v>6189</v>
      </c>
      <c r="E2847" s="134">
        <v>1</v>
      </c>
      <c r="F2847" s="135" t="s">
        <v>1449</v>
      </c>
      <c r="G2847" s="185" t="s">
        <v>15</v>
      </c>
      <c r="H2847" s="185" t="s">
        <v>15</v>
      </c>
      <c r="I2847" s="185" t="s">
        <v>15</v>
      </c>
      <c r="J2847" s="135" t="s">
        <v>1450</v>
      </c>
      <c r="K2847" s="186">
        <v>49.92</v>
      </c>
      <c r="L2847" s="187" t="s">
        <v>173</v>
      </c>
      <c r="M2847" s="187" t="s">
        <v>175</v>
      </c>
    </row>
    <row r="2848" spans="1:13" s="188" customFormat="1">
      <c r="A2848" s="185" t="s">
        <v>1447</v>
      </c>
      <c r="B2848" s="133" t="s">
        <v>6197</v>
      </c>
      <c r="C2848" s="185" t="s">
        <v>3023</v>
      </c>
      <c r="D2848" s="133" t="s">
        <v>6198</v>
      </c>
      <c r="E2848" s="134">
        <v>1</v>
      </c>
      <c r="F2848" s="135" t="s">
        <v>1449</v>
      </c>
      <c r="G2848" s="185" t="s">
        <v>15</v>
      </c>
      <c r="H2848" s="185" t="s">
        <v>15</v>
      </c>
      <c r="I2848" s="185" t="s">
        <v>15</v>
      </c>
      <c r="J2848" s="135" t="s">
        <v>1450</v>
      </c>
      <c r="K2848" s="186">
        <v>378</v>
      </c>
      <c r="L2848" s="187" t="s">
        <v>173</v>
      </c>
      <c r="M2848" s="187" t="s">
        <v>175</v>
      </c>
    </row>
    <row r="2849" spans="1:13" s="188" customFormat="1">
      <c r="A2849" s="185" t="s">
        <v>1447</v>
      </c>
      <c r="B2849" s="133" t="s">
        <v>6199</v>
      </c>
      <c r="C2849" s="185" t="s">
        <v>3023</v>
      </c>
      <c r="D2849" s="133" t="s">
        <v>6198</v>
      </c>
      <c r="E2849" s="134">
        <v>1</v>
      </c>
      <c r="F2849" s="135" t="s">
        <v>1449</v>
      </c>
      <c r="G2849" s="185" t="s">
        <v>15</v>
      </c>
      <c r="H2849" s="185" t="s">
        <v>15</v>
      </c>
      <c r="I2849" s="185" t="s">
        <v>15</v>
      </c>
      <c r="J2849" s="135" t="s">
        <v>1450</v>
      </c>
      <c r="K2849" s="186">
        <v>366</v>
      </c>
      <c r="L2849" s="187" t="s">
        <v>173</v>
      </c>
      <c r="M2849" s="187" t="s">
        <v>175</v>
      </c>
    </row>
    <row r="2850" spans="1:13" s="188" customFormat="1">
      <c r="A2850" s="185" t="s">
        <v>1447</v>
      </c>
      <c r="B2850" s="133" t="s">
        <v>6200</v>
      </c>
      <c r="C2850" s="185" t="s">
        <v>3023</v>
      </c>
      <c r="D2850" s="133" t="s">
        <v>6198</v>
      </c>
      <c r="E2850" s="134">
        <v>1</v>
      </c>
      <c r="F2850" s="135" t="s">
        <v>1449</v>
      </c>
      <c r="G2850" s="185" t="s">
        <v>15</v>
      </c>
      <c r="H2850" s="185" t="s">
        <v>15</v>
      </c>
      <c r="I2850" s="185" t="s">
        <v>15</v>
      </c>
      <c r="J2850" s="135" t="s">
        <v>1450</v>
      </c>
      <c r="K2850" s="186">
        <v>361</v>
      </c>
      <c r="L2850" s="187" t="s">
        <v>173</v>
      </c>
      <c r="M2850" s="187" t="s">
        <v>175</v>
      </c>
    </row>
    <row r="2851" spans="1:13" s="188" customFormat="1">
      <c r="A2851" s="185" t="s">
        <v>1447</v>
      </c>
      <c r="B2851" s="133" t="s">
        <v>6201</v>
      </c>
      <c r="C2851" s="185" t="s">
        <v>3023</v>
      </c>
      <c r="D2851" s="133" t="s">
        <v>6198</v>
      </c>
      <c r="E2851" s="134">
        <v>1</v>
      </c>
      <c r="F2851" s="135" t="s">
        <v>1449</v>
      </c>
      <c r="G2851" s="185" t="s">
        <v>15</v>
      </c>
      <c r="H2851" s="185" t="s">
        <v>15</v>
      </c>
      <c r="I2851" s="185" t="s">
        <v>15</v>
      </c>
      <c r="J2851" s="135" t="s">
        <v>1450</v>
      </c>
      <c r="K2851" s="186">
        <v>333</v>
      </c>
      <c r="L2851" s="187" t="s">
        <v>173</v>
      </c>
      <c r="M2851" s="187" t="s">
        <v>175</v>
      </c>
    </row>
    <row r="2852" spans="1:13" s="188" customFormat="1">
      <c r="A2852" s="185" t="s">
        <v>1447</v>
      </c>
      <c r="B2852" s="133" t="s">
        <v>6202</v>
      </c>
      <c r="C2852" s="185" t="s">
        <v>3023</v>
      </c>
      <c r="D2852" s="133" t="s">
        <v>6203</v>
      </c>
      <c r="E2852" s="134">
        <v>1</v>
      </c>
      <c r="F2852" s="135" t="s">
        <v>1449</v>
      </c>
      <c r="G2852" s="185" t="s">
        <v>15</v>
      </c>
      <c r="H2852" s="185" t="s">
        <v>15</v>
      </c>
      <c r="I2852" s="185" t="s">
        <v>15</v>
      </c>
      <c r="J2852" s="135" t="s">
        <v>1450</v>
      </c>
      <c r="K2852" s="186">
        <v>244</v>
      </c>
      <c r="L2852" s="187" t="s">
        <v>173</v>
      </c>
      <c r="M2852" s="187" t="s">
        <v>175</v>
      </c>
    </row>
    <row r="2853" spans="1:13" s="188" customFormat="1">
      <c r="A2853" s="185" t="s">
        <v>1447</v>
      </c>
      <c r="B2853" s="133" t="s">
        <v>6204</v>
      </c>
      <c r="C2853" s="185" t="s">
        <v>3023</v>
      </c>
      <c r="D2853" s="133" t="s">
        <v>6203</v>
      </c>
      <c r="E2853" s="134">
        <v>1</v>
      </c>
      <c r="F2853" s="135" t="s">
        <v>1449</v>
      </c>
      <c r="G2853" s="185" t="s">
        <v>15</v>
      </c>
      <c r="H2853" s="185" t="s">
        <v>15</v>
      </c>
      <c r="I2853" s="185" t="s">
        <v>15</v>
      </c>
      <c r="J2853" s="135" t="s">
        <v>1450</v>
      </c>
      <c r="K2853" s="186">
        <v>220</v>
      </c>
      <c r="L2853" s="187" t="s">
        <v>173</v>
      </c>
      <c r="M2853" s="187" t="s">
        <v>175</v>
      </c>
    </row>
    <row r="2854" spans="1:13" s="188" customFormat="1">
      <c r="A2854" s="185" t="s">
        <v>1447</v>
      </c>
      <c r="B2854" s="133" t="s">
        <v>6205</v>
      </c>
      <c r="C2854" s="185" t="s">
        <v>3023</v>
      </c>
      <c r="D2854" s="133" t="s">
        <v>6203</v>
      </c>
      <c r="E2854" s="134">
        <v>1</v>
      </c>
      <c r="F2854" s="135" t="s">
        <v>1449</v>
      </c>
      <c r="G2854" s="185" t="s">
        <v>15</v>
      </c>
      <c r="H2854" s="185" t="s">
        <v>15</v>
      </c>
      <c r="I2854" s="185" t="s">
        <v>15</v>
      </c>
      <c r="J2854" s="135" t="s">
        <v>1450</v>
      </c>
      <c r="K2854" s="186">
        <v>194</v>
      </c>
      <c r="L2854" s="187" t="s">
        <v>173</v>
      </c>
      <c r="M2854" s="187" t="s">
        <v>175</v>
      </c>
    </row>
    <row r="2855" spans="1:13" s="188" customFormat="1">
      <c r="A2855" s="185" t="s">
        <v>1447</v>
      </c>
      <c r="B2855" s="133" t="s">
        <v>6206</v>
      </c>
      <c r="C2855" s="185" t="s">
        <v>3023</v>
      </c>
      <c r="D2855" s="133" t="s">
        <v>6203</v>
      </c>
      <c r="E2855" s="134">
        <v>1</v>
      </c>
      <c r="F2855" s="135" t="s">
        <v>1449</v>
      </c>
      <c r="G2855" s="185" t="s">
        <v>15</v>
      </c>
      <c r="H2855" s="185" t="s">
        <v>15</v>
      </c>
      <c r="I2855" s="185" t="s">
        <v>15</v>
      </c>
      <c r="J2855" s="135" t="s">
        <v>1450</v>
      </c>
      <c r="K2855" s="186">
        <v>152</v>
      </c>
      <c r="L2855" s="187" t="s">
        <v>173</v>
      </c>
      <c r="M2855" s="187" t="s">
        <v>175</v>
      </c>
    </row>
    <row r="2856" spans="1:13" s="188" customFormat="1">
      <c r="A2856" s="185" t="s">
        <v>1447</v>
      </c>
      <c r="B2856" s="133" t="s">
        <v>6207</v>
      </c>
      <c r="C2856" s="185" t="s">
        <v>3023</v>
      </c>
      <c r="D2856" s="133" t="s">
        <v>1794</v>
      </c>
      <c r="E2856" s="134">
        <v>1</v>
      </c>
      <c r="F2856" s="135" t="s">
        <v>1449</v>
      </c>
      <c r="G2856" s="185" t="s">
        <v>15</v>
      </c>
      <c r="H2856" s="185" t="s">
        <v>15</v>
      </c>
      <c r="I2856" s="185" t="s">
        <v>15</v>
      </c>
      <c r="J2856" s="135" t="s">
        <v>1450</v>
      </c>
      <c r="K2856" s="186">
        <v>100</v>
      </c>
      <c r="L2856" s="187" t="s">
        <v>173</v>
      </c>
      <c r="M2856" s="187" t="s">
        <v>175</v>
      </c>
    </row>
    <row r="2857" spans="1:13" s="188" customFormat="1">
      <c r="A2857" s="185" t="s">
        <v>1447</v>
      </c>
      <c r="B2857" s="133" t="s">
        <v>6208</v>
      </c>
      <c r="C2857" s="185" t="s">
        <v>3023</v>
      </c>
      <c r="D2857" s="133" t="s">
        <v>1795</v>
      </c>
      <c r="E2857" s="134">
        <v>1</v>
      </c>
      <c r="F2857" s="135" t="s">
        <v>1449</v>
      </c>
      <c r="G2857" s="185" t="s">
        <v>15</v>
      </c>
      <c r="H2857" s="185" t="s">
        <v>15</v>
      </c>
      <c r="I2857" s="185" t="s">
        <v>15</v>
      </c>
      <c r="J2857" s="135" t="s">
        <v>1450</v>
      </c>
      <c r="K2857" s="186" t="s">
        <v>1530</v>
      </c>
      <c r="L2857" s="187" t="s">
        <v>173</v>
      </c>
      <c r="M2857" s="187" t="s">
        <v>175</v>
      </c>
    </row>
    <row r="2858" spans="1:13" s="188" customFormat="1">
      <c r="A2858" s="185" t="s">
        <v>1447</v>
      </c>
      <c r="B2858" s="133" t="s">
        <v>6209</v>
      </c>
      <c r="C2858" s="185" t="s">
        <v>3023</v>
      </c>
      <c r="D2858" s="133" t="s">
        <v>1796</v>
      </c>
      <c r="E2858" s="134">
        <v>1</v>
      </c>
      <c r="F2858" s="135" t="s">
        <v>1449</v>
      </c>
      <c r="G2858" s="185" t="s">
        <v>15</v>
      </c>
      <c r="H2858" s="185" t="s">
        <v>15</v>
      </c>
      <c r="I2858" s="185" t="s">
        <v>15</v>
      </c>
      <c r="J2858" s="135" t="s">
        <v>1450</v>
      </c>
      <c r="K2858" s="186">
        <v>300</v>
      </c>
      <c r="L2858" s="187" t="s">
        <v>173</v>
      </c>
      <c r="M2858" s="187" t="s">
        <v>175</v>
      </c>
    </row>
    <row r="2859" spans="1:13" s="188" customFormat="1">
      <c r="A2859" s="185" t="s">
        <v>1447</v>
      </c>
      <c r="B2859" s="133" t="s">
        <v>6210</v>
      </c>
      <c r="C2859" s="185" t="s">
        <v>3023</v>
      </c>
      <c r="D2859" s="133" t="s">
        <v>1797</v>
      </c>
      <c r="E2859" s="134">
        <v>1</v>
      </c>
      <c r="F2859" s="135" t="s">
        <v>1449</v>
      </c>
      <c r="G2859" s="185" t="s">
        <v>15</v>
      </c>
      <c r="H2859" s="185" t="s">
        <v>15</v>
      </c>
      <c r="I2859" s="185" t="s">
        <v>15</v>
      </c>
      <c r="J2859" s="135" t="s">
        <v>1450</v>
      </c>
      <c r="K2859" s="186">
        <v>49800</v>
      </c>
      <c r="L2859" s="187" t="s">
        <v>173</v>
      </c>
      <c r="M2859" s="187" t="s">
        <v>175</v>
      </c>
    </row>
    <row r="2860" spans="1:13" s="188" customFormat="1">
      <c r="A2860" s="185" t="s">
        <v>1447</v>
      </c>
      <c r="B2860" s="133" t="s">
        <v>6211</v>
      </c>
      <c r="C2860" s="185" t="s">
        <v>3023</v>
      </c>
      <c r="D2860" s="133" t="s">
        <v>1798</v>
      </c>
      <c r="E2860" s="134">
        <v>1</v>
      </c>
      <c r="F2860" s="135" t="s">
        <v>1449</v>
      </c>
      <c r="G2860" s="185" t="s">
        <v>15</v>
      </c>
      <c r="H2860" s="185" t="s">
        <v>15</v>
      </c>
      <c r="I2860" s="185" t="s">
        <v>15</v>
      </c>
      <c r="J2860" s="135" t="s">
        <v>1450</v>
      </c>
      <c r="K2860" s="186">
        <v>258984</v>
      </c>
      <c r="L2860" s="187" t="s">
        <v>173</v>
      </c>
      <c r="M2860" s="187" t="s">
        <v>175</v>
      </c>
    </row>
    <row r="2861" spans="1:13" s="188" customFormat="1">
      <c r="A2861" s="185" t="s">
        <v>1447</v>
      </c>
      <c r="B2861" s="133" t="s">
        <v>6212</v>
      </c>
      <c r="C2861" s="185" t="s">
        <v>3023</v>
      </c>
      <c r="D2861" s="133" t="s">
        <v>1799</v>
      </c>
      <c r="E2861" s="134">
        <v>1</v>
      </c>
      <c r="F2861" s="135" t="s">
        <v>1449</v>
      </c>
      <c r="G2861" s="185" t="s">
        <v>15</v>
      </c>
      <c r="H2861" s="185" t="s">
        <v>15</v>
      </c>
      <c r="I2861" s="185" t="s">
        <v>15</v>
      </c>
      <c r="J2861" s="135" t="s">
        <v>1450</v>
      </c>
      <c r="K2861" s="186">
        <v>80928</v>
      </c>
      <c r="L2861" s="187" t="s">
        <v>173</v>
      </c>
      <c r="M2861" s="187" t="s">
        <v>175</v>
      </c>
    </row>
    <row r="2862" spans="1:13" s="188" customFormat="1">
      <c r="A2862" s="185" t="s">
        <v>1447</v>
      </c>
      <c r="B2862" s="133" t="s">
        <v>6213</v>
      </c>
      <c r="C2862" s="185" t="s">
        <v>3023</v>
      </c>
      <c r="D2862" s="133" t="s">
        <v>6214</v>
      </c>
      <c r="E2862" s="134">
        <v>1</v>
      </c>
      <c r="F2862" s="135" t="s">
        <v>1449</v>
      </c>
      <c r="G2862" s="185" t="s">
        <v>15</v>
      </c>
      <c r="H2862" s="185" t="s">
        <v>15</v>
      </c>
      <c r="I2862" s="185" t="s">
        <v>15</v>
      </c>
      <c r="J2862" s="135" t="s">
        <v>1450</v>
      </c>
      <c r="K2862" s="186">
        <v>15.600000000000001</v>
      </c>
      <c r="L2862" s="187" t="s">
        <v>173</v>
      </c>
      <c r="M2862" s="187" t="s">
        <v>175</v>
      </c>
    </row>
    <row r="2863" spans="1:13" s="188" customFormat="1">
      <c r="A2863" s="185" t="s">
        <v>1447</v>
      </c>
      <c r="B2863" s="133" t="s">
        <v>6215</v>
      </c>
      <c r="C2863" s="185" t="s">
        <v>3023</v>
      </c>
      <c r="D2863" s="133" t="s">
        <v>6214</v>
      </c>
      <c r="E2863" s="134">
        <v>1</v>
      </c>
      <c r="F2863" s="135" t="s">
        <v>1449</v>
      </c>
      <c r="G2863" s="185" t="s">
        <v>15</v>
      </c>
      <c r="H2863" s="185" t="s">
        <v>15</v>
      </c>
      <c r="I2863" s="185" t="s">
        <v>15</v>
      </c>
      <c r="J2863" s="135" t="s">
        <v>1450</v>
      </c>
      <c r="K2863" s="186">
        <v>14.28</v>
      </c>
      <c r="L2863" s="187" t="s">
        <v>173</v>
      </c>
      <c r="M2863" s="187" t="s">
        <v>175</v>
      </c>
    </row>
    <row r="2864" spans="1:13" s="188" customFormat="1">
      <c r="A2864" s="185" t="s">
        <v>1447</v>
      </c>
      <c r="B2864" s="133" t="s">
        <v>6216</v>
      </c>
      <c r="C2864" s="185" t="s">
        <v>3023</v>
      </c>
      <c r="D2864" s="133" t="s">
        <v>6214</v>
      </c>
      <c r="E2864" s="134">
        <v>1</v>
      </c>
      <c r="F2864" s="135" t="s">
        <v>1449</v>
      </c>
      <c r="G2864" s="185" t="s">
        <v>15</v>
      </c>
      <c r="H2864" s="185" t="s">
        <v>15</v>
      </c>
      <c r="I2864" s="185" t="s">
        <v>15</v>
      </c>
      <c r="J2864" s="135" t="s">
        <v>1450</v>
      </c>
      <c r="K2864" s="186">
        <v>13.080000000000002</v>
      </c>
      <c r="L2864" s="187" t="s">
        <v>173</v>
      </c>
      <c r="M2864" s="187" t="s">
        <v>175</v>
      </c>
    </row>
    <row r="2865" spans="1:13" s="188" customFormat="1">
      <c r="A2865" s="185" t="s">
        <v>1447</v>
      </c>
      <c r="B2865" s="133" t="s">
        <v>6217</v>
      </c>
      <c r="C2865" s="185" t="s">
        <v>3023</v>
      </c>
      <c r="D2865" s="133" t="s">
        <v>6214</v>
      </c>
      <c r="E2865" s="134">
        <v>1</v>
      </c>
      <c r="F2865" s="135" t="s">
        <v>1449</v>
      </c>
      <c r="G2865" s="185" t="s">
        <v>15</v>
      </c>
      <c r="H2865" s="185" t="s">
        <v>15</v>
      </c>
      <c r="I2865" s="185" t="s">
        <v>15</v>
      </c>
      <c r="J2865" s="135" t="s">
        <v>1450</v>
      </c>
      <c r="K2865" s="186">
        <v>11.879999999999999</v>
      </c>
      <c r="L2865" s="187" t="s">
        <v>173</v>
      </c>
      <c r="M2865" s="187" t="s">
        <v>175</v>
      </c>
    </row>
    <row r="2866" spans="1:13" s="188" customFormat="1">
      <c r="A2866" s="185" t="s">
        <v>1447</v>
      </c>
      <c r="B2866" s="133" t="s">
        <v>6218</v>
      </c>
      <c r="C2866" s="185" t="s">
        <v>3023</v>
      </c>
      <c r="D2866" s="133" t="s">
        <v>6214</v>
      </c>
      <c r="E2866" s="134">
        <v>1</v>
      </c>
      <c r="F2866" s="135" t="s">
        <v>1449</v>
      </c>
      <c r="G2866" s="185" t="s">
        <v>15</v>
      </c>
      <c r="H2866" s="185" t="s">
        <v>15</v>
      </c>
      <c r="I2866" s="185" t="s">
        <v>15</v>
      </c>
      <c r="J2866" s="135" t="s">
        <v>1450</v>
      </c>
      <c r="K2866" s="186">
        <v>9.36</v>
      </c>
      <c r="L2866" s="187" t="s">
        <v>173</v>
      </c>
      <c r="M2866" s="187" t="s">
        <v>175</v>
      </c>
    </row>
    <row r="2867" spans="1:13" s="188" customFormat="1">
      <c r="A2867" s="185" t="s">
        <v>1447</v>
      </c>
      <c r="B2867" s="133" t="s">
        <v>6219</v>
      </c>
      <c r="C2867" s="185" t="s">
        <v>3023</v>
      </c>
      <c r="D2867" s="133" t="s">
        <v>6214</v>
      </c>
      <c r="E2867" s="134">
        <v>1</v>
      </c>
      <c r="F2867" s="135" t="s">
        <v>1449</v>
      </c>
      <c r="G2867" s="185" t="s">
        <v>15</v>
      </c>
      <c r="H2867" s="185" t="s">
        <v>15</v>
      </c>
      <c r="I2867" s="185" t="s">
        <v>15</v>
      </c>
      <c r="J2867" s="135" t="s">
        <v>1450</v>
      </c>
      <c r="K2867" s="186">
        <v>7.4399999999999995</v>
      </c>
      <c r="L2867" s="187" t="s">
        <v>173</v>
      </c>
      <c r="M2867" s="187" t="s">
        <v>175</v>
      </c>
    </row>
    <row r="2868" spans="1:13" s="188" customFormat="1">
      <c r="A2868" s="185" t="s">
        <v>1447</v>
      </c>
      <c r="B2868" s="133" t="s">
        <v>6220</v>
      </c>
      <c r="C2868" s="185" t="s">
        <v>3023</v>
      </c>
      <c r="D2868" s="133" t="s">
        <v>6214</v>
      </c>
      <c r="E2868" s="134">
        <v>1</v>
      </c>
      <c r="F2868" s="135" t="s">
        <v>1449</v>
      </c>
      <c r="G2868" s="185" t="s">
        <v>15</v>
      </c>
      <c r="H2868" s="185" t="s">
        <v>15</v>
      </c>
      <c r="I2868" s="185" t="s">
        <v>15</v>
      </c>
      <c r="J2868" s="135" t="s">
        <v>1450</v>
      </c>
      <c r="K2868" s="186">
        <v>6.24</v>
      </c>
      <c r="L2868" s="187" t="s">
        <v>173</v>
      </c>
      <c r="M2868" s="187" t="s">
        <v>175</v>
      </c>
    </row>
    <row r="2869" spans="1:13" s="188" customFormat="1">
      <c r="A2869" s="185" t="s">
        <v>1447</v>
      </c>
      <c r="B2869" s="133" t="s">
        <v>6221</v>
      </c>
      <c r="C2869" s="185" t="s">
        <v>3023</v>
      </c>
      <c r="D2869" s="133" t="s">
        <v>1801</v>
      </c>
      <c r="E2869" s="134">
        <v>1</v>
      </c>
      <c r="F2869" s="135" t="s">
        <v>1449</v>
      </c>
      <c r="G2869" s="185" t="s">
        <v>15</v>
      </c>
      <c r="H2869" s="185" t="s">
        <v>15</v>
      </c>
      <c r="I2869" s="185" t="s">
        <v>15</v>
      </c>
      <c r="J2869" s="135" t="s">
        <v>1450</v>
      </c>
      <c r="K2869" s="186">
        <v>876</v>
      </c>
      <c r="L2869" s="187" t="s">
        <v>173</v>
      </c>
      <c r="M2869" s="187" t="s">
        <v>175</v>
      </c>
    </row>
    <row r="2870" spans="1:13" s="188" customFormat="1">
      <c r="A2870" s="185" t="s">
        <v>1447</v>
      </c>
      <c r="B2870" s="133" t="s">
        <v>6222</v>
      </c>
      <c r="C2870" s="185" t="s">
        <v>3023</v>
      </c>
      <c r="D2870" s="133" t="s">
        <v>1802</v>
      </c>
      <c r="E2870" s="134">
        <v>1</v>
      </c>
      <c r="F2870" s="135" t="s">
        <v>1449</v>
      </c>
      <c r="G2870" s="185" t="s">
        <v>15</v>
      </c>
      <c r="H2870" s="185" t="s">
        <v>15</v>
      </c>
      <c r="I2870" s="185" t="s">
        <v>15</v>
      </c>
      <c r="J2870" s="135" t="s">
        <v>1450</v>
      </c>
      <c r="K2870" s="186">
        <v>273924</v>
      </c>
      <c r="L2870" s="187" t="s">
        <v>173</v>
      </c>
      <c r="M2870" s="187" t="s">
        <v>175</v>
      </c>
    </row>
    <row r="2871" spans="1:13" s="188" customFormat="1">
      <c r="A2871" s="185" t="s">
        <v>1447</v>
      </c>
      <c r="B2871" s="133" t="s">
        <v>6223</v>
      </c>
      <c r="C2871" s="185" t="s">
        <v>3023</v>
      </c>
      <c r="D2871" s="133" t="s">
        <v>1802</v>
      </c>
      <c r="E2871" s="134">
        <v>1</v>
      </c>
      <c r="F2871" s="135" t="s">
        <v>1449</v>
      </c>
      <c r="G2871" s="185" t="s">
        <v>15</v>
      </c>
      <c r="H2871" s="185" t="s">
        <v>15</v>
      </c>
      <c r="I2871" s="185" t="s">
        <v>15</v>
      </c>
      <c r="J2871" s="135" t="s">
        <v>1450</v>
      </c>
      <c r="K2871" s="186">
        <v>199224</v>
      </c>
      <c r="L2871" s="187" t="s">
        <v>173</v>
      </c>
      <c r="M2871" s="187" t="s">
        <v>175</v>
      </c>
    </row>
    <row r="2872" spans="1:13" s="188" customFormat="1">
      <c r="A2872" s="185" t="s">
        <v>1447</v>
      </c>
      <c r="B2872" s="133" t="s">
        <v>6224</v>
      </c>
      <c r="C2872" s="185" t="s">
        <v>3023</v>
      </c>
      <c r="D2872" s="133" t="s">
        <v>1802</v>
      </c>
      <c r="E2872" s="134">
        <v>1</v>
      </c>
      <c r="F2872" s="135" t="s">
        <v>1449</v>
      </c>
      <c r="G2872" s="185" t="s">
        <v>15</v>
      </c>
      <c r="H2872" s="185" t="s">
        <v>15</v>
      </c>
      <c r="I2872" s="185" t="s">
        <v>15</v>
      </c>
      <c r="J2872" s="135" t="s">
        <v>1450</v>
      </c>
      <c r="K2872" s="186">
        <v>149412</v>
      </c>
      <c r="L2872" s="187" t="s">
        <v>173</v>
      </c>
      <c r="M2872" s="187" t="s">
        <v>175</v>
      </c>
    </row>
    <row r="2873" spans="1:13" s="188" customFormat="1">
      <c r="A2873" s="185" t="s">
        <v>1447</v>
      </c>
      <c r="B2873" s="133" t="s">
        <v>6225</v>
      </c>
      <c r="C2873" s="185" t="s">
        <v>3023</v>
      </c>
      <c r="D2873" s="133" t="s">
        <v>1802</v>
      </c>
      <c r="E2873" s="134">
        <v>1</v>
      </c>
      <c r="F2873" s="135" t="s">
        <v>1449</v>
      </c>
      <c r="G2873" s="185" t="s">
        <v>15</v>
      </c>
      <c r="H2873" s="185" t="s">
        <v>15</v>
      </c>
      <c r="I2873" s="185" t="s">
        <v>15</v>
      </c>
      <c r="J2873" s="135" t="s">
        <v>1450</v>
      </c>
      <c r="K2873" s="186">
        <v>112056</v>
      </c>
      <c r="L2873" s="187" t="s">
        <v>173</v>
      </c>
      <c r="M2873" s="187" t="s">
        <v>175</v>
      </c>
    </row>
    <row r="2874" spans="1:13" s="188" customFormat="1">
      <c r="A2874" s="185" t="s">
        <v>1447</v>
      </c>
      <c r="B2874" s="133" t="s">
        <v>6226</v>
      </c>
      <c r="C2874" s="185" t="s">
        <v>3023</v>
      </c>
      <c r="D2874" s="133" t="s">
        <v>1802</v>
      </c>
      <c r="E2874" s="134">
        <v>1</v>
      </c>
      <c r="F2874" s="135" t="s">
        <v>1449</v>
      </c>
      <c r="G2874" s="185" t="s">
        <v>15</v>
      </c>
      <c r="H2874" s="185" t="s">
        <v>15</v>
      </c>
      <c r="I2874" s="185" t="s">
        <v>15</v>
      </c>
      <c r="J2874" s="135" t="s">
        <v>1450</v>
      </c>
      <c r="K2874" s="186">
        <v>59760</v>
      </c>
      <c r="L2874" s="187" t="s">
        <v>173</v>
      </c>
      <c r="M2874" s="187" t="s">
        <v>175</v>
      </c>
    </row>
    <row r="2875" spans="1:13" s="188" customFormat="1">
      <c r="A2875" s="185" t="s">
        <v>1447</v>
      </c>
      <c r="B2875" s="133" t="s">
        <v>6227</v>
      </c>
      <c r="C2875" s="185" t="s">
        <v>3023</v>
      </c>
      <c r="D2875" s="133" t="s">
        <v>1803</v>
      </c>
      <c r="E2875" s="134">
        <v>1</v>
      </c>
      <c r="F2875" s="135" t="s">
        <v>1449</v>
      </c>
      <c r="G2875" s="185" t="s">
        <v>15</v>
      </c>
      <c r="H2875" s="185" t="s">
        <v>15</v>
      </c>
      <c r="I2875" s="185" t="s">
        <v>15</v>
      </c>
      <c r="J2875" s="135" t="s">
        <v>1450</v>
      </c>
      <c r="K2875" s="186">
        <v>12.48</v>
      </c>
      <c r="L2875" s="187" t="s">
        <v>173</v>
      </c>
      <c r="M2875" s="187" t="s">
        <v>175</v>
      </c>
    </row>
    <row r="2876" spans="1:13" s="188" customFormat="1">
      <c r="A2876" s="185" t="s">
        <v>1447</v>
      </c>
      <c r="B2876" s="133" t="s">
        <v>6228</v>
      </c>
      <c r="C2876" s="185" t="s">
        <v>3023</v>
      </c>
      <c r="D2876" s="133" t="s">
        <v>1804</v>
      </c>
      <c r="E2876" s="134">
        <v>1</v>
      </c>
      <c r="F2876" s="135" t="s">
        <v>1449</v>
      </c>
      <c r="G2876" s="185" t="s">
        <v>15</v>
      </c>
      <c r="H2876" s="185" t="s">
        <v>15</v>
      </c>
      <c r="I2876" s="185" t="s">
        <v>15</v>
      </c>
      <c r="J2876" s="135" t="s">
        <v>1450</v>
      </c>
      <c r="K2876" s="186">
        <v>626460</v>
      </c>
      <c r="L2876" s="187" t="s">
        <v>173</v>
      </c>
      <c r="M2876" s="187" t="s">
        <v>175</v>
      </c>
    </row>
    <row r="2877" spans="1:13" s="188" customFormat="1">
      <c r="A2877" s="185" t="s">
        <v>1447</v>
      </c>
      <c r="B2877" s="133" t="s">
        <v>6229</v>
      </c>
      <c r="C2877" s="185" t="s">
        <v>3023</v>
      </c>
      <c r="D2877" s="133" t="s">
        <v>1805</v>
      </c>
      <c r="E2877" s="134">
        <v>1</v>
      </c>
      <c r="F2877" s="135" t="s">
        <v>1449</v>
      </c>
      <c r="G2877" s="185" t="s">
        <v>15</v>
      </c>
      <c r="H2877" s="185" t="s">
        <v>15</v>
      </c>
      <c r="I2877" s="185" t="s">
        <v>15</v>
      </c>
      <c r="J2877" s="135" t="s">
        <v>1450</v>
      </c>
      <c r="K2877" s="186">
        <v>147552</v>
      </c>
      <c r="L2877" s="187" t="s">
        <v>173</v>
      </c>
      <c r="M2877" s="187" t="s">
        <v>175</v>
      </c>
    </row>
    <row r="2878" spans="1:13" s="188" customFormat="1">
      <c r="A2878" s="185" t="s">
        <v>1447</v>
      </c>
      <c r="B2878" s="133" t="s">
        <v>6230</v>
      </c>
      <c r="C2878" s="185" t="s">
        <v>3023</v>
      </c>
      <c r="D2878" s="133" t="s">
        <v>1806</v>
      </c>
      <c r="E2878" s="134">
        <v>1</v>
      </c>
      <c r="F2878" s="135" t="s">
        <v>1449</v>
      </c>
      <c r="G2878" s="185" t="s">
        <v>15</v>
      </c>
      <c r="H2878" s="185" t="s">
        <v>15</v>
      </c>
      <c r="I2878" s="185" t="s">
        <v>15</v>
      </c>
      <c r="J2878" s="135" t="s">
        <v>1450</v>
      </c>
      <c r="K2878" s="186">
        <v>124512</v>
      </c>
      <c r="L2878" s="187" t="s">
        <v>173</v>
      </c>
      <c r="M2878" s="187" t="s">
        <v>175</v>
      </c>
    </row>
    <row r="2879" spans="1:13" s="188" customFormat="1">
      <c r="A2879" s="185" t="s">
        <v>1447</v>
      </c>
      <c r="B2879" s="133" t="s">
        <v>6231</v>
      </c>
      <c r="C2879" s="185" t="s">
        <v>3023</v>
      </c>
      <c r="D2879" s="133" t="s">
        <v>1807</v>
      </c>
      <c r="E2879" s="134">
        <v>1</v>
      </c>
      <c r="F2879" s="135" t="s">
        <v>1449</v>
      </c>
      <c r="G2879" s="185" t="s">
        <v>15</v>
      </c>
      <c r="H2879" s="185" t="s">
        <v>15</v>
      </c>
      <c r="I2879" s="185" t="s">
        <v>15</v>
      </c>
      <c r="J2879" s="135" t="s">
        <v>1450</v>
      </c>
      <c r="K2879" s="186">
        <v>147864</v>
      </c>
      <c r="L2879" s="187" t="s">
        <v>173</v>
      </c>
      <c r="M2879" s="187" t="s">
        <v>175</v>
      </c>
    </row>
    <row r="2880" spans="1:13" s="188" customFormat="1">
      <c r="A2880" s="185" t="s">
        <v>1447</v>
      </c>
      <c r="B2880" s="133" t="s">
        <v>6232</v>
      </c>
      <c r="C2880" s="185" t="s">
        <v>3023</v>
      </c>
      <c r="D2880" s="133" t="s">
        <v>1808</v>
      </c>
      <c r="E2880" s="134">
        <v>1</v>
      </c>
      <c r="F2880" s="135" t="s">
        <v>1449</v>
      </c>
      <c r="G2880" s="185" t="s">
        <v>15</v>
      </c>
      <c r="H2880" s="185" t="s">
        <v>15</v>
      </c>
      <c r="I2880" s="185" t="s">
        <v>15</v>
      </c>
      <c r="J2880" s="135" t="s">
        <v>1450</v>
      </c>
      <c r="K2880" s="186">
        <v>236568</v>
      </c>
      <c r="L2880" s="187" t="s">
        <v>173</v>
      </c>
      <c r="M2880" s="187" t="s">
        <v>175</v>
      </c>
    </row>
    <row r="2881" spans="1:13" s="188" customFormat="1">
      <c r="A2881" s="185" t="s">
        <v>1447</v>
      </c>
      <c r="B2881" s="133" t="s">
        <v>6233</v>
      </c>
      <c r="C2881" s="185" t="s">
        <v>3023</v>
      </c>
      <c r="D2881" s="133" t="s">
        <v>1809</v>
      </c>
      <c r="E2881" s="134">
        <v>1</v>
      </c>
      <c r="F2881" s="135" t="s">
        <v>1449</v>
      </c>
      <c r="G2881" s="185" t="s">
        <v>15</v>
      </c>
      <c r="H2881" s="185" t="s">
        <v>15</v>
      </c>
      <c r="I2881" s="185" t="s">
        <v>15</v>
      </c>
      <c r="J2881" s="135" t="s">
        <v>1450</v>
      </c>
      <c r="K2881" s="186">
        <v>339300</v>
      </c>
      <c r="L2881" s="187" t="s">
        <v>173</v>
      </c>
      <c r="M2881" s="187" t="s">
        <v>175</v>
      </c>
    </row>
    <row r="2882" spans="1:13" s="188" customFormat="1">
      <c r="A2882" s="185" t="s">
        <v>1447</v>
      </c>
      <c r="B2882" s="133" t="s">
        <v>6234</v>
      </c>
      <c r="C2882" s="185" t="s">
        <v>3023</v>
      </c>
      <c r="D2882" s="133" t="s">
        <v>1810</v>
      </c>
      <c r="E2882" s="134">
        <v>1</v>
      </c>
      <c r="F2882" s="135" t="s">
        <v>1449</v>
      </c>
      <c r="G2882" s="185" t="s">
        <v>15</v>
      </c>
      <c r="H2882" s="185" t="s">
        <v>15</v>
      </c>
      <c r="I2882" s="185" t="s">
        <v>15</v>
      </c>
      <c r="J2882" s="135" t="s">
        <v>1450</v>
      </c>
      <c r="K2882" s="186">
        <v>568092</v>
      </c>
      <c r="L2882" s="187" t="s">
        <v>173</v>
      </c>
      <c r="M2882" s="187" t="s">
        <v>175</v>
      </c>
    </row>
    <row r="2883" spans="1:13" s="188" customFormat="1">
      <c r="A2883" s="185" t="s">
        <v>1447</v>
      </c>
      <c r="B2883" s="133" t="s">
        <v>6235</v>
      </c>
      <c r="C2883" s="185" t="s">
        <v>3023</v>
      </c>
      <c r="D2883" s="133" t="s">
        <v>1811</v>
      </c>
      <c r="E2883" s="134">
        <v>1</v>
      </c>
      <c r="F2883" s="135" t="s">
        <v>1449</v>
      </c>
      <c r="G2883" s="185" t="s">
        <v>15</v>
      </c>
      <c r="H2883" s="185" t="s">
        <v>15</v>
      </c>
      <c r="I2883" s="185" t="s">
        <v>15</v>
      </c>
      <c r="J2883" s="135" t="s">
        <v>1450</v>
      </c>
      <c r="K2883" s="186">
        <v>996096</v>
      </c>
      <c r="L2883" s="187" t="s">
        <v>173</v>
      </c>
      <c r="M2883" s="187" t="s">
        <v>175</v>
      </c>
    </row>
    <row r="2884" spans="1:13" s="188" customFormat="1">
      <c r="A2884" s="185" t="s">
        <v>1447</v>
      </c>
      <c r="B2884" s="133" t="s">
        <v>6236</v>
      </c>
      <c r="C2884" s="185" t="s">
        <v>3023</v>
      </c>
      <c r="D2884" s="133" t="s">
        <v>1812</v>
      </c>
      <c r="E2884" s="134">
        <v>1</v>
      </c>
      <c r="F2884" s="135" t="s">
        <v>1449</v>
      </c>
      <c r="G2884" s="185" t="s">
        <v>15</v>
      </c>
      <c r="H2884" s="185" t="s">
        <v>15</v>
      </c>
      <c r="I2884" s="185" t="s">
        <v>15</v>
      </c>
      <c r="J2884" s="135" t="s">
        <v>1450</v>
      </c>
      <c r="K2884" s="186">
        <v>7.4399999999999995</v>
      </c>
      <c r="L2884" s="187" t="s">
        <v>173</v>
      </c>
      <c r="M2884" s="187" t="s">
        <v>175</v>
      </c>
    </row>
    <row r="2885" spans="1:13" s="188" customFormat="1">
      <c r="A2885" s="185" t="s">
        <v>1447</v>
      </c>
      <c r="B2885" s="133" t="s">
        <v>6237</v>
      </c>
      <c r="C2885" s="185" t="s">
        <v>3023</v>
      </c>
      <c r="D2885" s="133" t="s">
        <v>1813</v>
      </c>
      <c r="E2885" s="134">
        <v>1</v>
      </c>
      <c r="F2885" s="135" t="s">
        <v>1449</v>
      </c>
      <c r="G2885" s="185" t="s">
        <v>15</v>
      </c>
      <c r="H2885" s="185" t="s">
        <v>15</v>
      </c>
      <c r="I2885" s="185" t="s">
        <v>15</v>
      </c>
      <c r="J2885" s="135" t="s">
        <v>1450</v>
      </c>
      <c r="K2885" s="186">
        <v>4740</v>
      </c>
      <c r="L2885" s="187" t="s">
        <v>173</v>
      </c>
      <c r="M2885" s="187" t="s">
        <v>175</v>
      </c>
    </row>
    <row r="2886" spans="1:13" s="188" customFormat="1">
      <c r="A2886" s="185" t="s">
        <v>1447</v>
      </c>
      <c r="B2886" s="133" t="s">
        <v>6238</v>
      </c>
      <c r="C2886" s="185" t="s">
        <v>3023</v>
      </c>
      <c r="D2886" s="133" t="s">
        <v>1814</v>
      </c>
      <c r="E2886" s="134">
        <v>1</v>
      </c>
      <c r="F2886" s="135" t="s">
        <v>1449</v>
      </c>
      <c r="G2886" s="185" t="s">
        <v>15</v>
      </c>
      <c r="H2886" s="185" t="s">
        <v>15</v>
      </c>
      <c r="I2886" s="185" t="s">
        <v>15</v>
      </c>
      <c r="J2886" s="135" t="s">
        <v>1450</v>
      </c>
      <c r="K2886" s="186">
        <v>37.32</v>
      </c>
      <c r="L2886" s="187" t="s">
        <v>173</v>
      </c>
      <c r="M2886" s="187" t="s">
        <v>175</v>
      </c>
    </row>
    <row r="2887" spans="1:13" s="188" customFormat="1">
      <c r="A2887" s="185" t="s">
        <v>1447</v>
      </c>
      <c r="B2887" s="133" t="s">
        <v>6239</v>
      </c>
      <c r="C2887" s="185" t="s">
        <v>3023</v>
      </c>
      <c r="D2887" s="133" t="s">
        <v>1814</v>
      </c>
      <c r="E2887" s="134">
        <v>1</v>
      </c>
      <c r="F2887" s="135" t="s">
        <v>1449</v>
      </c>
      <c r="G2887" s="185" t="s">
        <v>15</v>
      </c>
      <c r="H2887" s="185" t="s">
        <v>15</v>
      </c>
      <c r="I2887" s="185" t="s">
        <v>15</v>
      </c>
      <c r="J2887" s="135" t="s">
        <v>1450</v>
      </c>
      <c r="K2887" s="186">
        <v>31.08</v>
      </c>
      <c r="L2887" s="187" t="s">
        <v>173</v>
      </c>
      <c r="M2887" s="187" t="s">
        <v>175</v>
      </c>
    </row>
    <row r="2888" spans="1:13" s="188" customFormat="1">
      <c r="A2888" s="185" t="s">
        <v>1447</v>
      </c>
      <c r="B2888" s="133" t="s">
        <v>6240</v>
      </c>
      <c r="C2888" s="185" t="s">
        <v>3023</v>
      </c>
      <c r="D2888" s="133" t="s">
        <v>1814</v>
      </c>
      <c r="E2888" s="134">
        <v>1</v>
      </c>
      <c r="F2888" s="135" t="s">
        <v>1449</v>
      </c>
      <c r="G2888" s="185" t="s">
        <v>15</v>
      </c>
      <c r="H2888" s="185" t="s">
        <v>15</v>
      </c>
      <c r="I2888" s="185" t="s">
        <v>15</v>
      </c>
      <c r="J2888" s="135" t="s">
        <v>1450</v>
      </c>
      <c r="K2888" s="186">
        <v>28.92</v>
      </c>
      <c r="L2888" s="187" t="s">
        <v>173</v>
      </c>
      <c r="M2888" s="187" t="s">
        <v>175</v>
      </c>
    </row>
    <row r="2889" spans="1:13" s="188" customFormat="1">
      <c r="A2889" s="185" t="s">
        <v>1447</v>
      </c>
      <c r="B2889" s="133" t="s">
        <v>6241</v>
      </c>
      <c r="C2889" s="185" t="s">
        <v>3023</v>
      </c>
      <c r="D2889" s="133" t="s">
        <v>1814</v>
      </c>
      <c r="E2889" s="134">
        <v>1</v>
      </c>
      <c r="F2889" s="135" t="s">
        <v>1449</v>
      </c>
      <c r="G2889" s="185" t="s">
        <v>15</v>
      </c>
      <c r="H2889" s="185" t="s">
        <v>15</v>
      </c>
      <c r="I2889" s="185" t="s">
        <v>15</v>
      </c>
      <c r="J2889" s="135" t="s">
        <v>1450</v>
      </c>
      <c r="K2889" s="186">
        <v>26.04</v>
      </c>
      <c r="L2889" s="187" t="s">
        <v>173</v>
      </c>
      <c r="M2889" s="187" t="s">
        <v>175</v>
      </c>
    </row>
    <row r="2890" spans="1:13" s="188" customFormat="1">
      <c r="A2890" s="185" t="s">
        <v>1447</v>
      </c>
      <c r="B2890" s="133" t="s">
        <v>6242</v>
      </c>
      <c r="C2890" s="185" t="s">
        <v>3023</v>
      </c>
      <c r="D2890" s="133" t="s">
        <v>1814</v>
      </c>
      <c r="E2890" s="134">
        <v>1</v>
      </c>
      <c r="F2890" s="135" t="s">
        <v>1449</v>
      </c>
      <c r="G2890" s="185" t="s">
        <v>15</v>
      </c>
      <c r="H2890" s="185" t="s">
        <v>15</v>
      </c>
      <c r="I2890" s="185" t="s">
        <v>15</v>
      </c>
      <c r="J2890" s="135" t="s">
        <v>1450</v>
      </c>
      <c r="K2890" s="186">
        <v>24.36</v>
      </c>
      <c r="L2890" s="187" t="s">
        <v>173</v>
      </c>
      <c r="M2890" s="187" t="s">
        <v>175</v>
      </c>
    </row>
    <row r="2891" spans="1:13" s="188" customFormat="1">
      <c r="A2891" s="185" t="s">
        <v>1447</v>
      </c>
      <c r="B2891" s="133" t="s">
        <v>6243</v>
      </c>
      <c r="C2891" s="185" t="s">
        <v>3023</v>
      </c>
      <c r="D2891" s="133" t="s">
        <v>1814</v>
      </c>
      <c r="E2891" s="134">
        <v>1</v>
      </c>
      <c r="F2891" s="135" t="s">
        <v>1449</v>
      </c>
      <c r="G2891" s="185" t="s">
        <v>15</v>
      </c>
      <c r="H2891" s="185" t="s">
        <v>15</v>
      </c>
      <c r="I2891" s="185" t="s">
        <v>15</v>
      </c>
      <c r="J2891" s="135" t="s">
        <v>1450</v>
      </c>
      <c r="K2891" s="186">
        <v>21.36</v>
      </c>
      <c r="L2891" s="187" t="s">
        <v>173</v>
      </c>
      <c r="M2891" s="187" t="s">
        <v>175</v>
      </c>
    </row>
    <row r="2892" spans="1:13" s="188" customFormat="1">
      <c r="A2892" s="185" t="s">
        <v>1447</v>
      </c>
      <c r="B2892" s="133" t="s">
        <v>6244</v>
      </c>
      <c r="C2892" s="185" t="s">
        <v>3023</v>
      </c>
      <c r="D2892" s="133" t="s">
        <v>1814</v>
      </c>
      <c r="E2892" s="134">
        <v>1</v>
      </c>
      <c r="F2892" s="135" t="s">
        <v>1449</v>
      </c>
      <c r="G2892" s="185" t="s">
        <v>15</v>
      </c>
      <c r="H2892" s="185" t="s">
        <v>15</v>
      </c>
      <c r="I2892" s="185" t="s">
        <v>15</v>
      </c>
      <c r="J2892" s="135" t="s">
        <v>1450</v>
      </c>
      <c r="K2892" s="186">
        <v>17.16</v>
      </c>
      <c r="L2892" s="187" t="s">
        <v>173</v>
      </c>
      <c r="M2892" s="187" t="s">
        <v>175</v>
      </c>
    </row>
    <row r="2893" spans="1:13" s="188" customFormat="1">
      <c r="A2893" s="185" t="s">
        <v>1447</v>
      </c>
      <c r="B2893" s="133" t="s">
        <v>6245</v>
      </c>
      <c r="C2893" s="185" t="s">
        <v>3023</v>
      </c>
      <c r="D2893" s="133" t="s">
        <v>1815</v>
      </c>
      <c r="E2893" s="134">
        <v>1</v>
      </c>
      <c r="F2893" s="135" t="s">
        <v>1449</v>
      </c>
      <c r="G2893" s="185" t="s">
        <v>15</v>
      </c>
      <c r="H2893" s="185" t="s">
        <v>15</v>
      </c>
      <c r="I2893" s="185" t="s">
        <v>15</v>
      </c>
      <c r="J2893" s="135" t="s">
        <v>1450</v>
      </c>
      <c r="K2893" s="186">
        <v>9.36</v>
      </c>
      <c r="L2893" s="187" t="s">
        <v>173</v>
      </c>
      <c r="M2893" s="187" t="s">
        <v>175</v>
      </c>
    </row>
    <row r="2894" spans="1:13" s="188" customFormat="1">
      <c r="A2894" s="185" t="s">
        <v>1447</v>
      </c>
      <c r="B2894" s="133" t="s">
        <v>6246</v>
      </c>
      <c r="C2894" s="185" t="s">
        <v>3023</v>
      </c>
      <c r="D2894" s="133" t="s">
        <v>6247</v>
      </c>
      <c r="E2894" s="134">
        <v>1</v>
      </c>
      <c r="F2894" s="135" t="s">
        <v>1449</v>
      </c>
      <c r="G2894" s="185" t="s">
        <v>15</v>
      </c>
      <c r="H2894" s="185" t="s">
        <v>15</v>
      </c>
      <c r="I2894" s="185" t="s">
        <v>15</v>
      </c>
      <c r="J2894" s="135" t="s">
        <v>1450</v>
      </c>
      <c r="K2894" s="186">
        <v>6228</v>
      </c>
      <c r="L2894" s="187" t="s">
        <v>173</v>
      </c>
      <c r="M2894" s="187" t="s">
        <v>175</v>
      </c>
    </row>
    <row r="2895" spans="1:13" s="188" customFormat="1">
      <c r="A2895" s="185" t="s">
        <v>1447</v>
      </c>
      <c r="B2895" s="133" t="s">
        <v>6248</v>
      </c>
      <c r="C2895" s="185" t="s">
        <v>3023</v>
      </c>
      <c r="D2895" s="133" t="s">
        <v>6247</v>
      </c>
      <c r="E2895" s="134">
        <v>1</v>
      </c>
      <c r="F2895" s="135" t="s">
        <v>1449</v>
      </c>
      <c r="G2895" s="185" t="s">
        <v>15</v>
      </c>
      <c r="H2895" s="185" t="s">
        <v>15</v>
      </c>
      <c r="I2895" s="185" t="s">
        <v>15</v>
      </c>
      <c r="J2895" s="135" t="s">
        <v>1450</v>
      </c>
      <c r="K2895" s="186">
        <v>3732</v>
      </c>
      <c r="L2895" s="187" t="s">
        <v>173</v>
      </c>
      <c r="M2895" s="187" t="s">
        <v>175</v>
      </c>
    </row>
    <row r="2896" spans="1:13" s="188" customFormat="1">
      <c r="A2896" s="185" t="s">
        <v>1447</v>
      </c>
      <c r="B2896" s="133" t="s">
        <v>6249</v>
      </c>
      <c r="C2896" s="185" t="s">
        <v>3023</v>
      </c>
      <c r="D2896" s="133" t="s">
        <v>6247</v>
      </c>
      <c r="E2896" s="134">
        <v>1</v>
      </c>
      <c r="F2896" s="135" t="s">
        <v>1449</v>
      </c>
      <c r="G2896" s="185" t="s">
        <v>15</v>
      </c>
      <c r="H2896" s="185" t="s">
        <v>15</v>
      </c>
      <c r="I2896" s="185" t="s">
        <v>15</v>
      </c>
      <c r="J2896" s="135" t="s">
        <v>1450</v>
      </c>
      <c r="K2896" s="186">
        <v>2496</v>
      </c>
      <c r="L2896" s="187" t="s">
        <v>173</v>
      </c>
      <c r="M2896" s="187" t="s">
        <v>175</v>
      </c>
    </row>
    <row r="2897" spans="1:13" s="188" customFormat="1">
      <c r="A2897" s="185" t="s">
        <v>1447</v>
      </c>
      <c r="B2897" s="133" t="s">
        <v>6250</v>
      </c>
      <c r="C2897" s="185" t="s">
        <v>3023</v>
      </c>
      <c r="D2897" s="133" t="s">
        <v>6247</v>
      </c>
      <c r="E2897" s="134">
        <v>1</v>
      </c>
      <c r="F2897" s="135" t="s">
        <v>1449</v>
      </c>
      <c r="G2897" s="185" t="s">
        <v>15</v>
      </c>
      <c r="H2897" s="185" t="s">
        <v>15</v>
      </c>
      <c r="I2897" s="185" t="s">
        <v>15</v>
      </c>
      <c r="J2897" s="135" t="s">
        <v>1450</v>
      </c>
      <c r="K2897" s="186">
        <v>1560</v>
      </c>
      <c r="L2897" s="187" t="s">
        <v>173</v>
      </c>
      <c r="M2897" s="187" t="s">
        <v>175</v>
      </c>
    </row>
    <row r="2898" spans="1:13" s="188" customFormat="1">
      <c r="A2898" s="185" t="s">
        <v>1447</v>
      </c>
      <c r="B2898" s="133" t="s">
        <v>6251</v>
      </c>
      <c r="C2898" s="185" t="s">
        <v>3023</v>
      </c>
      <c r="D2898" s="133" t="s">
        <v>6252</v>
      </c>
      <c r="E2898" s="134">
        <v>1</v>
      </c>
      <c r="F2898" s="135" t="s">
        <v>1449</v>
      </c>
      <c r="G2898" s="185" t="s">
        <v>15</v>
      </c>
      <c r="H2898" s="185" t="s">
        <v>15</v>
      </c>
      <c r="I2898" s="185" t="s">
        <v>15</v>
      </c>
      <c r="J2898" s="135" t="s">
        <v>1450</v>
      </c>
      <c r="K2898" s="186">
        <v>6228</v>
      </c>
      <c r="L2898" s="187" t="s">
        <v>173</v>
      </c>
      <c r="M2898" s="187" t="s">
        <v>175</v>
      </c>
    </row>
    <row r="2899" spans="1:13" s="188" customFormat="1">
      <c r="A2899" s="185" t="s">
        <v>1447</v>
      </c>
      <c r="B2899" s="133" t="s">
        <v>6253</v>
      </c>
      <c r="C2899" s="185" t="s">
        <v>3023</v>
      </c>
      <c r="D2899" s="133" t="s">
        <v>6252</v>
      </c>
      <c r="E2899" s="134">
        <v>1</v>
      </c>
      <c r="F2899" s="135" t="s">
        <v>1449</v>
      </c>
      <c r="G2899" s="185" t="s">
        <v>15</v>
      </c>
      <c r="H2899" s="185" t="s">
        <v>15</v>
      </c>
      <c r="I2899" s="185" t="s">
        <v>15</v>
      </c>
      <c r="J2899" s="135" t="s">
        <v>1450</v>
      </c>
      <c r="K2899" s="186">
        <v>3732</v>
      </c>
      <c r="L2899" s="187" t="s">
        <v>173</v>
      </c>
      <c r="M2899" s="187" t="s">
        <v>175</v>
      </c>
    </row>
    <row r="2900" spans="1:13" s="188" customFormat="1">
      <c r="A2900" s="185" t="s">
        <v>1447</v>
      </c>
      <c r="B2900" s="133" t="s">
        <v>6254</v>
      </c>
      <c r="C2900" s="185" t="s">
        <v>3023</v>
      </c>
      <c r="D2900" s="133" t="s">
        <v>6252</v>
      </c>
      <c r="E2900" s="134">
        <v>1</v>
      </c>
      <c r="F2900" s="135" t="s">
        <v>1449</v>
      </c>
      <c r="G2900" s="185" t="s">
        <v>15</v>
      </c>
      <c r="H2900" s="185" t="s">
        <v>15</v>
      </c>
      <c r="I2900" s="185" t="s">
        <v>15</v>
      </c>
      <c r="J2900" s="135" t="s">
        <v>1450</v>
      </c>
      <c r="K2900" s="186">
        <v>2496</v>
      </c>
      <c r="L2900" s="187" t="s">
        <v>173</v>
      </c>
      <c r="M2900" s="187" t="s">
        <v>175</v>
      </c>
    </row>
    <row r="2901" spans="1:13" s="188" customFormat="1">
      <c r="A2901" s="185" t="s">
        <v>1447</v>
      </c>
      <c r="B2901" s="133" t="s">
        <v>6255</v>
      </c>
      <c r="C2901" s="185" t="s">
        <v>3023</v>
      </c>
      <c r="D2901" s="133" t="s">
        <v>6252</v>
      </c>
      <c r="E2901" s="134">
        <v>1</v>
      </c>
      <c r="F2901" s="135" t="s">
        <v>1449</v>
      </c>
      <c r="G2901" s="185" t="s">
        <v>15</v>
      </c>
      <c r="H2901" s="185" t="s">
        <v>15</v>
      </c>
      <c r="I2901" s="185" t="s">
        <v>15</v>
      </c>
      <c r="J2901" s="135" t="s">
        <v>1450</v>
      </c>
      <c r="K2901" s="186">
        <v>1560</v>
      </c>
      <c r="L2901" s="187" t="s">
        <v>173</v>
      </c>
      <c r="M2901" s="187" t="s">
        <v>175</v>
      </c>
    </row>
    <row r="2902" spans="1:13" s="188" customFormat="1">
      <c r="A2902" s="185" t="s">
        <v>1447</v>
      </c>
      <c r="B2902" s="133" t="s">
        <v>6256</v>
      </c>
      <c r="C2902" s="185" t="s">
        <v>3023</v>
      </c>
      <c r="D2902" s="133" t="s">
        <v>6257</v>
      </c>
      <c r="E2902" s="134">
        <v>1</v>
      </c>
      <c r="F2902" s="135" t="s">
        <v>1449</v>
      </c>
      <c r="G2902" s="185" t="s">
        <v>15</v>
      </c>
      <c r="H2902" s="185" t="s">
        <v>15</v>
      </c>
      <c r="I2902" s="185" t="s">
        <v>15</v>
      </c>
      <c r="J2902" s="135" t="s">
        <v>1450</v>
      </c>
      <c r="K2902" s="186">
        <v>21.12</v>
      </c>
      <c r="L2902" s="187" t="s">
        <v>173</v>
      </c>
      <c r="M2902" s="187" t="s">
        <v>175</v>
      </c>
    </row>
    <row r="2903" spans="1:13" s="188" customFormat="1">
      <c r="A2903" s="185" t="s">
        <v>1447</v>
      </c>
      <c r="B2903" s="133" t="s">
        <v>6258</v>
      </c>
      <c r="C2903" s="185" t="s">
        <v>3023</v>
      </c>
      <c r="D2903" s="133" t="s">
        <v>6257</v>
      </c>
      <c r="E2903" s="134">
        <v>1</v>
      </c>
      <c r="F2903" s="135" t="s">
        <v>1449</v>
      </c>
      <c r="G2903" s="185" t="s">
        <v>15</v>
      </c>
      <c r="H2903" s="185" t="s">
        <v>15</v>
      </c>
      <c r="I2903" s="185" t="s">
        <v>15</v>
      </c>
      <c r="J2903" s="135" t="s">
        <v>1450</v>
      </c>
      <c r="K2903" s="186">
        <v>15.84</v>
      </c>
      <c r="L2903" s="187" t="s">
        <v>173</v>
      </c>
      <c r="M2903" s="187" t="s">
        <v>175</v>
      </c>
    </row>
    <row r="2904" spans="1:13" s="188" customFormat="1">
      <c r="A2904" s="185" t="s">
        <v>1447</v>
      </c>
      <c r="B2904" s="133" t="s">
        <v>6259</v>
      </c>
      <c r="C2904" s="185" t="s">
        <v>3023</v>
      </c>
      <c r="D2904" s="133" t="s">
        <v>6257</v>
      </c>
      <c r="E2904" s="134">
        <v>1</v>
      </c>
      <c r="F2904" s="135" t="s">
        <v>1449</v>
      </c>
      <c r="G2904" s="185" t="s">
        <v>15</v>
      </c>
      <c r="H2904" s="185" t="s">
        <v>15</v>
      </c>
      <c r="I2904" s="185" t="s">
        <v>15</v>
      </c>
      <c r="J2904" s="135" t="s">
        <v>1450</v>
      </c>
      <c r="K2904" s="186">
        <v>13.799999999999999</v>
      </c>
      <c r="L2904" s="187" t="s">
        <v>173</v>
      </c>
      <c r="M2904" s="187" t="s">
        <v>175</v>
      </c>
    </row>
    <row r="2905" spans="1:13" s="188" customFormat="1">
      <c r="A2905" s="185" t="s">
        <v>1447</v>
      </c>
      <c r="B2905" s="133" t="s">
        <v>6260</v>
      </c>
      <c r="C2905" s="185" t="s">
        <v>3023</v>
      </c>
      <c r="D2905" s="133" t="s">
        <v>6257</v>
      </c>
      <c r="E2905" s="134">
        <v>1</v>
      </c>
      <c r="F2905" s="135" t="s">
        <v>1449</v>
      </c>
      <c r="G2905" s="185" t="s">
        <v>15</v>
      </c>
      <c r="H2905" s="185" t="s">
        <v>15</v>
      </c>
      <c r="I2905" s="185" t="s">
        <v>15</v>
      </c>
      <c r="J2905" s="135" t="s">
        <v>1450</v>
      </c>
      <c r="K2905" s="186">
        <v>11.040000000000001</v>
      </c>
      <c r="L2905" s="187" t="s">
        <v>173</v>
      </c>
      <c r="M2905" s="187" t="s">
        <v>175</v>
      </c>
    </row>
    <row r="2906" spans="1:13" s="188" customFormat="1">
      <c r="A2906" s="185" t="s">
        <v>1447</v>
      </c>
      <c r="B2906" s="133" t="s">
        <v>6261</v>
      </c>
      <c r="C2906" s="185" t="s">
        <v>3023</v>
      </c>
      <c r="D2906" s="133" t="s">
        <v>6257</v>
      </c>
      <c r="E2906" s="134">
        <v>1</v>
      </c>
      <c r="F2906" s="135" t="s">
        <v>1449</v>
      </c>
      <c r="G2906" s="185" t="s">
        <v>15</v>
      </c>
      <c r="H2906" s="185" t="s">
        <v>15</v>
      </c>
      <c r="I2906" s="185" t="s">
        <v>15</v>
      </c>
      <c r="J2906" s="135" t="s">
        <v>1450</v>
      </c>
      <c r="K2906" s="186">
        <v>9</v>
      </c>
      <c r="L2906" s="187" t="s">
        <v>173</v>
      </c>
      <c r="M2906" s="187" t="s">
        <v>175</v>
      </c>
    </row>
    <row r="2907" spans="1:13" s="188" customFormat="1">
      <c r="A2907" s="185" t="s">
        <v>1447</v>
      </c>
      <c r="B2907" s="133" t="s">
        <v>6262</v>
      </c>
      <c r="C2907" s="185" t="s">
        <v>3023</v>
      </c>
      <c r="D2907" s="133" t="s">
        <v>6257</v>
      </c>
      <c r="E2907" s="134">
        <v>1</v>
      </c>
      <c r="F2907" s="135" t="s">
        <v>1449</v>
      </c>
      <c r="G2907" s="185" t="s">
        <v>15</v>
      </c>
      <c r="H2907" s="185" t="s">
        <v>15</v>
      </c>
      <c r="I2907" s="185" t="s">
        <v>15</v>
      </c>
      <c r="J2907" s="135" t="s">
        <v>1450</v>
      </c>
      <c r="K2907" s="186">
        <v>7.68</v>
      </c>
      <c r="L2907" s="187" t="s">
        <v>173</v>
      </c>
      <c r="M2907" s="187" t="s">
        <v>175</v>
      </c>
    </row>
    <row r="2908" spans="1:13" s="188" customFormat="1">
      <c r="A2908" s="185" t="s">
        <v>1447</v>
      </c>
      <c r="B2908" s="133" t="s">
        <v>6263</v>
      </c>
      <c r="C2908" s="185" t="s">
        <v>3023</v>
      </c>
      <c r="D2908" s="133" t="s">
        <v>6257</v>
      </c>
      <c r="E2908" s="134">
        <v>1</v>
      </c>
      <c r="F2908" s="135" t="s">
        <v>1449</v>
      </c>
      <c r="G2908" s="185" t="s">
        <v>15</v>
      </c>
      <c r="H2908" s="185" t="s">
        <v>15</v>
      </c>
      <c r="I2908" s="185" t="s">
        <v>15</v>
      </c>
      <c r="J2908" s="135" t="s">
        <v>1450</v>
      </c>
      <c r="K2908" s="186">
        <v>6.7200000000000006</v>
      </c>
      <c r="L2908" s="187" t="s">
        <v>173</v>
      </c>
      <c r="M2908" s="187" t="s">
        <v>175</v>
      </c>
    </row>
    <row r="2909" spans="1:13" s="188" customFormat="1">
      <c r="A2909" s="185" t="s">
        <v>1447</v>
      </c>
      <c r="B2909" s="133" t="s">
        <v>6264</v>
      </c>
      <c r="C2909" s="185" t="s">
        <v>3023</v>
      </c>
      <c r="D2909" s="133" t="s">
        <v>6265</v>
      </c>
      <c r="E2909" s="134">
        <v>1</v>
      </c>
      <c r="F2909" s="135" t="s">
        <v>1449</v>
      </c>
      <c r="G2909" s="185" t="s">
        <v>15</v>
      </c>
      <c r="H2909" s="185" t="s">
        <v>15</v>
      </c>
      <c r="I2909" s="185" t="s">
        <v>15</v>
      </c>
      <c r="J2909" s="135" t="s">
        <v>1450</v>
      </c>
      <c r="K2909" s="186">
        <v>180</v>
      </c>
      <c r="L2909" s="187" t="s">
        <v>173</v>
      </c>
      <c r="M2909" s="187" t="s">
        <v>175</v>
      </c>
    </row>
    <row r="2910" spans="1:13" s="188" customFormat="1">
      <c r="A2910" s="185" t="s">
        <v>1447</v>
      </c>
      <c r="B2910" s="133" t="s">
        <v>6266</v>
      </c>
      <c r="C2910" s="185" t="s">
        <v>3023</v>
      </c>
      <c r="D2910" s="133" t="s">
        <v>6267</v>
      </c>
      <c r="E2910" s="134">
        <v>1</v>
      </c>
      <c r="F2910" s="135" t="s">
        <v>1449</v>
      </c>
      <c r="G2910" s="185" t="s">
        <v>15</v>
      </c>
      <c r="H2910" s="185" t="s">
        <v>15</v>
      </c>
      <c r="I2910" s="185" t="s">
        <v>15</v>
      </c>
      <c r="J2910" s="135" t="s">
        <v>1450</v>
      </c>
      <c r="K2910" s="186">
        <v>31.08</v>
      </c>
      <c r="L2910" s="187" t="s">
        <v>173</v>
      </c>
      <c r="M2910" s="187" t="s">
        <v>175</v>
      </c>
    </row>
    <row r="2911" spans="1:13" s="188" customFormat="1">
      <c r="A2911" s="185" t="s">
        <v>1447</v>
      </c>
      <c r="B2911" s="133" t="s">
        <v>6268</v>
      </c>
      <c r="C2911" s="185" t="s">
        <v>3023</v>
      </c>
      <c r="D2911" s="133" t="s">
        <v>6269</v>
      </c>
      <c r="E2911" s="134">
        <v>1</v>
      </c>
      <c r="F2911" s="135" t="s">
        <v>1449</v>
      </c>
      <c r="G2911" s="185" t="s">
        <v>15</v>
      </c>
      <c r="H2911" s="185" t="s">
        <v>15</v>
      </c>
      <c r="I2911" s="185" t="s">
        <v>15</v>
      </c>
      <c r="J2911" s="135" t="s">
        <v>1450</v>
      </c>
      <c r="K2911" s="186">
        <v>62.28</v>
      </c>
      <c r="L2911" s="187" t="s">
        <v>173</v>
      </c>
      <c r="M2911" s="187" t="s">
        <v>175</v>
      </c>
    </row>
    <row r="2912" spans="1:13" s="188" customFormat="1">
      <c r="A2912" s="185" t="s">
        <v>1447</v>
      </c>
      <c r="B2912" s="133" t="s">
        <v>6270</v>
      </c>
      <c r="C2912" s="185" t="s">
        <v>3023</v>
      </c>
      <c r="D2912" s="133" t="s">
        <v>1800</v>
      </c>
      <c r="E2912" s="134">
        <v>1</v>
      </c>
      <c r="F2912" s="135" t="s">
        <v>1449</v>
      </c>
      <c r="G2912" s="185" t="s">
        <v>15</v>
      </c>
      <c r="H2912" s="185" t="s">
        <v>15</v>
      </c>
      <c r="I2912" s="185" t="s">
        <v>15</v>
      </c>
      <c r="J2912" s="135" t="s">
        <v>1450</v>
      </c>
      <c r="K2912" s="186">
        <v>62.28</v>
      </c>
      <c r="L2912" s="187" t="s">
        <v>173</v>
      </c>
      <c r="M2912" s="187" t="s">
        <v>175</v>
      </c>
    </row>
    <row r="2913" spans="1:13" s="188" customFormat="1">
      <c r="A2913" s="185" t="s">
        <v>1447</v>
      </c>
      <c r="B2913" s="133" t="s">
        <v>6271</v>
      </c>
      <c r="C2913" s="185" t="s">
        <v>3023</v>
      </c>
      <c r="D2913" s="133" t="s">
        <v>1800</v>
      </c>
      <c r="E2913" s="134">
        <v>1</v>
      </c>
      <c r="F2913" s="135" t="s">
        <v>1449</v>
      </c>
      <c r="G2913" s="185" t="s">
        <v>15</v>
      </c>
      <c r="H2913" s="185" t="s">
        <v>15</v>
      </c>
      <c r="I2913" s="185" t="s">
        <v>15</v>
      </c>
      <c r="J2913" s="135" t="s">
        <v>1450</v>
      </c>
      <c r="K2913" s="186">
        <v>40.08</v>
      </c>
      <c r="L2913" s="187" t="s">
        <v>173</v>
      </c>
      <c r="M2913" s="187" t="s">
        <v>175</v>
      </c>
    </row>
    <row r="2914" spans="1:13" s="188" customFormat="1">
      <c r="A2914" s="185" t="s">
        <v>1447</v>
      </c>
      <c r="B2914" s="133" t="s">
        <v>6272</v>
      </c>
      <c r="C2914" s="185" t="s">
        <v>3023</v>
      </c>
      <c r="D2914" s="133" t="s">
        <v>1800</v>
      </c>
      <c r="E2914" s="134">
        <v>1</v>
      </c>
      <c r="F2914" s="135" t="s">
        <v>1449</v>
      </c>
      <c r="G2914" s="185" t="s">
        <v>15</v>
      </c>
      <c r="H2914" s="185" t="s">
        <v>15</v>
      </c>
      <c r="I2914" s="185" t="s">
        <v>15</v>
      </c>
      <c r="J2914" s="135" t="s">
        <v>1450</v>
      </c>
      <c r="K2914" s="186">
        <v>28.799999999999997</v>
      </c>
      <c r="L2914" s="187" t="s">
        <v>173</v>
      </c>
      <c r="M2914" s="187" t="s">
        <v>175</v>
      </c>
    </row>
    <row r="2915" spans="1:13" s="188" customFormat="1">
      <c r="A2915" s="185" t="s">
        <v>1447</v>
      </c>
      <c r="B2915" s="133" t="s">
        <v>6273</v>
      </c>
      <c r="C2915" s="185" t="s">
        <v>3023</v>
      </c>
      <c r="D2915" s="133" t="s">
        <v>1800</v>
      </c>
      <c r="E2915" s="134">
        <v>1</v>
      </c>
      <c r="F2915" s="135" t="s">
        <v>1449</v>
      </c>
      <c r="G2915" s="185" t="s">
        <v>15</v>
      </c>
      <c r="H2915" s="185" t="s">
        <v>15</v>
      </c>
      <c r="I2915" s="185" t="s">
        <v>15</v>
      </c>
      <c r="J2915" s="135" t="s">
        <v>1450</v>
      </c>
      <c r="K2915" s="186">
        <v>21.240000000000002</v>
      </c>
      <c r="L2915" s="187" t="s">
        <v>173</v>
      </c>
      <c r="M2915" s="187" t="s">
        <v>175</v>
      </c>
    </row>
    <row r="2916" spans="1:13" s="188" customFormat="1">
      <c r="A2916" s="185" t="s">
        <v>1447</v>
      </c>
      <c r="B2916" s="133" t="s">
        <v>6274</v>
      </c>
      <c r="C2916" s="185" t="s">
        <v>3023</v>
      </c>
      <c r="D2916" s="133" t="s">
        <v>1800</v>
      </c>
      <c r="E2916" s="134">
        <v>1</v>
      </c>
      <c r="F2916" s="135" t="s">
        <v>1449</v>
      </c>
      <c r="G2916" s="185" t="s">
        <v>15</v>
      </c>
      <c r="H2916" s="185" t="s">
        <v>15</v>
      </c>
      <c r="I2916" s="185" t="s">
        <v>15</v>
      </c>
      <c r="J2916" s="135" t="s">
        <v>1450</v>
      </c>
      <c r="K2916" s="186">
        <v>15.36</v>
      </c>
      <c r="L2916" s="187" t="s">
        <v>173</v>
      </c>
      <c r="M2916" s="187" t="s">
        <v>175</v>
      </c>
    </row>
    <row r="2917" spans="1:13" s="188" customFormat="1">
      <c r="A2917" s="185" t="s">
        <v>1447</v>
      </c>
      <c r="B2917" s="133" t="s">
        <v>6275</v>
      </c>
      <c r="C2917" s="185" t="s">
        <v>3023</v>
      </c>
      <c r="D2917" s="133" t="s">
        <v>1800</v>
      </c>
      <c r="E2917" s="134">
        <v>1</v>
      </c>
      <c r="F2917" s="135" t="s">
        <v>1449</v>
      </c>
      <c r="G2917" s="185" t="s">
        <v>15</v>
      </c>
      <c r="H2917" s="185" t="s">
        <v>15</v>
      </c>
      <c r="I2917" s="185" t="s">
        <v>15</v>
      </c>
      <c r="J2917" s="135" t="s">
        <v>1450</v>
      </c>
      <c r="K2917" s="186">
        <v>10.92</v>
      </c>
      <c r="L2917" s="187" t="s">
        <v>173</v>
      </c>
      <c r="M2917" s="187" t="s">
        <v>175</v>
      </c>
    </row>
    <row r="2918" spans="1:13" s="188" customFormat="1">
      <c r="A2918" s="185" t="s">
        <v>1447</v>
      </c>
      <c r="B2918" s="133" t="s">
        <v>6276</v>
      </c>
      <c r="C2918" s="185" t="s">
        <v>3023</v>
      </c>
      <c r="D2918" s="133" t="s">
        <v>6277</v>
      </c>
      <c r="E2918" s="134">
        <v>1</v>
      </c>
      <c r="F2918" s="135" t="s">
        <v>1449</v>
      </c>
      <c r="G2918" s="185" t="s">
        <v>15</v>
      </c>
      <c r="H2918" s="185" t="s">
        <v>15</v>
      </c>
      <c r="I2918" s="185" t="s">
        <v>15</v>
      </c>
      <c r="J2918" s="135" t="s">
        <v>1450</v>
      </c>
      <c r="K2918" s="186">
        <v>12456</v>
      </c>
      <c r="L2918" s="187" t="s">
        <v>173</v>
      </c>
      <c r="M2918" s="187" t="s">
        <v>175</v>
      </c>
    </row>
    <row r="2919" spans="1:13" s="188" customFormat="1">
      <c r="A2919" s="185" t="s">
        <v>1447</v>
      </c>
      <c r="B2919" s="133" t="s">
        <v>6278</v>
      </c>
      <c r="C2919" s="185" t="s">
        <v>3023</v>
      </c>
      <c r="D2919" s="133" t="s">
        <v>6279</v>
      </c>
      <c r="E2919" s="134">
        <v>1</v>
      </c>
      <c r="F2919" s="135" t="s">
        <v>1449</v>
      </c>
      <c r="G2919" s="185" t="s">
        <v>15</v>
      </c>
      <c r="H2919" s="185" t="s">
        <v>15</v>
      </c>
      <c r="I2919" s="185" t="s">
        <v>15</v>
      </c>
      <c r="J2919" s="135" t="s">
        <v>1450</v>
      </c>
      <c r="K2919" s="186">
        <v>228</v>
      </c>
      <c r="L2919" s="187" t="s">
        <v>173</v>
      </c>
      <c r="M2919" s="187" t="s">
        <v>175</v>
      </c>
    </row>
    <row r="2920" spans="1:13" s="188" customFormat="1">
      <c r="A2920" s="185" t="s">
        <v>1447</v>
      </c>
      <c r="B2920" s="133" t="s">
        <v>6280</v>
      </c>
      <c r="C2920" s="185" t="s">
        <v>3023</v>
      </c>
      <c r="D2920" s="133" t="s">
        <v>6279</v>
      </c>
      <c r="E2920" s="134">
        <v>1</v>
      </c>
      <c r="F2920" s="135" t="s">
        <v>1449</v>
      </c>
      <c r="G2920" s="185" t="s">
        <v>15</v>
      </c>
      <c r="H2920" s="185" t="s">
        <v>15</v>
      </c>
      <c r="I2920" s="185" t="s">
        <v>15</v>
      </c>
      <c r="J2920" s="135" t="s">
        <v>1450</v>
      </c>
      <c r="K2920" s="186">
        <v>216</v>
      </c>
      <c r="L2920" s="187" t="s">
        <v>173</v>
      </c>
      <c r="M2920" s="187" t="s">
        <v>175</v>
      </c>
    </row>
    <row r="2921" spans="1:13" s="188" customFormat="1">
      <c r="A2921" s="185" t="s">
        <v>1447</v>
      </c>
      <c r="B2921" s="133" t="s">
        <v>6281</v>
      </c>
      <c r="C2921" s="185" t="s">
        <v>3023</v>
      </c>
      <c r="D2921" s="133" t="s">
        <v>6279</v>
      </c>
      <c r="E2921" s="134">
        <v>1</v>
      </c>
      <c r="F2921" s="135" t="s">
        <v>1449</v>
      </c>
      <c r="G2921" s="185" t="s">
        <v>15</v>
      </c>
      <c r="H2921" s="185" t="s">
        <v>15</v>
      </c>
      <c r="I2921" s="185" t="s">
        <v>15</v>
      </c>
      <c r="J2921" s="135" t="s">
        <v>1450</v>
      </c>
      <c r="K2921" s="186">
        <v>204</v>
      </c>
      <c r="L2921" s="187" t="s">
        <v>173</v>
      </c>
      <c r="M2921" s="187" t="s">
        <v>175</v>
      </c>
    </row>
    <row r="2922" spans="1:13" s="188" customFormat="1">
      <c r="A2922" s="185" t="s">
        <v>1447</v>
      </c>
      <c r="B2922" s="133" t="s">
        <v>6282</v>
      </c>
      <c r="C2922" s="185" t="s">
        <v>3023</v>
      </c>
      <c r="D2922" s="133" t="s">
        <v>6279</v>
      </c>
      <c r="E2922" s="134">
        <v>1</v>
      </c>
      <c r="F2922" s="135" t="s">
        <v>1449</v>
      </c>
      <c r="G2922" s="185" t="s">
        <v>15</v>
      </c>
      <c r="H2922" s="185" t="s">
        <v>15</v>
      </c>
      <c r="I2922" s="185" t="s">
        <v>15</v>
      </c>
      <c r="J2922" s="135" t="s">
        <v>1450</v>
      </c>
      <c r="K2922" s="186">
        <v>192</v>
      </c>
      <c r="L2922" s="187" t="s">
        <v>173</v>
      </c>
      <c r="M2922" s="187" t="s">
        <v>175</v>
      </c>
    </row>
    <row r="2923" spans="1:13" s="188" customFormat="1">
      <c r="A2923" s="185" t="s">
        <v>1447</v>
      </c>
      <c r="B2923" s="133" t="s">
        <v>6283</v>
      </c>
      <c r="C2923" s="185" t="s">
        <v>3023</v>
      </c>
      <c r="D2923" s="133" t="s">
        <v>6279</v>
      </c>
      <c r="E2923" s="134">
        <v>1</v>
      </c>
      <c r="F2923" s="135" t="s">
        <v>1449</v>
      </c>
      <c r="G2923" s="185" t="s">
        <v>15</v>
      </c>
      <c r="H2923" s="185" t="s">
        <v>15</v>
      </c>
      <c r="I2923" s="185" t="s">
        <v>15</v>
      </c>
      <c r="J2923" s="135" t="s">
        <v>1450</v>
      </c>
      <c r="K2923" s="186">
        <v>180</v>
      </c>
      <c r="L2923" s="187" t="s">
        <v>173</v>
      </c>
      <c r="M2923" s="187" t="s">
        <v>175</v>
      </c>
    </row>
    <row r="2924" spans="1:13" s="188" customFormat="1">
      <c r="A2924" s="185" t="s">
        <v>1447</v>
      </c>
      <c r="B2924" s="133" t="s">
        <v>6284</v>
      </c>
      <c r="C2924" s="185" t="s">
        <v>3023</v>
      </c>
      <c r="D2924" s="133" t="s">
        <v>6279</v>
      </c>
      <c r="E2924" s="134">
        <v>1</v>
      </c>
      <c r="F2924" s="135" t="s">
        <v>1449</v>
      </c>
      <c r="G2924" s="185" t="s">
        <v>15</v>
      </c>
      <c r="H2924" s="185" t="s">
        <v>15</v>
      </c>
      <c r="I2924" s="185" t="s">
        <v>15</v>
      </c>
      <c r="J2924" s="135" t="s">
        <v>1450</v>
      </c>
      <c r="K2924" s="186">
        <v>156</v>
      </c>
      <c r="L2924" s="187" t="s">
        <v>173</v>
      </c>
      <c r="M2924" s="187" t="s">
        <v>175</v>
      </c>
    </row>
    <row r="2925" spans="1:13" s="188" customFormat="1">
      <c r="A2925" s="185" t="s">
        <v>1447</v>
      </c>
      <c r="B2925" s="133" t="s">
        <v>6285</v>
      </c>
      <c r="C2925" s="185" t="s">
        <v>3023</v>
      </c>
      <c r="D2925" s="133" t="s">
        <v>6279</v>
      </c>
      <c r="E2925" s="134">
        <v>1</v>
      </c>
      <c r="F2925" s="135" t="s">
        <v>1449</v>
      </c>
      <c r="G2925" s="185" t="s">
        <v>15</v>
      </c>
      <c r="H2925" s="185" t="s">
        <v>15</v>
      </c>
      <c r="I2925" s="185" t="s">
        <v>15</v>
      </c>
      <c r="J2925" s="135" t="s">
        <v>1450</v>
      </c>
      <c r="K2925" s="186">
        <v>144</v>
      </c>
      <c r="L2925" s="187" t="s">
        <v>173</v>
      </c>
      <c r="M2925" s="187" t="s">
        <v>175</v>
      </c>
    </row>
    <row r="2926" spans="1:13" s="188" customFormat="1">
      <c r="A2926" s="185" t="s">
        <v>1447</v>
      </c>
      <c r="B2926" s="133" t="s">
        <v>6286</v>
      </c>
      <c r="C2926" s="185" t="s">
        <v>3023</v>
      </c>
      <c r="D2926" s="133" t="s">
        <v>6287</v>
      </c>
      <c r="E2926" s="134">
        <v>1</v>
      </c>
      <c r="F2926" s="135" t="s">
        <v>1449</v>
      </c>
      <c r="G2926" s="185" t="s">
        <v>15</v>
      </c>
      <c r="H2926" s="185" t="s">
        <v>15</v>
      </c>
      <c r="I2926" s="185" t="s">
        <v>15</v>
      </c>
      <c r="J2926" s="135" t="s">
        <v>1450</v>
      </c>
      <c r="K2926" s="186">
        <v>12.48</v>
      </c>
      <c r="L2926" s="187" t="s">
        <v>173</v>
      </c>
      <c r="M2926" s="187" t="s">
        <v>175</v>
      </c>
    </row>
    <row r="2927" spans="1:13" s="188" customFormat="1">
      <c r="A2927" s="185" t="s">
        <v>1447</v>
      </c>
      <c r="B2927" s="133" t="s">
        <v>6288</v>
      </c>
      <c r="C2927" s="185" t="s">
        <v>3023</v>
      </c>
      <c r="D2927" s="133" t="s">
        <v>6289</v>
      </c>
      <c r="E2927" s="134">
        <v>1</v>
      </c>
      <c r="F2927" s="135" t="s">
        <v>1449</v>
      </c>
      <c r="G2927" s="185" t="s">
        <v>15</v>
      </c>
      <c r="H2927" s="185" t="s">
        <v>15</v>
      </c>
      <c r="I2927" s="185" t="s">
        <v>15</v>
      </c>
      <c r="J2927" s="135" t="s">
        <v>1450</v>
      </c>
      <c r="K2927" s="186">
        <v>1431888</v>
      </c>
      <c r="L2927" s="187" t="s">
        <v>173</v>
      </c>
      <c r="M2927" s="187" t="s">
        <v>175</v>
      </c>
    </row>
    <row r="2928" spans="1:13" s="188" customFormat="1">
      <c r="A2928" s="185" t="s">
        <v>1447</v>
      </c>
      <c r="B2928" s="133" t="s">
        <v>6290</v>
      </c>
      <c r="C2928" s="185" t="s">
        <v>3023</v>
      </c>
      <c r="D2928" s="133" t="s">
        <v>6291</v>
      </c>
      <c r="E2928" s="134">
        <v>1</v>
      </c>
      <c r="F2928" s="135" t="s">
        <v>1449</v>
      </c>
      <c r="G2928" s="185" t="s">
        <v>15</v>
      </c>
      <c r="H2928" s="185" t="s">
        <v>15</v>
      </c>
      <c r="I2928" s="185" t="s">
        <v>15</v>
      </c>
      <c r="J2928" s="135" t="s">
        <v>1450</v>
      </c>
      <c r="K2928" s="186">
        <v>435792</v>
      </c>
      <c r="L2928" s="187" t="s">
        <v>173</v>
      </c>
      <c r="M2928" s="187" t="s">
        <v>175</v>
      </c>
    </row>
    <row r="2929" spans="1:13" s="188" customFormat="1">
      <c r="A2929" s="185" t="s">
        <v>1447</v>
      </c>
      <c r="B2929" s="133" t="s">
        <v>6292</v>
      </c>
      <c r="C2929" s="185" t="s">
        <v>3023</v>
      </c>
      <c r="D2929" s="133" t="s">
        <v>6293</v>
      </c>
      <c r="E2929" s="134">
        <v>1</v>
      </c>
      <c r="F2929" s="135" t="s">
        <v>1449</v>
      </c>
      <c r="G2929" s="185" t="s">
        <v>15</v>
      </c>
      <c r="H2929" s="185" t="s">
        <v>15</v>
      </c>
      <c r="I2929" s="185" t="s">
        <v>15</v>
      </c>
      <c r="J2929" s="135" t="s">
        <v>1450</v>
      </c>
      <c r="K2929" s="186">
        <v>93384</v>
      </c>
      <c r="L2929" s="187" t="s">
        <v>173</v>
      </c>
      <c r="M2929" s="187" t="s">
        <v>175</v>
      </c>
    </row>
    <row r="2930" spans="1:13" s="188" customFormat="1">
      <c r="A2930" s="185" t="s">
        <v>1447</v>
      </c>
      <c r="B2930" s="133" t="s">
        <v>6294</v>
      </c>
      <c r="C2930" s="185" t="s">
        <v>3023</v>
      </c>
      <c r="D2930" s="133" t="s">
        <v>6295</v>
      </c>
      <c r="E2930" s="134">
        <v>1</v>
      </c>
      <c r="F2930" s="135" t="s">
        <v>1449</v>
      </c>
      <c r="G2930" s="185" t="s">
        <v>15</v>
      </c>
      <c r="H2930" s="185" t="s">
        <v>15</v>
      </c>
      <c r="I2930" s="185" t="s">
        <v>15</v>
      </c>
      <c r="J2930" s="135" t="s">
        <v>1450</v>
      </c>
      <c r="K2930" s="186">
        <v>249024</v>
      </c>
      <c r="L2930" s="187" t="s">
        <v>173</v>
      </c>
      <c r="M2930" s="187" t="s">
        <v>175</v>
      </c>
    </row>
    <row r="2931" spans="1:13" s="188" customFormat="1">
      <c r="A2931" s="185" t="s">
        <v>1447</v>
      </c>
      <c r="B2931" s="133" t="s">
        <v>6296</v>
      </c>
      <c r="C2931" s="185" t="s">
        <v>3023</v>
      </c>
      <c r="D2931" s="133" t="s">
        <v>6297</v>
      </c>
      <c r="E2931" s="134">
        <v>1</v>
      </c>
      <c r="F2931" s="135" t="s">
        <v>1449</v>
      </c>
      <c r="G2931" s="185" t="s">
        <v>15</v>
      </c>
      <c r="H2931" s="185" t="s">
        <v>15</v>
      </c>
      <c r="I2931" s="185" t="s">
        <v>15</v>
      </c>
      <c r="J2931" s="135" t="s">
        <v>1450</v>
      </c>
      <c r="K2931" s="186">
        <v>54480</v>
      </c>
      <c r="L2931" s="187" t="s">
        <v>173</v>
      </c>
      <c r="M2931" s="187" t="s">
        <v>175</v>
      </c>
    </row>
    <row r="2932" spans="1:13" s="188" customFormat="1">
      <c r="A2932" s="185" t="s">
        <v>1447</v>
      </c>
      <c r="B2932" s="133" t="s">
        <v>6298</v>
      </c>
      <c r="C2932" s="185" t="s">
        <v>3023</v>
      </c>
      <c r="D2932" s="133" t="s">
        <v>6299</v>
      </c>
      <c r="E2932" s="134">
        <v>1</v>
      </c>
      <c r="F2932" s="135" t="s">
        <v>1449</v>
      </c>
      <c r="G2932" s="185" t="s">
        <v>15</v>
      </c>
      <c r="H2932" s="185" t="s">
        <v>15</v>
      </c>
      <c r="I2932" s="185" t="s">
        <v>15</v>
      </c>
      <c r="J2932" s="135" t="s">
        <v>1450</v>
      </c>
      <c r="K2932" s="186">
        <v>140076</v>
      </c>
      <c r="L2932" s="187" t="s">
        <v>173</v>
      </c>
      <c r="M2932" s="187" t="s">
        <v>175</v>
      </c>
    </row>
    <row r="2933" spans="1:13" s="188" customFormat="1">
      <c r="A2933" s="185" t="s">
        <v>1447</v>
      </c>
      <c r="B2933" s="133" t="s">
        <v>6300</v>
      </c>
      <c r="C2933" s="185" t="s">
        <v>3023</v>
      </c>
      <c r="D2933" s="133" t="s">
        <v>6301</v>
      </c>
      <c r="E2933" s="134">
        <v>1</v>
      </c>
      <c r="F2933" s="135" t="s">
        <v>1449</v>
      </c>
      <c r="G2933" s="185" t="s">
        <v>15</v>
      </c>
      <c r="H2933" s="185" t="s">
        <v>15</v>
      </c>
      <c r="I2933" s="185" t="s">
        <v>15</v>
      </c>
      <c r="J2933" s="135" t="s">
        <v>1450</v>
      </c>
      <c r="K2933" s="186">
        <v>622560</v>
      </c>
      <c r="L2933" s="187" t="s">
        <v>173</v>
      </c>
      <c r="M2933" s="187" t="s">
        <v>175</v>
      </c>
    </row>
    <row r="2934" spans="1:13" s="188" customFormat="1">
      <c r="A2934" s="185" t="s">
        <v>1447</v>
      </c>
      <c r="B2934" s="133" t="s">
        <v>6302</v>
      </c>
      <c r="C2934" s="185" t="s">
        <v>3023</v>
      </c>
      <c r="D2934" s="133" t="s">
        <v>6303</v>
      </c>
      <c r="E2934" s="134">
        <v>1</v>
      </c>
      <c r="F2934" s="135" t="s">
        <v>1449</v>
      </c>
      <c r="G2934" s="185" t="s">
        <v>15</v>
      </c>
      <c r="H2934" s="185" t="s">
        <v>15</v>
      </c>
      <c r="I2934" s="185" t="s">
        <v>15</v>
      </c>
      <c r="J2934" s="135" t="s">
        <v>1450</v>
      </c>
      <c r="K2934" s="186">
        <v>41508</v>
      </c>
      <c r="L2934" s="187" t="s">
        <v>173</v>
      </c>
      <c r="M2934" s="187" t="s">
        <v>175</v>
      </c>
    </row>
    <row r="2935" spans="1:13" s="188" customFormat="1">
      <c r="A2935" s="185" t="s">
        <v>1447</v>
      </c>
      <c r="B2935" s="133" t="s">
        <v>6304</v>
      </c>
      <c r="C2935" s="185" t="s">
        <v>3023</v>
      </c>
      <c r="D2935" s="133" t="s">
        <v>6305</v>
      </c>
      <c r="E2935" s="134">
        <v>1</v>
      </c>
      <c r="F2935" s="135" t="s">
        <v>1449</v>
      </c>
      <c r="G2935" s="185" t="s">
        <v>15</v>
      </c>
      <c r="H2935" s="185" t="s">
        <v>15</v>
      </c>
      <c r="I2935" s="185" t="s">
        <v>15</v>
      </c>
      <c r="J2935" s="135" t="s">
        <v>1450</v>
      </c>
      <c r="K2935" s="186">
        <v>156</v>
      </c>
      <c r="L2935" s="187" t="s">
        <v>173</v>
      </c>
      <c r="M2935" s="187" t="s">
        <v>175</v>
      </c>
    </row>
    <row r="2936" spans="1:13" s="188" customFormat="1">
      <c r="A2936" s="185" t="s">
        <v>1447</v>
      </c>
      <c r="B2936" s="133" t="s">
        <v>6306</v>
      </c>
      <c r="C2936" s="185" t="s">
        <v>3023</v>
      </c>
      <c r="D2936" s="133" t="s">
        <v>6305</v>
      </c>
      <c r="E2936" s="134">
        <v>1</v>
      </c>
      <c r="F2936" s="135" t="s">
        <v>1449</v>
      </c>
      <c r="G2936" s="185" t="s">
        <v>15</v>
      </c>
      <c r="H2936" s="185" t="s">
        <v>15</v>
      </c>
      <c r="I2936" s="185" t="s">
        <v>15</v>
      </c>
      <c r="J2936" s="135" t="s">
        <v>1450</v>
      </c>
      <c r="K2936" s="186">
        <v>144</v>
      </c>
      <c r="L2936" s="187" t="s">
        <v>173</v>
      </c>
      <c r="M2936" s="187" t="s">
        <v>175</v>
      </c>
    </row>
    <row r="2937" spans="1:13" s="188" customFormat="1">
      <c r="A2937" s="185" t="s">
        <v>1447</v>
      </c>
      <c r="B2937" s="133" t="s">
        <v>6307</v>
      </c>
      <c r="C2937" s="185" t="s">
        <v>3023</v>
      </c>
      <c r="D2937" s="133" t="s">
        <v>6305</v>
      </c>
      <c r="E2937" s="134">
        <v>1</v>
      </c>
      <c r="F2937" s="135" t="s">
        <v>1449</v>
      </c>
      <c r="G2937" s="185" t="s">
        <v>15</v>
      </c>
      <c r="H2937" s="185" t="s">
        <v>15</v>
      </c>
      <c r="I2937" s="185" t="s">
        <v>15</v>
      </c>
      <c r="J2937" s="135" t="s">
        <v>1450</v>
      </c>
      <c r="K2937" s="186">
        <v>132</v>
      </c>
      <c r="L2937" s="187" t="s">
        <v>173</v>
      </c>
      <c r="M2937" s="187" t="s">
        <v>175</v>
      </c>
    </row>
    <row r="2938" spans="1:13" s="188" customFormat="1">
      <c r="A2938" s="185" t="s">
        <v>1447</v>
      </c>
      <c r="B2938" s="133" t="s">
        <v>6308</v>
      </c>
      <c r="C2938" s="185" t="s">
        <v>3023</v>
      </c>
      <c r="D2938" s="133" t="s">
        <v>6305</v>
      </c>
      <c r="E2938" s="134">
        <v>1</v>
      </c>
      <c r="F2938" s="135" t="s">
        <v>1449</v>
      </c>
      <c r="G2938" s="185" t="s">
        <v>15</v>
      </c>
      <c r="H2938" s="185" t="s">
        <v>15</v>
      </c>
      <c r="I2938" s="185" t="s">
        <v>15</v>
      </c>
      <c r="J2938" s="135" t="s">
        <v>1450</v>
      </c>
      <c r="K2938" s="186">
        <v>118.32</v>
      </c>
      <c r="L2938" s="187" t="s">
        <v>173</v>
      </c>
      <c r="M2938" s="187" t="s">
        <v>175</v>
      </c>
    </row>
    <row r="2939" spans="1:13" s="188" customFormat="1">
      <c r="A2939" s="185" t="s">
        <v>1447</v>
      </c>
      <c r="B2939" s="133" t="s">
        <v>6309</v>
      </c>
      <c r="C2939" s="185" t="s">
        <v>3023</v>
      </c>
      <c r="D2939" s="133" t="s">
        <v>6305</v>
      </c>
      <c r="E2939" s="134">
        <v>1</v>
      </c>
      <c r="F2939" s="135" t="s">
        <v>1449</v>
      </c>
      <c r="G2939" s="185" t="s">
        <v>15</v>
      </c>
      <c r="H2939" s="185" t="s">
        <v>15</v>
      </c>
      <c r="I2939" s="185" t="s">
        <v>15</v>
      </c>
      <c r="J2939" s="135" t="s">
        <v>1450</v>
      </c>
      <c r="K2939" s="186">
        <v>93.36</v>
      </c>
      <c r="L2939" s="187" t="s">
        <v>173</v>
      </c>
      <c r="M2939" s="187" t="s">
        <v>175</v>
      </c>
    </row>
    <row r="2940" spans="1:13" s="188" customFormat="1">
      <c r="A2940" s="185" t="s">
        <v>1447</v>
      </c>
      <c r="B2940" s="133" t="s">
        <v>6310</v>
      </c>
      <c r="C2940" s="185" t="s">
        <v>3023</v>
      </c>
      <c r="D2940" s="133" t="s">
        <v>6305</v>
      </c>
      <c r="E2940" s="134">
        <v>1</v>
      </c>
      <c r="F2940" s="135" t="s">
        <v>1449</v>
      </c>
      <c r="G2940" s="185" t="s">
        <v>15</v>
      </c>
      <c r="H2940" s="185" t="s">
        <v>15</v>
      </c>
      <c r="I2940" s="185" t="s">
        <v>15</v>
      </c>
      <c r="J2940" s="135" t="s">
        <v>1450</v>
      </c>
      <c r="K2940" s="186">
        <v>74.760000000000005</v>
      </c>
      <c r="L2940" s="187" t="s">
        <v>173</v>
      </c>
      <c r="M2940" s="187" t="s">
        <v>175</v>
      </c>
    </row>
    <row r="2941" spans="1:13" s="188" customFormat="1">
      <c r="A2941" s="185" t="s">
        <v>1447</v>
      </c>
      <c r="B2941" s="133" t="s">
        <v>6311</v>
      </c>
      <c r="C2941" s="185" t="s">
        <v>3023</v>
      </c>
      <c r="D2941" s="133" t="s">
        <v>6305</v>
      </c>
      <c r="E2941" s="134">
        <v>1</v>
      </c>
      <c r="F2941" s="135" t="s">
        <v>1449</v>
      </c>
      <c r="G2941" s="185" t="s">
        <v>15</v>
      </c>
      <c r="H2941" s="185" t="s">
        <v>15</v>
      </c>
      <c r="I2941" s="185" t="s">
        <v>15</v>
      </c>
      <c r="J2941" s="135" t="s">
        <v>1450</v>
      </c>
      <c r="K2941" s="186">
        <v>62.28</v>
      </c>
      <c r="L2941" s="187" t="s">
        <v>173</v>
      </c>
      <c r="M2941" s="187" t="s">
        <v>175</v>
      </c>
    </row>
    <row r="2942" spans="1:13" s="188" customFormat="1">
      <c r="A2942" s="185" t="s">
        <v>1447</v>
      </c>
      <c r="B2942" s="133" t="s">
        <v>6312</v>
      </c>
      <c r="C2942" s="185" t="s">
        <v>3023</v>
      </c>
      <c r="D2942" s="133" t="s">
        <v>6313</v>
      </c>
      <c r="E2942" s="134">
        <v>1</v>
      </c>
      <c r="F2942" s="135" t="s">
        <v>1449</v>
      </c>
      <c r="G2942" s="185" t="s">
        <v>15</v>
      </c>
      <c r="H2942" s="185" t="s">
        <v>15</v>
      </c>
      <c r="I2942" s="185" t="s">
        <v>15</v>
      </c>
      <c r="J2942" s="135" t="s">
        <v>1450</v>
      </c>
      <c r="K2942" s="186">
        <v>15.600000000000001</v>
      </c>
      <c r="L2942" s="187" t="s">
        <v>173</v>
      </c>
      <c r="M2942" s="187" t="s">
        <v>175</v>
      </c>
    </row>
    <row r="2943" spans="1:13" s="188" customFormat="1">
      <c r="A2943" s="185" t="s">
        <v>1447</v>
      </c>
      <c r="B2943" s="133" t="s">
        <v>6314</v>
      </c>
      <c r="C2943" s="185" t="s">
        <v>3023</v>
      </c>
      <c r="D2943" s="133" t="s">
        <v>1816</v>
      </c>
      <c r="E2943" s="134">
        <v>1</v>
      </c>
      <c r="F2943" s="135" t="s">
        <v>1449</v>
      </c>
      <c r="G2943" s="185" t="s">
        <v>15</v>
      </c>
      <c r="H2943" s="185" t="s">
        <v>15</v>
      </c>
      <c r="I2943" s="185" t="s">
        <v>15</v>
      </c>
      <c r="J2943" s="135" t="s">
        <v>1450</v>
      </c>
      <c r="K2943" s="186">
        <v>1620</v>
      </c>
      <c r="L2943" s="187" t="s">
        <v>173</v>
      </c>
      <c r="M2943" s="187" t="s">
        <v>175</v>
      </c>
    </row>
    <row r="2944" spans="1:13" s="188" customFormat="1">
      <c r="A2944" s="185" t="s">
        <v>1447</v>
      </c>
      <c r="B2944" s="133" t="s">
        <v>6315</v>
      </c>
      <c r="C2944" s="185" t="s">
        <v>3023</v>
      </c>
      <c r="D2944" s="133" t="s">
        <v>1816</v>
      </c>
      <c r="E2944" s="134">
        <v>1</v>
      </c>
      <c r="F2944" s="135" t="s">
        <v>1449</v>
      </c>
      <c r="G2944" s="185" t="s">
        <v>15</v>
      </c>
      <c r="H2944" s="185" t="s">
        <v>15</v>
      </c>
      <c r="I2944" s="185" t="s">
        <v>15</v>
      </c>
      <c r="J2944" s="135" t="s">
        <v>1450</v>
      </c>
      <c r="K2944" s="186">
        <v>1500</v>
      </c>
      <c r="L2944" s="187" t="s">
        <v>173</v>
      </c>
      <c r="M2944" s="187" t="s">
        <v>175</v>
      </c>
    </row>
    <row r="2945" spans="1:13" s="188" customFormat="1">
      <c r="A2945" s="185" t="s">
        <v>1447</v>
      </c>
      <c r="B2945" s="133" t="s">
        <v>6316</v>
      </c>
      <c r="C2945" s="185" t="s">
        <v>3023</v>
      </c>
      <c r="D2945" s="133" t="s">
        <v>1816</v>
      </c>
      <c r="E2945" s="134">
        <v>1</v>
      </c>
      <c r="F2945" s="135" t="s">
        <v>1449</v>
      </c>
      <c r="G2945" s="185" t="s">
        <v>15</v>
      </c>
      <c r="H2945" s="185" t="s">
        <v>15</v>
      </c>
      <c r="I2945" s="185" t="s">
        <v>15</v>
      </c>
      <c r="J2945" s="135" t="s">
        <v>1450</v>
      </c>
      <c r="K2945" s="186">
        <v>1368</v>
      </c>
      <c r="L2945" s="187" t="s">
        <v>173</v>
      </c>
      <c r="M2945" s="187" t="s">
        <v>175</v>
      </c>
    </row>
    <row r="2946" spans="1:13" s="188" customFormat="1">
      <c r="A2946" s="185" t="s">
        <v>1447</v>
      </c>
      <c r="B2946" s="133" t="s">
        <v>6317</v>
      </c>
      <c r="C2946" s="185" t="s">
        <v>3023</v>
      </c>
      <c r="D2946" s="133" t="s">
        <v>1816</v>
      </c>
      <c r="E2946" s="134">
        <v>1</v>
      </c>
      <c r="F2946" s="135" t="s">
        <v>1449</v>
      </c>
      <c r="G2946" s="185" t="s">
        <v>15</v>
      </c>
      <c r="H2946" s="185" t="s">
        <v>15</v>
      </c>
      <c r="I2946" s="185" t="s">
        <v>15</v>
      </c>
      <c r="J2946" s="135" t="s">
        <v>1450</v>
      </c>
      <c r="K2946" s="186">
        <v>1248</v>
      </c>
      <c r="L2946" s="187" t="s">
        <v>173</v>
      </c>
      <c r="M2946" s="187" t="s">
        <v>175</v>
      </c>
    </row>
    <row r="2947" spans="1:13" s="188" customFormat="1">
      <c r="A2947" s="185" t="s">
        <v>1447</v>
      </c>
      <c r="B2947" s="133" t="s">
        <v>6318</v>
      </c>
      <c r="C2947" s="185" t="s">
        <v>3023</v>
      </c>
      <c r="D2947" s="133" t="s">
        <v>1817</v>
      </c>
      <c r="E2947" s="134">
        <v>1</v>
      </c>
      <c r="F2947" s="135" t="s">
        <v>1449</v>
      </c>
      <c r="G2947" s="185" t="s">
        <v>15</v>
      </c>
      <c r="H2947" s="185" t="s">
        <v>15</v>
      </c>
      <c r="I2947" s="185" t="s">
        <v>15</v>
      </c>
      <c r="J2947" s="135" t="s">
        <v>1450</v>
      </c>
      <c r="K2947" s="186">
        <v>19608</v>
      </c>
      <c r="L2947" s="187" t="s">
        <v>173</v>
      </c>
      <c r="M2947" s="187" t="s">
        <v>175</v>
      </c>
    </row>
    <row r="2948" spans="1:13" s="188" customFormat="1">
      <c r="A2948" s="185" t="s">
        <v>1447</v>
      </c>
      <c r="B2948" s="133" t="s">
        <v>6319</v>
      </c>
      <c r="C2948" s="185" t="s">
        <v>3023</v>
      </c>
      <c r="D2948" s="133" t="s">
        <v>1818</v>
      </c>
      <c r="E2948" s="134">
        <v>1</v>
      </c>
      <c r="F2948" s="135" t="s">
        <v>1449</v>
      </c>
      <c r="G2948" s="185" t="s">
        <v>15</v>
      </c>
      <c r="H2948" s="185" t="s">
        <v>15</v>
      </c>
      <c r="I2948" s="185" t="s">
        <v>15</v>
      </c>
      <c r="J2948" s="135" t="s">
        <v>1450</v>
      </c>
      <c r="K2948" s="186">
        <v>2616</v>
      </c>
      <c r="L2948" s="187" t="s">
        <v>173</v>
      </c>
      <c r="M2948" s="187" t="s">
        <v>175</v>
      </c>
    </row>
    <row r="2949" spans="1:13" s="188" customFormat="1">
      <c r="A2949" s="185" t="s">
        <v>1447</v>
      </c>
      <c r="B2949" s="133" t="s">
        <v>6320</v>
      </c>
      <c r="C2949" s="185" t="s">
        <v>3023</v>
      </c>
      <c r="D2949" s="133" t="s">
        <v>1818</v>
      </c>
      <c r="E2949" s="134">
        <v>1</v>
      </c>
      <c r="F2949" s="135" t="s">
        <v>1449</v>
      </c>
      <c r="G2949" s="185" t="s">
        <v>15</v>
      </c>
      <c r="H2949" s="185" t="s">
        <v>15</v>
      </c>
      <c r="I2949" s="185" t="s">
        <v>15</v>
      </c>
      <c r="J2949" s="135" t="s">
        <v>1450</v>
      </c>
      <c r="K2949" s="186">
        <v>2364</v>
      </c>
      <c r="L2949" s="187" t="s">
        <v>173</v>
      </c>
      <c r="M2949" s="187" t="s">
        <v>175</v>
      </c>
    </row>
    <row r="2950" spans="1:13" s="188" customFormat="1">
      <c r="A2950" s="185" t="s">
        <v>1447</v>
      </c>
      <c r="B2950" s="133" t="s">
        <v>6321</v>
      </c>
      <c r="C2950" s="185" t="s">
        <v>3023</v>
      </c>
      <c r="D2950" s="133" t="s">
        <v>1818</v>
      </c>
      <c r="E2950" s="134">
        <v>1</v>
      </c>
      <c r="F2950" s="135" t="s">
        <v>1449</v>
      </c>
      <c r="G2950" s="185" t="s">
        <v>15</v>
      </c>
      <c r="H2950" s="185" t="s">
        <v>15</v>
      </c>
      <c r="I2950" s="185" t="s">
        <v>15</v>
      </c>
      <c r="J2950" s="135" t="s">
        <v>1450</v>
      </c>
      <c r="K2950" s="186">
        <v>2244</v>
      </c>
      <c r="L2950" s="187" t="s">
        <v>173</v>
      </c>
      <c r="M2950" s="187" t="s">
        <v>175</v>
      </c>
    </row>
    <row r="2951" spans="1:13" s="188" customFormat="1">
      <c r="A2951" s="185" t="s">
        <v>1447</v>
      </c>
      <c r="B2951" s="133" t="s">
        <v>6322</v>
      </c>
      <c r="C2951" s="185" t="s">
        <v>3023</v>
      </c>
      <c r="D2951" s="133" t="s">
        <v>1818</v>
      </c>
      <c r="E2951" s="134">
        <v>1</v>
      </c>
      <c r="F2951" s="135" t="s">
        <v>1449</v>
      </c>
      <c r="G2951" s="185" t="s">
        <v>15</v>
      </c>
      <c r="H2951" s="185" t="s">
        <v>15</v>
      </c>
      <c r="I2951" s="185" t="s">
        <v>15</v>
      </c>
      <c r="J2951" s="135" t="s">
        <v>1450</v>
      </c>
      <c r="K2951" s="186">
        <v>1992</v>
      </c>
      <c r="L2951" s="187" t="s">
        <v>173</v>
      </c>
      <c r="M2951" s="187" t="s">
        <v>175</v>
      </c>
    </row>
    <row r="2952" spans="1:13" s="188" customFormat="1">
      <c r="A2952" s="185" t="s">
        <v>1447</v>
      </c>
      <c r="B2952" s="133" t="s">
        <v>6323</v>
      </c>
      <c r="C2952" s="185" t="s">
        <v>3023</v>
      </c>
      <c r="D2952" s="133" t="s">
        <v>1818</v>
      </c>
      <c r="E2952" s="134">
        <v>1</v>
      </c>
      <c r="F2952" s="135" t="s">
        <v>1449</v>
      </c>
      <c r="G2952" s="185" t="s">
        <v>15</v>
      </c>
      <c r="H2952" s="185" t="s">
        <v>15</v>
      </c>
      <c r="I2952" s="185" t="s">
        <v>15</v>
      </c>
      <c r="J2952" s="135" t="s">
        <v>1450</v>
      </c>
      <c r="K2952" s="186">
        <v>1740</v>
      </c>
      <c r="L2952" s="187" t="s">
        <v>173</v>
      </c>
      <c r="M2952" s="187" t="s">
        <v>175</v>
      </c>
    </row>
    <row r="2953" spans="1:13" s="188" customFormat="1">
      <c r="A2953" s="185" t="s">
        <v>1447</v>
      </c>
      <c r="B2953" s="133" t="s">
        <v>6324</v>
      </c>
      <c r="C2953" s="185" t="s">
        <v>3023</v>
      </c>
      <c r="D2953" s="133" t="s">
        <v>1818</v>
      </c>
      <c r="E2953" s="134">
        <v>1</v>
      </c>
      <c r="F2953" s="135" t="s">
        <v>1449</v>
      </c>
      <c r="G2953" s="185" t="s">
        <v>15</v>
      </c>
      <c r="H2953" s="185" t="s">
        <v>15</v>
      </c>
      <c r="I2953" s="185" t="s">
        <v>15</v>
      </c>
      <c r="J2953" s="135" t="s">
        <v>1450</v>
      </c>
      <c r="K2953" s="186">
        <v>1500</v>
      </c>
      <c r="L2953" s="187" t="s">
        <v>173</v>
      </c>
      <c r="M2953" s="187" t="s">
        <v>175</v>
      </c>
    </row>
    <row r="2954" spans="1:13" s="188" customFormat="1">
      <c r="A2954" s="185" t="s">
        <v>1447</v>
      </c>
      <c r="B2954" s="133" t="s">
        <v>6325</v>
      </c>
      <c r="C2954" s="185" t="s">
        <v>3023</v>
      </c>
      <c r="D2954" s="133" t="s">
        <v>1819</v>
      </c>
      <c r="E2954" s="134">
        <v>1</v>
      </c>
      <c r="F2954" s="135" t="s">
        <v>1449</v>
      </c>
      <c r="G2954" s="185" t="s">
        <v>15</v>
      </c>
      <c r="H2954" s="185" t="s">
        <v>15</v>
      </c>
      <c r="I2954" s="185" t="s">
        <v>15</v>
      </c>
      <c r="J2954" s="135" t="s">
        <v>1450</v>
      </c>
      <c r="K2954" s="186">
        <v>24900</v>
      </c>
      <c r="L2954" s="187" t="s">
        <v>173</v>
      </c>
      <c r="M2954" s="187" t="s">
        <v>175</v>
      </c>
    </row>
    <row r="2955" spans="1:13" s="188" customFormat="1">
      <c r="A2955" s="185" t="s">
        <v>1447</v>
      </c>
      <c r="B2955" s="133" t="s">
        <v>6326</v>
      </c>
      <c r="C2955" s="185" t="s">
        <v>3023</v>
      </c>
      <c r="D2955" s="133" t="s">
        <v>1820</v>
      </c>
      <c r="E2955" s="134">
        <v>1</v>
      </c>
      <c r="F2955" s="135" t="s">
        <v>1449</v>
      </c>
      <c r="G2955" s="185" t="s">
        <v>15</v>
      </c>
      <c r="H2955" s="185" t="s">
        <v>15</v>
      </c>
      <c r="I2955" s="185" t="s">
        <v>15</v>
      </c>
      <c r="J2955" s="135" t="s">
        <v>1450</v>
      </c>
      <c r="K2955" s="186">
        <v>13068</v>
      </c>
      <c r="L2955" s="187" t="s">
        <v>173</v>
      </c>
      <c r="M2955" s="187" t="s">
        <v>175</v>
      </c>
    </row>
    <row r="2956" spans="1:13" s="188" customFormat="1">
      <c r="A2956" s="185" t="s">
        <v>1447</v>
      </c>
      <c r="B2956" s="133" t="s">
        <v>6327</v>
      </c>
      <c r="C2956" s="185" t="s">
        <v>3023</v>
      </c>
      <c r="D2956" s="133" t="s">
        <v>1821</v>
      </c>
      <c r="E2956" s="134">
        <v>1</v>
      </c>
      <c r="F2956" s="135" t="s">
        <v>1449</v>
      </c>
      <c r="G2956" s="185" t="s">
        <v>15</v>
      </c>
      <c r="H2956" s="185" t="s">
        <v>15</v>
      </c>
      <c r="I2956" s="185" t="s">
        <v>15</v>
      </c>
      <c r="J2956" s="135" t="s">
        <v>1450</v>
      </c>
      <c r="K2956" s="186">
        <v>26148</v>
      </c>
      <c r="L2956" s="187" t="s">
        <v>173</v>
      </c>
      <c r="M2956" s="187" t="s">
        <v>175</v>
      </c>
    </row>
    <row r="2957" spans="1:13" s="188" customFormat="1">
      <c r="A2957" s="185" t="s">
        <v>1447</v>
      </c>
      <c r="B2957" s="133" t="s">
        <v>6328</v>
      </c>
      <c r="C2957" s="185" t="s">
        <v>3023</v>
      </c>
      <c r="D2957" s="133" t="s">
        <v>1822</v>
      </c>
      <c r="E2957" s="134">
        <v>1</v>
      </c>
      <c r="F2957" s="135" t="s">
        <v>1449</v>
      </c>
      <c r="G2957" s="185" t="s">
        <v>15</v>
      </c>
      <c r="H2957" s="185" t="s">
        <v>15</v>
      </c>
      <c r="I2957" s="185" t="s">
        <v>15</v>
      </c>
      <c r="J2957" s="135" t="s">
        <v>1450</v>
      </c>
      <c r="K2957" s="186">
        <v>32688</v>
      </c>
      <c r="L2957" s="187" t="s">
        <v>173</v>
      </c>
      <c r="M2957" s="187" t="s">
        <v>175</v>
      </c>
    </row>
    <row r="2958" spans="1:13" s="188" customFormat="1">
      <c r="A2958" s="185" t="s">
        <v>1447</v>
      </c>
      <c r="B2958" s="133" t="s">
        <v>6329</v>
      </c>
      <c r="C2958" s="185" t="s">
        <v>3023</v>
      </c>
      <c r="D2958" s="133" t="s">
        <v>1823</v>
      </c>
      <c r="E2958" s="134">
        <v>1</v>
      </c>
      <c r="F2958" s="135" t="s">
        <v>1449</v>
      </c>
      <c r="G2958" s="185" t="s">
        <v>15</v>
      </c>
      <c r="H2958" s="185" t="s">
        <v>15</v>
      </c>
      <c r="I2958" s="185" t="s">
        <v>15</v>
      </c>
      <c r="J2958" s="135" t="s">
        <v>1450</v>
      </c>
      <c r="K2958" s="186">
        <v>49800</v>
      </c>
      <c r="L2958" s="187" t="s">
        <v>173</v>
      </c>
      <c r="M2958" s="187" t="s">
        <v>175</v>
      </c>
    </row>
    <row r="2959" spans="1:13" s="188" customFormat="1">
      <c r="A2959" s="185" t="s">
        <v>1447</v>
      </c>
      <c r="B2959" s="133" t="s">
        <v>6330</v>
      </c>
      <c r="C2959" s="185" t="s">
        <v>3023</v>
      </c>
      <c r="D2959" s="133" t="s">
        <v>1824</v>
      </c>
      <c r="E2959" s="134">
        <v>1</v>
      </c>
      <c r="F2959" s="135" t="s">
        <v>1449</v>
      </c>
      <c r="G2959" s="185" t="s">
        <v>15</v>
      </c>
      <c r="H2959" s="185" t="s">
        <v>15</v>
      </c>
      <c r="I2959" s="185" t="s">
        <v>15</v>
      </c>
      <c r="J2959" s="135" t="s">
        <v>1450</v>
      </c>
      <c r="K2959" s="186">
        <v>74712</v>
      </c>
      <c r="L2959" s="187" t="s">
        <v>173</v>
      </c>
      <c r="M2959" s="187" t="s">
        <v>175</v>
      </c>
    </row>
    <row r="2960" spans="1:13" s="188" customFormat="1">
      <c r="A2960" s="185" t="s">
        <v>1447</v>
      </c>
      <c r="B2960" s="133" t="s">
        <v>6331</v>
      </c>
      <c r="C2960" s="185" t="s">
        <v>3023</v>
      </c>
      <c r="D2960" s="133" t="s">
        <v>1825</v>
      </c>
      <c r="E2960" s="134">
        <v>1</v>
      </c>
      <c r="F2960" s="135" t="s">
        <v>1449</v>
      </c>
      <c r="G2960" s="185" t="s">
        <v>15</v>
      </c>
      <c r="H2960" s="185" t="s">
        <v>15</v>
      </c>
      <c r="I2960" s="185" t="s">
        <v>15</v>
      </c>
      <c r="J2960" s="135" t="s">
        <v>1450</v>
      </c>
      <c r="K2960" s="186">
        <v>504</v>
      </c>
      <c r="L2960" s="187" t="s">
        <v>173</v>
      </c>
      <c r="M2960" s="187" t="s">
        <v>175</v>
      </c>
    </row>
    <row r="2961" spans="1:13" s="188" customFormat="1">
      <c r="A2961" s="185" t="s">
        <v>1447</v>
      </c>
      <c r="B2961" s="133" t="s">
        <v>6332</v>
      </c>
      <c r="C2961" s="185" t="s">
        <v>3023</v>
      </c>
      <c r="D2961" s="133" t="s">
        <v>1826</v>
      </c>
      <c r="E2961" s="134">
        <v>1</v>
      </c>
      <c r="F2961" s="135" t="s">
        <v>1449</v>
      </c>
      <c r="G2961" s="185" t="s">
        <v>15</v>
      </c>
      <c r="H2961" s="185" t="s">
        <v>15</v>
      </c>
      <c r="I2961" s="185" t="s">
        <v>15</v>
      </c>
      <c r="J2961" s="135" t="s">
        <v>1450</v>
      </c>
      <c r="K2961" s="186">
        <v>744</v>
      </c>
      <c r="L2961" s="187" t="s">
        <v>173</v>
      </c>
      <c r="M2961" s="187" t="s">
        <v>175</v>
      </c>
    </row>
    <row r="2962" spans="1:13" s="188" customFormat="1">
      <c r="A2962" s="185" t="s">
        <v>1447</v>
      </c>
      <c r="B2962" s="133" t="s">
        <v>6333</v>
      </c>
      <c r="C2962" s="185" t="s">
        <v>3023</v>
      </c>
      <c r="D2962" s="133" t="s">
        <v>1827</v>
      </c>
      <c r="E2962" s="134">
        <v>1</v>
      </c>
      <c r="F2962" s="135" t="s">
        <v>1449</v>
      </c>
      <c r="G2962" s="185" t="s">
        <v>15</v>
      </c>
      <c r="H2962" s="185" t="s">
        <v>15</v>
      </c>
      <c r="I2962" s="185" t="s">
        <v>15</v>
      </c>
      <c r="J2962" s="135" t="s">
        <v>1450</v>
      </c>
      <c r="K2962" s="186">
        <v>522948</v>
      </c>
      <c r="L2962" s="187" t="s">
        <v>173</v>
      </c>
      <c r="M2962" s="187" t="s">
        <v>175</v>
      </c>
    </row>
    <row r="2963" spans="1:13" s="188" customFormat="1">
      <c r="A2963" s="185" t="s">
        <v>1447</v>
      </c>
      <c r="B2963" s="133" t="s">
        <v>6334</v>
      </c>
      <c r="C2963" s="185" t="s">
        <v>3023</v>
      </c>
      <c r="D2963" s="133" t="s">
        <v>1828</v>
      </c>
      <c r="E2963" s="134">
        <v>1</v>
      </c>
      <c r="F2963" s="135" t="s">
        <v>1449</v>
      </c>
      <c r="G2963" s="185" t="s">
        <v>15</v>
      </c>
      <c r="H2963" s="185" t="s">
        <v>15</v>
      </c>
      <c r="I2963" s="185" t="s">
        <v>15</v>
      </c>
      <c r="J2963" s="135" t="s">
        <v>1450</v>
      </c>
      <c r="K2963" s="186">
        <v>54912</v>
      </c>
      <c r="L2963" s="187" t="s">
        <v>173</v>
      </c>
      <c r="M2963" s="187" t="s">
        <v>175</v>
      </c>
    </row>
    <row r="2964" spans="1:13" s="188" customFormat="1">
      <c r="A2964" s="185" t="s">
        <v>1447</v>
      </c>
      <c r="B2964" s="133" t="s">
        <v>6335</v>
      </c>
      <c r="C2964" s="185" t="s">
        <v>3023</v>
      </c>
      <c r="D2964" s="133" t="s">
        <v>1829</v>
      </c>
      <c r="E2964" s="134">
        <v>1</v>
      </c>
      <c r="F2964" s="135" t="s">
        <v>1449</v>
      </c>
      <c r="G2964" s="185" t="s">
        <v>15</v>
      </c>
      <c r="H2964" s="185" t="s">
        <v>15</v>
      </c>
      <c r="I2964" s="185" t="s">
        <v>15</v>
      </c>
      <c r="J2964" s="135" t="s">
        <v>1450</v>
      </c>
      <c r="K2964" s="186">
        <v>252</v>
      </c>
      <c r="L2964" s="187" t="s">
        <v>173</v>
      </c>
      <c r="M2964" s="187" t="s">
        <v>175</v>
      </c>
    </row>
    <row r="2965" spans="1:13" s="188" customFormat="1">
      <c r="A2965" s="185" t="s">
        <v>1447</v>
      </c>
      <c r="B2965" s="133" t="s">
        <v>6336</v>
      </c>
      <c r="C2965" s="185" t="s">
        <v>3023</v>
      </c>
      <c r="D2965" s="133" t="s">
        <v>1829</v>
      </c>
      <c r="E2965" s="134">
        <v>1</v>
      </c>
      <c r="F2965" s="135" t="s">
        <v>1449</v>
      </c>
      <c r="G2965" s="185" t="s">
        <v>15</v>
      </c>
      <c r="H2965" s="185" t="s">
        <v>15</v>
      </c>
      <c r="I2965" s="185" t="s">
        <v>15</v>
      </c>
      <c r="J2965" s="135" t="s">
        <v>1450</v>
      </c>
      <c r="K2965" s="186">
        <v>228</v>
      </c>
      <c r="L2965" s="187" t="s">
        <v>173</v>
      </c>
      <c r="M2965" s="187" t="s">
        <v>175</v>
      </c>
    </row>
    <row r="2966" spans="1:13" s="188" customFormat="1">
      <c r="A2966" s="185" t="s">
        <v>1447</v>
      </c>
      <c r="B2966" s="133" t="s">
        <v>6337</v>
      </c>
      <c r="C2966" s="185" t="s">
        <v>3023</v>
      </c>
      <c r="D2966" s="133" t="s">
        <v>1829</v>
      </c>
      <c r="E2966" s="134">
        <v>1</v>
      </c>
      <c r="F2966" s="135" t="s">
        <v>1449</v>
      </c>
      <c r="G2966" s="185" t="s">
        <v>15</v>
      </c>
      <c r="H2966" s="185" t="s">
        <v>15</v>
      </c>
      <c r="I2966" s="185" t="s">
        <v>15</v>
      </c>
      <c r="J2966" s="135" t="s">
        <v>1450</v>
      </c>
      <c r="K2966" s="186">
        <v>204</v>
      </c>
      <c r="L2966" s="187" t="s">
        <v>173</v>
      </c>
      <c r="M2966" s="187" t="s">
        <v>175</v>
      </c>
    </row>
    <row r="2967" spans="1:13" s="188" customFormat="1">
      <c r="A2967" s="185" t="s">
        <v>1447</v>
      </c>
      <c r="B2967" s="133" t="s">
        <v>6338</v>
      </c>
      <c r="C2967" s="185" t="s">
        <v>3023</v>
      </c>
      <c r="D2967" s="133" t="s">
        <v>1829</v>
      </c>
      <c r="E2967" s="134">
        <v>1</v>
      </c>
      <c r="F2967" s="135" t="s">
        <v>1449</v>
      </c>
      <c r="G2967" s="185" t="s">
        <v>15</v>
      </c>
      <c r="H2967" s="185" t="s">
        <v>15</v>
      </c>
      <c r="I2967" s="185" t="s">
        <v>15</v>
      </c>
      <c r="J2967" s="135" t="s">
        <v>1450</v>
      </c>
      <c r="K2967" s="186">
        <v>180</v>
      </c>
      <c r="L2967" s="187" t="s">
        <v>173</v>
      </c>
      <c r="M2967" s="187" t="s">
        <v>175</v>
      </c>
    </row>
    <row r="2968" spans="1:13" s="188" customFormat="1">
      <c r="A2968" s="185" t="s">
        <v>1447</v>
      </c>
      <c r="B2968" s="133" t="s">
        <v>6339</v>
      </c>
      <c r="C2968" s="185" t="s">
        <v>3023</v>
      </c>
      <c r="D2968" s="133" t="s">
        <v>1829</v>
      </c>
      <c r="E2968" s="134">
        <v>1</v>
      </c>
      <c r="F2968" s="135" t="s">
        <v>1449</v>
      </c>
      <c r="G2968" s="185" t="s">
        <v>15</v>
      </c>
      <c r="H2968" s="185" t="s">
        <v>15</v>
      </c>
      <c r="I2968" s="185" t="s">
        <v>15</v>
      </c>
      <c r="J2968" s="135" t="s">
        <v>1450</v>
      </c>
      <c r="K2968" s="186">
        <v>144</v>
      </c>
      <c r="L2968" s="187" t="s">
        <v>173</v>
      </c>
      <c r="M2968" s="187" t="s">
        <v>175</v>
      </c>
    </row>
    <row r="2969" spans="1:13" s="188" customFormat="1">
      <c r="A2969" s="185" t="s">
        <v>1447</v>
      </c>
      <c r="B2969" s="133" t="s">
        <v>6340</v>
      </c>
      <c r="C2969" s="185" t="s">
        <v>3023</v>
      </c>
      <c r="D2969" s="133" t="s">
        <v>1829</v>
      </c>
      <c r="E2969" s="134">
        <v>1</v>
      </c>
      <c r="F2969" s="135" t="s">
        <v>1449</v>
      </c>
      <c r="G2969" s="185" t="s">
        <v>15</v>
      </c>
      <c r="H2969" s="185" t="s">
        <v>15</v>
      </c>
      <c r="I2969" s="185" t="s">
        <v>15</v>
      </c>
      <c r="J2969" s="135" t="s">
        <v>1450</v>
      </c>
      <c r="K2969" s="186">
        <v>120</v>
      </c>
      <c r="L2969" s="187" t="s">
        <v>173</v>
      </c>
      <c r="M2969" s="187" t="s">
        <v>175</v>
      </c>
    </row>
    <row r="2970" spans="1:13" s="188" customFormat="1">
      <c r="A2970" s="185" t="s">
        <v>1447</v>
      </c>
      <c r="B2970" s="133" t="s">
        <v>6341</v>
      </c>
      <c r="C2970" s="185" t="s">
        <v>3023</v>
      </c>
      <c r="D2970" s="133" t="s">
        <v>1830</v>
      </c>
      <c r="E2970" s="134">
        <v>1</v>
      </c>
      <c r="F2970" s="135" t="s">
        <v>1449</v>
      </c>
      <c r="G2970" s="185" t="s">
        <v>15</v>
      </c>
      <c r="H2970" s="185" t="s">
        <v>15</v>
      </c>
      <c r="I2970" s="185" t="s">
        <v>15</v>
      </c>
      <c r="J2970" s="135" t="s">
        <v>1450</v>
      </c>
      <c r="K2970" s="186">
        <v>744</v>
      </c>
      <c r="L2970" s="187" t="s">
        <v>173</v>
      </c>
      <c r="M2970" s="187" t="s">
        <v>175</v>
      </c>
    </row>
    <row r="2971" spans="1:13" s="188" customFormat="1">
      <c r="A2971" s="185" t="s">
        <v>1447</v>
      </c>
      <c r="B2971" s="133" t="s">
        <v>6342</v>
      </c>
      <c r="C2971" s="185" t="s">
        <v>3023</v>
      </c>
      <c r="D2971" s="133" t="s">
        <v>1830</v>
      </c>
      <c r="E2971" s="134">
        <v>1</v>
      </c>
      <c r="F2971" s="135" t="s">
        <v>1449</v>
      </c>
      <c r="G2971" s="185" t="s">
        <v>15</v>
      </c>
      <c r="H2971" s="185" t="s">
        <v>15</v>
      </c>
      <c r="I2971" s="185" t="s">
        <v>15</v>
      </c>
      <c r="J2971" s="135" t="s">
        <v>1450</v>
      </c>
      <c r="K2971" s="186">
        <v>672</v>
      </c>
      <c r="L2971" s="187" t="s">
        <v>173</v>
      </c>
      <c r="M2971" s="187" t="s">
        <v>175</v>
      </c>
    </row>
    <row r="2972" spans="1:13" s="188" customFormat="1">
      <c r="A2972" s="185" t="s">
        <v>1447</v>
      </c>
      <c r="B2972" s="133" t="s">
        <v>6343</v>
      </c>
      <c r="C2972" s="185" t="s">
        <v>3023</v>
      </c>
      <c r="D2972" s="133" t="s">
        <v>1830</v>
      </c>
      <c r="E2972" s="134">
        <v>1</v>
      </c>
      <c r="F2972" s="135" t="s">
        <v>1449</v>
      </c>
      <c r="G2972" s="185" t="s">
        <v>15</v>
      </c>
      <c r="H2972" s="185" t="s">
        <v>15</v>
      </c>
      <c r="I2972" s="185" t="s">
        <v>15</v>
      </c>
      <c r="J2972" s="135" t="s">
        <v>1450</v>
      </c>
      <c r="K2972" s="186">
        <v>600</v>
      </c>
      <c r="L2972" s="187" t="s">
        <v>173</v>
      </c>
      <c r="M2972" s="187" t="s">
        <v>175</v>
      </c>
    </row>
    <row r="2973" spans="1:13" s="188" customFormat="1">
      <c r="A2973" s="185" t="s">
        <v>1447</v>
      </c>
      <c r="B2973" s="133" t="s">
        <v>6344</v>
      </c>
      <c r="C2973" s="185" t="s">
        <v>3023</v>
      </c>
      <c r="D2973" s="133" t="s">
        <v>1830</v>
      </c>
      <c r="E2973" s="134">
        <v>1</v>
      </c>
      <c r="F2973" s="135" t="s">
        <v>1449</v>
      </c>
      <c r="G2973" s="185" t="s">
        <v>15</v>
      </c>
      <c r="H2973" s="185" t="s">
        <v>15</v>
      </c>
      <c r="I2973" s="185" t="s">
        <v>15</v>
      </c>
      <c r="J2973" s="135" t="s">
        <v>1450</v>
      </c>
      <c r="K2973" s="186">
        <v>528</v>
      </c>
      <c r="L2973" s="187" t="s">
        <v>173</v>
      </c>
      <c r="M2973" s="187" t="s">
        <v>175</v>
      </c>
    </row>
    <row r="2974" spans="1:13" s="188" customFormat="1">
      <c r="A2974" s="185" t="s">
        <v>1447</v>
      </c>
      <c r="B2974" s="133" t="s">
        <v>6345</v>
      </c>
      <c r="C2974" s="185" t="s">
        <v>3023</v>
      </c>
      <c r="D2974" s="133" t="s">
        <v>1830</v>
      </c>
      <c r="E2974" s="134">
        <v>1</v>
      </c>
      <c r="F2974" s="135" t="s">
        <v>1449</v>
      </c>
      <c r="G2974" s="185" t="s">
        <v>15</v>
      </c>
      <c r="H2974" s="185" t="s">
        <v>15</v>
      </c>
      <c r="I2974" s="185" t="s">
        <v>15</v>
      </c>
      <c r="J2974" s="135" t="s">
        <v>1450</v>
      </c>
      <c r="K2974" s="186">
        <v>444</v>
      </c>
      <c r="L2974" s="187" t="s">
        <v>173</v>
      </c>
      <c r="M2974" s="187" t="s">
        <v>175</v>
      </c>
    </row>
    <row r="2975" spans="1:13" s="188" customFormat="1">
      <c r="A2975" s="185" t="s">
        <v>1447</v>
      </c>
      <c r="B2975" s="133" t="s">
        <v>6346</v>
      </c>
      <c r="C2975" s="185" t="s">
        <v>3023</v>
      </c>
      <c r="D2975" s="133" t="s">
        <v>1830</v>
      </c>
      <c r="E2975" s="134">
        <v>1</v>
      </c>
      <c r="F2975" s="135" t="s">
        <v>1449</v>
      </c>
      <c r="G2975" s="185" t="s">
        <v>15</v>
      </c>
      <c r="H2975" s="185" t="s">
        <v>15</v>
      </c>
      <c r="I2975" s="185" t="s">
        <v>15</v>
      </c>
      <c r="J2975" s="135" t="s">
        <v>1450</v>
      </c>
      <c r="K2975" s="186">
        <v>372</v>
      </c>
      <c r="L2975" s="187" t="s">
        <v>173</v>
      </c>
      <c r="M2975" s="187" t="s">
        <v>175</v>
      </c>
    </row>
    <row r="2976" spans="1:13" s="188" customFormat="1">
      <c r="A2976" s="185" t="s">
        <v>1447</v>
      </c>
      <c r="B2976" s="133" t="s">
        <v>6347</v>
      </c>
      <c r="C2976" s="185" t="s">
        <v>3023</v>
      </c>
      <c r="D2976" s="133" t="s">
        <v>1831</v>
      </c>
      <c r="E2976" s="134">
        <v>1</v>
      </c>
      <c r="F2976" s="135" t="s">
        <v>1449</v>
      </c>
      <c r="G2976" s="185" t="s">
        <v>15</v>
      </c>
      <c r="H2976" s="185" t="s">
        <v>15</v>
      </c>
      <c r="I2976" s="185" t="s">
        <v>15</v>
      </c>
      <c r="J2976" s="135" t="s">
        <v>1450</v>
      </c>
      <c r="K2976" s="186">
        <v>102096</v>
      </c>
      <c r="L2976" s="187" t="s">
        <v>173</v>
      </c>
      <c r="M2976" s="187" t="s">
        <v>175</v>
      </c>
    </row>
    <row r="2977" spans="1:13" s="188" customFormat="1">
      <c r="A2977" s="185" t="s">
        <v>1447</v>
      </c>
      <c r="B2977" s="133" t="s">
        <v>6348</v>
      </c>
      <c r="C2977" s="185" t="s">
        <v>3023</v>
      </c>
      <c r="D2977" s="133" t="s">
        <v>1832</v>
      </c>
      <c r="E2977" s="134">
        <v>1</v>
      </c>
      <c r="F2977" s="135" t="s">
        <v>1449</v>
      </c>
      <c r="G2977" s="185" t="s">
        <v>15</v>
      </c>
      <c r="H2977" s="185" t="s">
        <v>15</v>
      </c>
      <c r="I2977" s="185" t="s">
        <v>15</v>
      </c>
      <c r="J2977" s="135" t="s">
        <v>1450</v>
      </c>
      <c r="K2977" s="186">
        <v>4044</v>
      </c>
      <c r="L2977" s="187" t="s">
        <v>173</v>
      </c>
      <c r="M2977" s="187" t="s">
        <v>175</v>
      </c>
    </row>
    <row r="2978" spans="1:13" s="188" customFormat="1">
      <c r="A2978" s="185" t="s">
        <v>1447</v>
      </c>
      <c r="B2978" s="133" t="s">
        <v>6349</v>
      </c>
      <c r="C2978" s="185" t="s">
        <v>3023</v>
      </c>
      <c r="D2978" s="133" t="s">
        <v>1833</v>
      </c>
      <c r="E2978" s="134">
        <v>1</v>
      </c>
      <c r="F2978" s="135" t="s">
        <v>1449</v>
      </c>
      <c r="G2978" s="185" t="s">
        <v>15</v>
      </c>
      <c r="H2978" s="185" t="s">
        <v>15</v>
      </c>
      <c r="I2978" s="185" t="s">
        <v>15</v>
      </c>
      <c r="J2978" s="135" t="s">
        <v>1450</v>
      </c>
      <c r="K2978" s="186">
        <v>1536</v>
      </c>
      <c r="L2978" s="187" t="s">
        <v>173</v>
      </c>
      <c r="M2978" s="187" t="s">
        <v>175</v>
      </c>
    </row>
    <row r="2979" spans="1:13" s="188" customFormat="1">
      <c r="A2979" s="185" t="s">
        <v>1447</v>
      </c>
      <c r="B2979" s="133" t="s">
        <v>6350</v>
      </c>
      <c r="C2979" s="185" t="s">
        <v>3023</v>
      </c>
      <c r="D2979" s="133" t="s">
        <v>1833</v>
      </c>
      <c r="E2979" s="134">
        <v>1</v>
      </c>
      <c r="F2979" s="135" t="s">
        <v>1449</v>
      </c>
      <c r="G2979" s="185" t="s">
        <v>15</v>
      </c>
      <c r="H2979" s="185" t="s">
        <v>15</v>
      </c>
      <c r="I2979" s="185" t="s">
        <v>15</v>
      </c>
      <c r="J2979" s="135" t="s">
        <v>1450</v>
      </c>
      <c r="K2979" s="186">
        <v>1272</v>
      </c>
      <c r="L2979" s="187" t="s">
        <v>173</v>
      </c>
      <c r="M2979" s="187" t="s">
        <v>175</v>
      </c>
    </row>
    <row r="2980" spans="1:13" s="188" customFormat="1">
      <c r="A2980" s="185" t="s">
        <v>1447</v>
      </c>
      <c r="B2980" s="133" t="s">
        <v>6351</v>
      </c>
      <c r="C2980" s="185" t="s">
        <v>3023</v>
      </c>
      <c r="D2980" s="133" t="s">
        <v>1833</v>
      </c>
      <c r="E2980" s="134">
        <v>1</v>
      </c>
      <c r="F2980" s="135" t="s">
        <v>1449</v>
      </c>
      <c r="G2980" s="185" t="s">
        <v>15</v>
      </c>
      <c r="H2980" s="185" t="s">
        <v>15</v>
      </c>
      <c r="I2980" s="185" t="s">
        <v>15</v>
      </c>
      <c r="J2980" s="135" t="s">
        <v>1450</v>
      </c>
      <c r="K2980" s="186">
        <v>1020</v>
      </c>
      <c r="L2980" s="187" t="s">
        <v>173</v>
      </c>
      <c r="M2980" s="187" t="s">
        <v>175</v>
      </c>
    </row>
    <row r="2981" spans="1:13" s="188" customFormat="1">
      <c r="A2981" s="185" t="s">
        <v>1447</v>
      </c>
      <c r="B2981" s="133" t="s">
        <v>6352</v>
      </c>
      <c r="C2981" s="185" t="s">
        <v>3023</v>
      </c>
      <c r="D2981" s="133" t="s">
        <v>1833</v>
      </c>
      <c r="E2981" s="134">
        <v>1</v>
      </c>
      <c r="F2981" s="135" t="s">
        <v>1449</v>
      </c>
      <c r="G2981" s="185" t="s">
        <v>15</v>
      </c>
      <c r="H2981" s="185" t="s">
        <v>15</v>
      </c>
      <c r="I2981" s="185" t="s">
        <v>15</v>
      </c>
      <c r="J2981" s="135" t="s">
        <v>1450</v>
      </c>
      <c r="K2981" s="186">
        <v>756</v>
      </c>
      <c r="L2981" s="187" t="s">
        <v>173</v>
      </c>
      <c r="M2981" s="187" t="s">
        <v>175</v>
      </c>
    </row>
    <row r="2982" spans="1:13" s="188" customFormat="1">
      <c r="A2982" s="185" t="s">
        <v>1447</v>
      </c>
      <c r="B2982" s="133" t="s">
        <v>6353</v>
      </c>
      <c r="C2982" s="185" t="s">
        <v>3023</v>
      </c>
      <c r="D2982" s="133" t="s">
        <v>1834</v>
      </c>
      <c r="E2982" s="134">
        <v>1</v>
      </c>
      <c r="F2982" s="135" t="s">
        <v>1449</v>
      </c>
      <c r="G2982" s="185" t="s">
        <v>15</v>
      </c>
      <c r="H2982" s="185" t="s">
        <v>15</v>
      </c>
      <c r="I2982" s="185" t="s">
        <v>15</v>
      </c>
      <c r="J2982" s="135" t="s">
        <v>1450</v>
      </c>
      <c r="K2982" s="186">
        <v>2736</v>
      </c>
      <c r="L2982" s="187" t="s">
        <v>173</v>
      </c>
      <c r="M2982" s="187" t="s">
        <v>175</v>
      </c>
    </row>
    <row r="2983" spans="1:13" s="188" customFormat="1">
      <c r="A2983" s="185" t="s">
        <v>1447</v>
      </c>
      <c r="B2983" s="133" t="s">
        <v>6354</v>
      </c>
      <c r="C2983" s="185" t="s">
        <v>3023</v>
      </c>
      <c r="D2983" s="133" t="s">
        <v>1835</v>
      </c>
      <c r="E2983" s="134">
        <v>1</v>
      </c>
      <c r="F2983" s="135" t="s">
        <v>1449</v>
      </c>
      <c r="G2983" s="185" t="s">
        <v>15</v>
      </c>
      <c r="H2983" s="185" t="s">
        <v>15</v>
      </c>
      <c r="I2983" s="185" t="s">
        <v>15</v>
      </c>
      <c r="J2983" s="135" t="s">
        <v>1450</v>
      </c>
      <c r="K2983" s="186">
        <v>1020</v>
      </c>
      <c r="L2983" s="187" t="s">
        <v>173</v>
      </c>
      <c r="M2983" s="187" t="s">
        <v>175</v>
      </c>
    </row>
    <row r="2984" spans="1:13" s="188" customFormat="1">
      <c r="A2984" s="185" t="s">
        <v>1447</v>
      </c>
      <c r="B2984" s="133" t="s">
        <v>6355</v>
      </c>
      <c r="C2984" s="185" t="s">
        <v>3023</v>
      </c>
      <c r="D2984" s="133" t="s">
        <v>1835</v>
      </c>
      <c r="E2984" s="134">
        <v>1</v>
      </c>
      <c r="F2984" s="135" t="s">
        <v>1449</v>
      </c>
      <c r="G2984" s="185" t="s">
        <v>15</v>
      </c>
      <c r="H2984" s="185" t="s">
        <v>15</v>
      </c>
      <c r="I2984" s="185" t="s">
        <v>15</v>
      </c>
      <c r="J2984" s="135" t="s">
        <v>1450</v>
      </c>
      <c r="K2984" s="186">
        <v>852</v>
      </c>
      <c r="L2984" s="187" t="s">
        <v>173</v>
      </c>
      <c r="M2984" s="187" t="s">
        <v>175</v>
      </c>
    </row>
    <row r="2985" spans="1:13" s="188" customFormat="1">
      <c r="A2985" s="185" t="s">
        <v>1447</v>
      </c>
      <c r="B2985" s="133" t="s">
        <v>6356</v>
      </c>
      <c r="C2985" s="185" t="s">
        <v>3023</v>
      </c>
      <c r="D2985" s="133" t="s">
        <v>1835</v>
      </c>
      <c r="E2985" s="134">
        <v>1</v>
      </c>
      <c r="F2985" s="135" t="s">
        <v>1449</v>
      </c>
      <c r="G2985" s="185" t="s">
        <v>15</v>
      </c>
      <c r="H2985" s="185" t="s">
        <v>15</v>
      </c>
      <c r="I2985" s="185" t="s">
        <v>15</v>
      </c>
      <c r="J2985" s="135" t="s">
        <v>1450</v>
      </c>
      <c r="K2985" s="186">
        <v>684</v>
      </c>
      <c r="L2985" s="187" t="s">
        <v>173</v>
      </c>
      <c r="M2985" s="187" t="s">
        <v>175</v>
      </c>
    </row>
    <row r="2986" spans="1:13" s="188" customFormat="1">
      <c r="A2986" s="185" t="s">
        <v>1447</v>
      </c>
      <c r="B2986" s="133" t="s">
        <v>6357</v>
      </c>
      <c r="C2986" s="185" t="s">
        <v>3023</v>
      </c>
      <c r="D2986" s="133" t="s">
        <v>1835</v>
      </c>
      <c r="E2986" s="134">
        <v>1</v>
      </c>
      <c r="F2986" s="135" t="s">
        <v>1449</v>
      </c>
      <c r="G2986" s="185" t="s">
        <v>15</v>
      </c>
      <c r="H2986" s="185" t="s">
        <v>15</v>
      </c>
      <c r="I2986" s="185" t="s">
        <v>15</v>
      </c>
      <c r="J2986" s="135" t="s">
        <v>1450</v>
      </c>
      <c r="K2986" s="186">
        <v>516</v>
      </c>
      <c r="L2986" s="187" t="s">
        <v>173</v>
      </c>
      <c r="M2986" s="187" t="s">
        <v>175</v>
      </c>
    </row>
    <row r="2987" spans="1:13" s="188" customFormat="1">
      <c r="A2987" s="185" t="s">
        <v>1447</v>
      </c>
      <c r="B2987" s="133" t="s">
        <v>6358</v>
      </c>
      <c r="C2987" s="185" t="s">
        <v>3023</v>
      </c>
      <c r="D2987" s="133" t="s">
        <v>1836</v>
      </c>
      <c r="E2987" s="134">
        <v>1</v>
      </c>
      <c r="F2987" s="135" t="s">
        <v>1449</v>
      </c>
      <c r="G2987" s="185" t="s">
        <v>15</v>
      </c>
      <c r="H2987" s="185" t="s">
        <v>15</v>
      </c>
      <c r="I2987" s="185" t="s">
        <v>15</v>
      </c>
      <c r="J2987" s="135" t="s">
        <v>1450</v>
      </c>
      <c r="K2987" s="186">
        <v>522948</v>
      </c>
      <c r="L2987" s="187" t="s">
        <v>173</v>
      </c>
      <c r="M2987" s="187" t="s">
        <v>175</v>
      </c>
    </row>
    <row r="2988" spans="1:13" s="188" customFormat="1">
      <c r="A2988" s="185" t="s">
        <v>1447</v>
      </c>
      <c r="B2988" s="133" t="s">
        <v>6359</v>
      </c>
      <c r="C2988" s="185" t="s">
        <v>3023</v>
      </c>
      <c r="D2988" s="133" t="s">
        <v>1837</v>
      </c>
      <c r="E2988" s="134">
        <v>1</v>
      </c>
      <c r="F2988" s="135" t="s">
        <v>1449</v>
      </c>
      <c r="G2988" s="185" t="s">
        <v>15</v>
      </c>
      <c r="H2988" s="185" t="s">
        <v>15</v>
      </c>
      <c r="I2988" s="185" t="s">
        <v>15</v>
      </c>
      <c r="J2988" s="135" t="s">
        <v>1450</v>
      </c>
      <c r="K2988" s="186">
        <v>102096</v>
      </c>
      <c r="L2988" s="187" t="s">
        <v>173</v>
      </c>
      <c r="M2988" s="187" t="s">
        <v>175</v>
      </c>
    </row>
    <row r="2989" spans="1:13" s="188" customFormat="1">
      <c r="A2989" s="185" t="s">
        <v>1447</v>
      </c>
      <c r="B2989" s="133" t="s">
        <v>6360</v>
      </c>
      <c r="C2989" s="185" t="s">
        <v>3023</v>
      </c>
      <c r="D2989" s="133" t="s">
        <v>1838</v>
      </c>
      <c r="E2989" s="134">
        <v>1</v>
      </c>
      <c r="F2989" s="135" t="s">
        <v>1449</v>
      </c>
      <c r="G2989" s="185" t="s">
        <v>15</v>
      </c>
      <c r="H2989" s="185" t="s">
        <v>15</v>
      </c>
      <c r="I2989" s="185" t="s">
        <v>15</v>
      </c>
      <c r="J2989" s="135" t="s">
        <v>1450</v>
      </c>
      <c r="K2989" s="186">
        <v>3840</v>
      </c>
      <c r="L2989" s="187" t="s">
        <v>173</v>
      </c>
      <c r="M2989" s="187" t="s">
        <v>175</v>
      </c>
    </row>
    <row r="2990" spans="1:13" s="188" customFormat="1">
      <c r="A2990" s="185" t="s">
        <v>1447</v>
      </c>
      <c r="B2990" s="133" t="s">
        <v>6361</v>
      </c>
      <c r="C2990" s="185" t="s">
        <v>3023</v>
      </c>
      <c r="D2990" s="133" t="s">
        <v>1838</v>
      </c>
      <c r="E2990" s="134">
        <v>1</v>
      </c>
      <c r="F2990" s="135" t="s">
        <v>1449</v>
      </c>
      <c r="G2990" s="185" t="s">
        <v>15</v>
      </c>
      <c r="H2990" s="185" t="s">
        <v>15</v>
      </c>
      <c r="I2990" s="185" t="s">
        <v>15</v>
      </c>
      <c r="J2990" s="135" t="s">
        <v>1450</v>
      </c>
      <c r="K2990" s="186">
        <v>2220</v>
      </c>
      <c r="L2990" s="187" t="s">
        <v>173</v>
      </c>
      <c r="M2990" s="187" t="s">
        <v>175</v>
      </c>
    </row>
    <row r="2991" spans="1:13" s="188" customFormat="1">
      <c r="A2991" s="185" t="s">
        <v>1447</v>
      </c>
      <c r="B2991" s="133" t="s">
        <v>6362</v>
      </c>
      <c r="C2991" s="185" t="s">
        <v>3023</v>
      </c>
      <c r="D2991" s="133" t="s">
        <v>1838</v>
      </c>
      <c r="E2991" s="134">
        <v>1</v>
      </c>
      <c r="F2991" s="135" t="s">
        <v>1449</v>
      </c>
      <c r="G2991" s="185" t="s">
        <v>15</v>
      </c>
      <c r="H2991" s="185" t="s">
        <v>15</v>
      </c>
      <c r="I2991" s="185" t="s">
        <v>15</v>
      </c>
      <c r="J2991" s="135" t="s">
        <v>1450</v>
      </c>
      <c r="K2991" s="186">
        <v>1404</v>
      </c>
      <c r="L2991" s="187" t="s">
        <v>173</v>
      </c>
      <c r="M2991" s="187" t="s">
        <v>175</v>
      </c>
    </row>
    <row r="2992" spans="1:13" s="188" customFormat="1">
      <c r="A2992" s="185" t="s">
        <v>1447</v>
      </c>
      <c r="B2992" s="133" t="s">
        <v>6363</v>
      </c>
      <c r="C2992" s="185" t="s">
        <v>3023</v>
      </c>
      <c r="D2992" s="133" t="s">
        <v>1838</v>
      </c>
      <c r="E2992" s="134">
        <v>1</v>
      </c>
      <c r="F2992" s="135" t="s">
        <v>1449</v>
      </c>
      <c r="G2992" s="185" t="s">
        <v>15</v>
      </c>
      <c r="H2992" s="185" t="s">
        <v>15</v>
      </c>
      <c r="I2992" s="185" t="s">
        <v>15</v>
      </c>
      <c r="J2992" s="135" t="s">
        <v>1450</v>
      </c>
      <c r="K2992" s="186">
        <v>684</v>
      </c>
      <c r="L2992" s="187" t="s">
        <v>173</v>
      </c>
      <c r="M2992" s="187" t="s">
        <v>175</v>
      </c>
    </row>
    <row r="2993" spans="1:13" s="188" customFormat="1">
      <c r="A2993" s="185" t="s">
        <v>1447</v>
      </c>
      <c r="B2993" s="133" t="s">
        <v>6364</v>
      </c>
      <c r="C2993" s="185" t="s">
        <v>3023</v>
      </c>
      <c r="D2993" s="133" t="s">
        <v>1840</v>
      </c>
      <c r="E2993" s="134">
        <v>1</v>
      </c>
      <c r="F2993" s="135" t="s">
        <v>1449</v>
      </c>
      <c r="G2993" s="185" t="s">
        <v>15</v>
      </c>
      <c r="H2993" s="185" t="s">
        <v>15</v>
      </c>
      <c r="I2993" s="185" t="s">
        <v>15</v>
      </c>
      <c r="J2993" s="135" t="s">
        <v>1450</v>
      </c>
      <c r="K2993" s="186">
        <v>94572</v>
      </c>
      <c r="L2993" s="187" t="s">
        <v>173</v>
      </c>
      <c r="M2993" s="187" t="s">
        <v>175</v>
      </c>
    </row>
    <row r="2994" spans="1:13" s="188" customFormat="1">
      <c r="A2994" s="185" t="s">
        <v>1447</v>
      </c>
      <c r="B2994" s="133" t="s">
        <v>6365</v>
      </c>
      <c r="C2994" s="185" t="s">
        <v>3023</v>
      </c>
      <c r="D2994" s="133" t="s">
        <v>1841</v>
      </c>
      <c r="E2994" s="134">
        <v>1</v>
      </c>
      <c r="F2994" s="135" t="s">
        <v>1449</v>
      </c>
      <c r="G2994" s="185" t="s">
        <v>15</v>
      </c>
      <c r="H2994" s="185" t="s">
        <v>15</v>
      </c>
      <c r="I2994" s="185" t="s">
        <v>15</v>
      </c>
      <c r="J2994" s="135" t="s">
        <v>1450</v>
      </c>
      <c r="K2994" s="186">
        <v>124260</v>
      </c>
      <c r="L2994" s="187" t="s">
        <v>173</v>
      </c>
      <c r="M2994" s="187" t="s">
        <v>175</v>
      </c>
    </row>
    <row r="2995" spans="1:13" s="188" customFormat="1">
      <c r="A2995" s="185" t="s">
        <v>1447</v>
      </c>
      <c r="B2995" s="133" t="s">
        <v>6366</v>
      </c>
      <c r="C2995" s="185" t="s">
        <v>3023</v>
      </c>
      <c r="D2995" s="133" t="s">
        <v>1842</v>
      </c>
      <c r="E2995" s="134">
        <v>1</v>
      </c>
      <c r="F2995" s="135" t="s">
        <v>1449</v>
      </c>
      <c r="G2995" s="185" t="s">
        <v>15</v>
      </c>
      <c r="H2995" s="185" t="s">
        <v>15</v>
      </c>
      <c r="I2995" s="185" t="s">
        <v>15</v>
      </c>
      <c r="J2995" s="135" t="s">
        <v>1450</v>
      </c>
      <c r="K2995" s="186">
        <v>155988</v>
      </c>
      <c r="L2995" s="187" t="s">
        <v>173</v>
      </c>
      <c r="M2995" s="187" t="s">
        <v>175</v>
      </c>
    </row>
    <row r="2996" spans="1:13" s="188" customFormat="1">
      <c r="A2996" s="185" t="s">
        <v>1447</v>
      </c>
      <c r="B2996" s="133" t="s">
        <v>6367</v>
      </c>
      <c r="C2996" s="185" t="s">
        <v>3023</v>
      </c>
      <c r="D2996" s="133" t="s">
        <v>1843</v>
      </c>
      <c r="E2996" s="134">
        <v>1</v>
      </c>
      <c r="F2996" s="135" t="s">
        <v>1449</v>
      </c>
      <c r="G2996" s="185" t="s">
        <v>15</v>
      </c>
      <c r="H2996" s="185" t="s">
        <v>15</v>
      </c>
      <c r="I2996" s="185" t="s">
        <v>15</v>
      </c>
      <c r="J2996" s="135" t="s">
        <v>1450</v>
      </c>
      <c r="K2996" s="186">
        <v>258216</v>
      </c>
      <c r="L2996" s="187" t="s">
        <v>173</v>
      </c>
      <c r="M2996" s="187" t="s">
        <v>175</v>
      </c>
    </row>
    <row r="2997" spans="1:13" s="188" customFormat="1">
      <c r="A2997" s="185" t="s">
        <v>1447</v>
      </c>
      <c r="B2997" s="133" t="s">
        <v>6368</v>
      </c>
      <c r="C2997" s="185" t="s">
        <v>3023</v>
      </c>
      <c r="D2997" s="133" t="s">
        <v>6369</v>
      </c>
      <c r="E2997" s="134">
        <v>1</v>
      </c>
      <c r="F2997" s="135" t="s">
        <v>1449</v>
      </c>
      <c r="G2997" s="185" t="s">
        <v>15</v>
      </c>
      <c r="H2997" s="185" t="s">
        <v>15</v>
      </c>
      <c r="I2997" s="185" t="s">
        <v>15</v>
      </c>
      <c r="J2997" s="135" t="s">
        <v>1450</v>
      </c>
      <c r="K2997" s="186">
        <v>90360</v>
      </c>
      <c r="L2997" s="187" t="s">
        <v>173</v>
      </c>
      <c r="M2997" s="187" t="s">
        <v>175</v>
      </c>
    </row>
    <row r="2998" spans="1:13" s="188" customFormat="1">
      <c r="A2998" s="185" t="s">
        <v>1447</v>
      </c>
      <c r="B2998" s="133" t="s">
        <v>6370</v>
      </c>
      <c r="C2998" s="185" t="s">
        <v>3023</v>
      </c>
      <c r="D2998" s="133" t="s">
        <v>6371</v>
      </c>
      <c r="E2998" s="134">
        <v>1</v>
      </c>
      <c r="F2998" s="135" t="s">
        <v>1449</v>
      </c>
      <c r="G2998" s="185" t="s">
        <v>15</v>
      </c>
      <c r="H2998" s="185" t="s">
        <v>15</v>
      </c>
      <c r="I2998" s="185" t="s">
        <v>15</v>
      </c>
      <c r="J2998" s="135" t="s">
        <v>1450</v>
      </c>
      <c r="K2998" s="186">
        <v>147312</v>
      </c>
      <c r="L2998" s="187" t="s">
        <v>173</v>
      </c>
      <c r="M2998" s="187" t="s">
        <v>175</v>
      </c>
    </row>
    <row r="2999" spans="1:13" s="188" customFormat="1">
      <c r="A2999" s="185" t="s">
        <v>1447</v>
      </c>
      <c r="B2999" s="133" t="s">
        <v>6372</v>
      </c>
      <c r="C2999" s="185" t="s">
        <v>3023</v>
      </c>
      <c r="D2999" s="133" t="s">
        <v>6373</v>
      </c>
      <c r="E2999" s="134">
        <v>1</v>
      </c>
      <c r="F2999" s="135" t="s">
        <v>1449</v>
      </c>
      <c r="G2999" s="185" t="s">
        <v>15</v>
      </c>
      <c r="H2999" s="185" t="s">
        <v>15</v>
      </c>
      <c r="I2999" s="185" t="s">
        <v>15</v>
      </c>
      <c r="J2999" s="135" t="s">
        <v>1450</v>
      </c>
      <c r="K2999" s="186">
        <v>204276</v>
      </c>
      <c r="L2999" s="187" t="s">
        <v>173</v>
      </c>
      <c r="M2999" s="187" t="s">
        <v>175</v>
      </c>
    </row>
    <row r="3000" spans="1:13" s="188" customFormat="1">
      <c r="A3000" s="185" t="s">
        <v>1447</v>
      </c>
      <c r="B3000" s="133" t="s">
        <v>6374</v>
      </c>
      <c r="C3000" s="185" t="s">
        <v>3023</v>
      </c>
      <c r="D3000" s="133" t="s">
        <v>1844</v>
      </c>
      <c r="E3000" s="134">
        <v>1</v>
      </c>
      <c r="F3000" s="135" t="s">
        <v>1449</v>
      </c>
      <c r="G3000" s="185" t="s">
        <v>15</v>
      </c>
      <c r="H3000" s="185" t="s">
        <v>15</v>
      </c>
      <c r="I3000" s="185" t="s">
        <v>15</v>
      </c>
      <c r="J3000" s="135" t="s">
        <v>1450</v>
      </c>
      <c r="K3000" s="186">
        <v>24.96</v>
      </c>
      <c r="L3000" s="187" t="s">
        <v>173</v>
      </c>
      <c r="M3000" s="187" t="s">
        <v>175</v>
      </c>
    </row>
    <row r="3001" spans="1:13" s="188" customFormat="1">
      <c r="A3001" s="185" t="s">
        <v>1447</v>
      </c>
      <c r="B3001" s="133" t="s">
        <v>6375</v>
      </c>
      <c r="C3001" s="185" t="s">
        <v>3023</v>
      </c>
      <c r="D3001" s="133" t="s">
        <v>6376</v>
      </c>
      <c r="E3001" s="134">
        <v>1</v>
      </c>
      <c r="F3001" s="135" t="s">
        <v>1449</v>
      </c>
      <c r="G3001" s="185" t="s">
        <v>15</v>
      </c>
      <c r="H3001" s="185" t="s">
        <v>15</v>
      </c>
      <c r="I3001" s="185" t="s">
        <v>15</v>
      </c>
      <c r="J3001" s="135" t="s">
        <v>1450</v>
      </c>
      <c r="K3001" s="186">
        <v>33396</v>
      </c>
      <c r="L3001" s="187" t="s">
        <v>173</v>
      </c>
      <c r="M3001" s="187" t="s">
        <v>175</v>
      </c>
    </row>
    <row r="3002" spans="1:13" s="188" customFormat="1">
      <c r="A3002" s="185" t="s">
        <v>1447</v>
      </c>
      <c r="B3002" s="133" t="s">
        <v>6377</v>
      </c>
      <c r="C3002" s="185" t="s">
        <v>3023</v>
      </c>
      <c r="D3002" s="133" t="s">
        <v>6378</v>
      </c>
      <c r="E3002" s="134">
        <v>1</v>
      </c>
      <c r="F3002" s="135" t="s">
        <v>1449</v>
      </c>
      <c r="G3002" s="185" t="s">
        <v>15</v>
      </c>
      <c r="H3002" s="185" t="s">
        <v>15</v>
      </c>
      <c r="I3002" s="185" t="s">
        <v>15</v>
      </c>
      <c r="J3002" s="135" t="s">
        <v>1450</v>
      </c>
      <c r="K3002" s="186">
        <v>48876</v>
      </c>
      <c r="L3002" s="187" t="s">
        <v>173</v>
      </c>
      <c r="M3002" s="187" t="s">
        <v>175</v>
      </c>
    </row>
    <row r="3003" spans="1:13" s="188" customFormat="1">
      <c r="A3003" s="185" t="s">
        <v>1447</v>
      </c>
      <c r="B3003" s="133" t="s">
        <v>6379</v>
      </c>
      <c r="C3003" s="185" t="s">
        <v>3023</v>
      </c>
      <c r="D3003" s="133" t="s">
        <v>6380</v>
      </c>
      <c r="E3003" s="134">
        <v>1</v>
      </c>
      <c r="F3003" s="135" t="s">
        <v>1449</v>
      </c>
      <c r="G3003" s="185" t="s">
        <v>15</v>
      </c>
      <c r="H3003" s="185" t="s">
        <v>15</v>
      </c>
      <c r="I3003" s="185" t="s">
        <v>15</v>
      </c>
      <c r="J3003" s="135" t="s">
        <v>1450</v>
      </c>
      <c r="K3003" s="186">
        <v>64284</v>
      </c>
      <c r="L3003" s="187" t="s">
        <v>173</v>
      </c>
      <c r="M3003" s="187" t="s">
        <v>175</v>
      </c>
    </row>
    <row r="3004" spans="1:13" s="188" customFormat="1">
      <c r="A3004" s="185" t="s">
        <v>1447</v>
      </c>
      <c r="B3004" s="133" t="s">
        <v>6381</v>
      </c>
      <c r="C3004" s="185" t="s">
        <v>3023</v>
      </c>
      <c r="D3004" s="133" t="s">
        <v>1845</v>
      </c>
      <c r="E3004" s="134">
        <v>1</v>
      </c>
      <c r="F3004" s="135" t="s">
        <v>1449</v>
      </c>
      <c r="G3004" s="185" t="s">
        <v>15</v>
      </c>
      <c r="H3004" s="185" t="s">
        <v>15</v>
      </c>
      <c r="I3004" s="185" t="s">
        <v>15</v>
      </c>
      <c r="J3004" s="135" t="s">
        <v>1450</v>
      </c>
      <c r="K3004" s="186">
        <v>27192</v>
      </c>
      <c r="L3004" s="187" t="s">
        <v>173</v>
      </c>
      <c r="M3004" s="187" t="s">
        <v>175</v>
      </c>
    </row>
    <row r="3005" spans="1:13" s="188" customFormat="1">
      <c r="A3005" s="185" t="s">
        <v>1447</v>
      </c>
      <c r="B3005" s="133" t="s">
        <v>6382</v>
      </c>
      <c r="C3005" s="185" t="s">
        <v>3023</v>
      </c>
      <c r="D3005" s="133" t="s">
        <v>1839</v>
      </c>
      <c r="E3005" s="134">
        <v>1</v>
      </c>
      <c r="F3005" s="135" t="s">
        <v>1449</v>
      </c>
      <c r="G3005" s="185" t="s">
        <v>15</v>
      </c>
      <c r="H3005" s="185" t="s">
        <v>15</v>
      </c>
      <c r="I3005" s="185" t="s">
        <v>15</v>
      </c>
      <c r="J3005" s="135" t="s">
        <v>1450</v>
      </c>
      <c r="K3005" s="186">
        <v>9648</v>
      </c>
      <c r="L3005" s="187" t="s">
        <v>173</v>
      </c>
      <c r="M3005" s="187" t="s">
        <v>175</v>
      </c>
    </row>
    <row r="3006" spans="1:13" s="188" customFormat="1">
      <c r="A3006" s="185" t="s">
        <v>1447</v>
      </c>
      <c r="B3006" s="133" t="s">
        <v>6383</v>
      </c>
      <c r="C3006" s="185" t="s">
        <v>3023</v>
      </c>
      <c r="D3006" s="133" t="s">
        <v>1839</v>
      </c>
      <c r="E3006" s="134">
        <v>1</v>
      </c>
      <c r="F3006" s="135" t="s">
        <v>1449</v>
      </c>
      <c r="G3006" s="185" t="s">
        <v>15</v>
      </c>
      <c r="H3006" s="185" t="s">
        <v>15</v>
      </c>
      <c r="I3006" s="185" t="s">
        <v>15</v>
      </c>
      <c r="J3006" s="135" t="s">
        <v>1450</v>
      </c>
      <c r="K3006" s="186">
        <v>6228</v>
      </c>
      <c r="L3006" s="187" t="s">
        <v>173</v>
      </c>
      <c r="M3006" s="187" t="s">
        <v>175</v>
      </c>
    </row>
    <row r="3007" spans="1:13" s="188" customFormat="1">
      <c r="A3007" s="185" t="s">
        <v>1447</v>
      </c>
      <c r="B3007" s="133" t="s">
        <v>6384</v>
      </c>
      <c r="C3007" s="185" t="s">
        <v>3023</v>
      </c>
      <c r="D3007" s="133" t="s">
        <v>1839</v>
      </c>
      <c r="E3007" s="134">
        <v>1</v>
      </c>
      <c r="F3007" s="135" t="s">
        <v>1449</v>
      </c>
      <c r="G3007" s="185" t="s">
        <v>15</v>
      </c>
      <c r="H3007" s="185" t="s">
        <v>15</v>
      </c>
      <c r="I3007" s="185" t="s">
        <v>15</v>
      </c>
      <c r="J3007" s="135" t="s">
        <v>1450</v>
      </c>
      <c r="K3007" s="186">
        <v>3912</v>
      </c>
      <c r="L3007" s="187" t="s">
        <v>173</v>
      </c>
      <c r="M3007" s="187" t="s">
        <v>175</v>
      </c>
    </row>
    <row r="3008" spans="1:13" s="188" customFormat="1">
      <c r="A3008" s="185" t="s">
        <v>1447</v>
      </c>
      <c r="B3008" s="133" t="s">
        <v>6385</v>
      </c>
      <c r="C3008" s="185" t="s">
        <v>3023</v>
      </c>
      <c r="D3008" s="133" t="s">
        <v>1839</v>
      </c>
      <c r="E3008" s="134">
        <v>1</v>
      </c>
      <c r="F3008" s="135" t="s">
        <v>1449</v>
      </c>
      <c r="G3008" s="185" t="s">
        <v>15</v>
      </c>
      <c r="H3008" s="185" t="s">
        <v>15</v>
      </c>
      <c r="I3008" s="185" t="s">
        <v>15</v>
      </c>
      <c r="J3008" s="135" t="s">
        <v>1450</v>
      </c>
      <c r="K3008" s="186">
        <v>1884</v>
      </c>
      <c r="L3008" s="187" t="s">
        <v>173</v>
      </c>
      <c r="M3008" s="187" t="s">
        <v>175</v>
      </c>
    </row>
    <row r="3009" spans="1:13" s="188" customFormat="1">
      <c r="A3009" s="185" t="s">
        <v>1447</v>
      </c>
      <c r="B3009" s="133" t="s">
        <v>6386</v>
      </c>
      <c r="C3009" s="185" t="s">
        <v>3023</v>
      </c>
      <c r="D3009" s="133" t="s">
        <v>6387</v>
      </c>
      <c r="E3009" s="134">
        <v>1</v>
      </c>
      <c r="F3009" s="135" t="s">
        <v>1449</v>
      </c>
      <c r="G3009" s="185" t="s">
        <v>15</v>
      </c>
      <c r="H3009" s="185" t="s">
        <v>15</v>
      </c>
      <c r="I3009" s="185" t="s">
        <v>15</v>
      </c>
      <c r="J3009" s="135" t="s">
        <v>1450</v>
      </c>
      <c r="K3009" s="186">
        <v>1932</v>
      </c>
      <c r="L3009" s="187" t="s">
        <v>173</v>
      </c>
      <c r="M3009" s="187" t="s">
        <v>175</v>
      </c>
    </row>
    <row r="3010" spans="1:13" s="188" customFormat="1">
      <c r="A3010" s="185" t="s">
        <v>1447</v>
      </c>
      <c r="B3010" s="133" t="s">
        <v>6388</v>
      </c>
      <c r="C3010" s="185" t="s">
        <v>3023</v>
      </c>
      <c r="D3010" s="133" t="s">
        <v>6387</v>
      </c>
      <c r="E3010" s="134">
        <v>1</v>
      </c>
      <c r="F3010" s="135" t="s">
        <v>1449</v>
      </c>
      <c r="G3010" s="185" t="s">
        <v>15</v>
      </c>
      <c r="H3010" s="185" t="s">
        <v>15</v>
      </c>
      <c r="I3010" s="185" t="s">
        <v>15</v>
      </c>
      <c r="J3010" s="135" t="s">
        <v>1450</v>
      </c>
      <c r="K3010" s="186">
        <v>1680</v>
      </c>
      <c r="L3010" s="187" t="s">
        <v>173</v>
      </c>
      <c r="M3010" s="187" t="s">
        <v>175</v>
      </c>
    </row>
    <row r="3011" spans="1:13" s="188" customFormat="1">
      <c r="A3011" s="185" t="s">
        <v>1447</v>
      </c>
      <c r="B3011" s="133" t="s">
        <v>6389</v>
      </c>
      <c r="C3011" s="185" t="s">
        <v>3023</v>
      </c>
      <c r="D3011" s="133" t="s">
        <v>6387</v>
      </c>
      <c r="E3011" s="134">
        <v>1</v>
      </c>
      <c r="F3011" s="135" t="s">
        <v>1449</v>
      </c>
      <c r="G3011" s="185" t="s">
        <v>15</v>
      </c>
      <c r="H3011" s="185" t="s">
        <v>15</v>
      </c>
      <c r="I3011" s="185" t="s">
        <v>15</v>
      </c>
      <c r="J3011" s="135" t="s">
        <v>1450</v>
      </c>
      <c r="K3011" s="186">
        <v>1428</v>
      </c>
      <c r="L3011" s="187" t="s">
        <v>173</v>
      </c>
      <c r="M3011" s="187" t="s">
        <v>175</v>
      </c>
    </row>
    <row r="3012" spans="1:13" s="188" customFormat="1">
      <c r="A3012" s="185" t="s">
        <v>1447</v>
      </c>
      <c r="B3012" s="133" t="s">
        <v>6390</v>
      </c>
      <c r="C3012" s="185" t="s">
        <v>3023</v>
      </c>
      <c r="D3012" s="133" t="s">
        <v>1851</v>
      </c>
      <c r="E3012" s="134">
        <v>1</v>
      </c>
      <c r="F3012" s="135" t="s">
        <v>1449</v>
      </c>
      <c r="G3012" s="185" t="s">
        <v>15</v>
      </c>
      <c r="H3012" s="185" t="s">
        <v>15</v>
      </c>
      <c r="I3012" s="185" t="s">
        <v>15</v>
      </c>
      <c r="J3012" s="135" t="s">
        <v>1450</v>
      </c>
      <c r="K3012" s="186">
        <v>12.48</v>
      </c>
      <c r="L3012" s="187" t="s">
        <v>173</v>
      </c>
      <c r="M3012" s="187" t="s">
        <v>175</v>
      </c>
    </row>
    <row r="3013" spans="1:13" s="188" customFormat="1">
      <c r="A3013" s="185" t="s">
        <v>1447</v>
      </c>
      <c r="B3013" s="133" t="s">
        <v>6391</v>
      </c>
      <c r="C3013" s="185" t="s">
        <v>3023</v>
      </c>
      <c r="D3013" s="133" t="s">
        <v>1852</v>
      </c>
      <c r="E3013" s="134">
        <v>1</v>
      </c>
      <c r="F3013" s="135" t="s">
        <v>1449</v>
      </c>
      <c r="G3013" s="185" t="s">
        <v>15</v>
      </c>
      <c r="H3013" s="185" t="s">
        <v>15</v>
      </c>
      <c r="I3013" s="185" t="s">
        <v>15</v>
      </c>
      <c r="J3013" s="135" t="s">
        <v>1450</v>
      </c>
      <c r="K3013" s="186">
        <v>660</v>
      </c>
      <c r="L3013" s="187" t="s">
        <v>173</v>
      </c>
      <c r="M3013" s="187" t="s">
        <v>175</v>
      </c>
    </row>
    <row r="3014" spans="1:13" s="188" customFormat="1">
      <c r="A3014" s="185" t="s">
        <v>1447</v>
      </c>
      <c r="B3014" s="133" t="s">
        <v>6392</v>
      </c>
      <c r="C3014" s="185" t="s">
        <v>3023</v>
      </c>
      <c r="D3014" s="133" t="s">
        <v>1852</v>
      </c>
      <c r="E3014" s="134">
        <v>1</v>
      </c>
      <c r="F3014" s="135" t="s">
        <v>1449</v>
      </c>
      <c r="G3014" s="185" t="s">
        <v>15</v>
      </c>
      <c r="H3014" s="185" t="s">
        <v>15</v>
      </c>
      <c r="I3014" s="185" t="s">
        <v>15</v>
      </c>
      <c r="J3014" s="135" t="s">
        <v>1450</v>
      </c>
      <c r="K3014" s="186">
        <v>576</v>
      </c>
      <c r="L3014" s="187" t="s">
        <v>173</v>
      </c>
      <c r="M3014" s="187" t="s">
        <v>175</v>
      </c>
    </row>
    <row r="3015" spans="1:13" s="188" customFormat="1">
      <c r="A3015" s="185" t="s">
        <v>1447</v>
      </c>
      <c r="B3015" s="133" t="s">
        <v>6393</v>
      </c>
      <c r="C3015" s="185" t="s">
        <v>3023</v>
      </c>
      <c r="D3015" s="133" t="s">
        <v>1852</v>
      </c>
      <c r="E3015" s="134">
        <v>1</v>
      </c>
      <c r="F3015" s="135" t="s">
        <v>1449</v>
      </c>
      <c r="G3015" s="185" t="s">
        <v>15</v>
      </c>
      <c r="H3015" s="185" t="s">
        <v>15</v>
      </c>
      <c r="I3015" s="185" t="s">
        <v>15</v>
      </c>
      <c r="J3015" s="135" t="s">
        <v>1450</v>
      </c>
      <c r="K3015" s="186">
        <v>552</v>
      </c>
      <c r="L3015" s="187" t="s">
        <v>173</v>
      </c>
      <c r="M3015" s="187" t="s">
        <v>175</v>
      </c>
    </row>
    <row r="3016" spans="1:13" s="188" customFormat="1">
      <c r="A3016" s="185" t="s">
        <v>1447</v>
      </c>
      <c r="B3016" s="133" t="s">
        <v>6394</v>
      </c>
      <c r="C3016" s="185" t="s">
        <v>3023</v>
      </c>
      <c r="D3016" s="133" t="s">
        <v>1852</v>
      </c>
      <c r="E3016" s="134">
        <v>1</v>
      </c>
      <c r="F3016" s="135" t="s">
        <v>1449</v>
      </c>
      <c r="G3016" s="185" t="s">
        <v>15</v>
      </c>
      <c r="H3016" s="185" t="s">
        <v>15</v>
      </c>
      <c r="I3016" s="185" t="s">
        <v>15</v>
      </c>
      <c r="J3016" s="135" t="s">
        <v>1450</v>
      </c>
      <c r="K3016" s="186">
        <v>516</v>
      </c>
      <c r="L3016" s="187" t="s">
        <v>173</v>
      </c>
      <c r="M3016" s="187" t="s">
        <v>175</v>
      </c>
    </row>
    <row r="3017" spans="1:13" s="188" customFormat="1">
      <c r="A3017" s="185" t="s">
        <v>1447</v>
      </c>
      <c r="B3017" s="133" t="s">
        <v>6395</v>
      </c>
      <c r="C3017" s="185" t="s">
        <v>3023</v>
      </c>
      <c r="D3017" s="133" t="s">
        <v>1853</v>
      </c>
      <c r="E3017" s="134">
        <v>1</v>
      </c>
      <c r="F3017" s="135" t="s">
        <v>1449</v>
      </c>
      <c r="G3017" s="185" t="s">
        <v>15</v>
      </c>
      <c r="H3017" s="185" t="s">
        <v>15</v>
      </c>
      <c r="I3017" s="185" t="s">
        <v>15</v>
      </c>
      <c r="J3017" s="135" t="s">
        <v>1450</v>
      </c>
      <c r="K3017" s="186">
        <v>7764</v>
      </c>
      <c r="L3017" s="187" t="s">
        <v>173</v>
      </c>
      <c r="M3017" s="187" t="s">
        <v>175</v>
      </c>
    </row>
    <row r="3018" spans="1:13" s="188" customFormat="1">
      <c r="A3018" s="185" t="s">
        <v>1447</v>
      </c>
      <c r="B3018" s="133" t="s">
        <v>6396</v>
      </c>
      <c r="C3018" s="185" t="s">
        <v>3023</v>
      </c>
      <c r="D3018" s="133" t="s">
        <v>1853</v>
      </c>
      <c r="E3018" s="134">
        <v>1</v>
      </c>
      <c r="F3018" s="135" t="s">
        <v>1449</v>
      </c>
      <c r="G3018" s="185" t="s">
        <v>15</v>
      </c>
      <c r="H3018" s="185" t="s">
        <v>15</v>
      </c>
      <c r="I3018" s="185" t="s">
        <v>15</v>
      </c>
      <c r="J3018" s="135" t="s">
        <v>1450</v>
      </c>
      <c r="K3018" s="186">
        <v>2496</v>
      </c>
      <c r="L3018" s="187" t="s">
        <v>173</v>
      </c>
      <c r="M3018" s="187" t="s">
        <v>175</v>
      </c>
    </row>
    <row r="3019" spans="1:13" s="188" customFormat="1">
      <c r="A3019" s="185" t="s">
        <v>1447</v>
      </c>
      <c r="B3019" s="133" t="s">
        <v>6397</v>
      </c>
      <c r="C3019" s="185" t="s">
        <v>3023</v>
      </c>
      <c r="D3019" s="133" t="s">
        <v>1853</v>
      </c>
      <c r="E3019" s="134">
        <v>1</v>
      </c>
      <c r="F3019" s="135" t="s">
        <v>1449</v>
      </c>
      <c r="G3019" s="185" t="s">
        <v>15</v>
      </c>
      <c r="H3019" s="185" t="s">
        <v>15</v>
      </c>
      <c r="I3019" s="185" t="s">
        <v>15</v>
      </c>
      <c r="J3019" s="135" t="s">
        <v>1450</v>
      </c>
      <c r="K3019" s="186">
        <v>1248</v>
      </c>
      <c r="L3019" s="187" t="s">
        <v>173</v>
      </c>
      <c r="M3019" s="187" t="s">
        <v>175</v>
      </c>
    </row>
    <row r="3020" spans="1:13" s="188" customFormat="1">
      <c r="A3020" s="185" t="s">
        <v>1447</v>
      </c>
      <c r="B3020" s="133" t="s">
        <v>6398</v>
      </c>
      <c r="C3020" s="185" t="s">
        <v>3023</v>
      </c>
      <c r="D3020" s="133" t="s">
        <v>6399</v>
      </c>
      <c r="E3020" s="134">
        <v>1</v>
      </c>
      <c r="F3020" s="135" t="s">
        <v>1449</v>
      </c>
      <c r="G3020" s="185" t="s">
        <v>15</v>
      </c>
      <c r="H3020" s="185" t="s">
        <v>15</v>
      </c>
      <c r="I3020" s="185" t="s">
        <v>15</v>
      </c>
      <c r="J3020" s="135" t="s">
        <v>1450</v>
      </c>
      <c r="K3020" s="186">
        <v>238128</v>
      </c>
      <c r="L3020" s="187" t="s">
        <v>173</v>
      </c>
      <c r="M3020" s="187" t="s">
        <v>175</v>
      </c>
    </row>
    <row r="3021" spans="1:13" s="188" customFormat="1">
      <c r="A3021" s="185" t="s">
        <v>1447</v>
      </c>
      <c r="B3021" s="133" t="s">
        <v>6400</v>
      </c>
      <c r="C3021" s="185" t="s">
        <v>3023</v>
      </c>
      <c r="D3021" s="133" t="s">
        <v>6399</v>
      </c>
      <c r="E3021" s="134">
        <v>1</v>
      </c>
      <c r="F3021" s="135" t="s">
        <v>1449</v>
      </c>
      <c r="G3021" s="185" t="s">
        <v>15</v>
      </c>
      <c r="H3021" s="185" t="s">
        <v>15</v>
      </c>
      <c r="I3021" s="185" t="s">
        <v>15</v>
      </c>
      <c r="J3021" s="135" t="s">
        <v>1450</v>
      </c>
      <c r="K3021" s="186">
        <v>119532</v>
      </c>
      <c r="L3021" s="187" t="s">
        <v>173</v>
      </c>
      <c r="M3021" s="187" t="s">
        <v>175</v>
      </c>
    </row>
    <row r="3022" spans="1:13" s="188" customFormat="1">
      <c r="A3022" s="185" t="s">
        <v>1447</v>
      </c>
      <c r="B3022" s="133" t="s">
        <v>6401</v>
      </c>
      <c r="C3022" s="185" t="s">
        <v>3023</v>
      </c>
      <c r="D3022" s="133" t="s">
        <v>6399</v>
      </c>
      <c r="E3022" s="134">
        <v>1</v>
      </c>
      <c r="F3022" s="135" t="s">
        <v>1449</v>
      </c>
      <c r="G3022" s="185" t="s">
        <v>15</v>
      </c>
      <c r="H3022" s="185" t="s">
        <v>15</v>
      </c>
      <c r="I3022" s="185" t="s">
        <v>15</v>
      </c>
      <c r="J3022" s="135" t="s">
        <v>1450</v>
      </c>
      <c r="K3022" s="186">
        <v>83424</v>
      </c>
      <c r="L3022" s="187" t="s">
        <v>173</v>
      </c>
      <c r="M3022" s="187" t="s">
        <v>175</v>
      </c>
    </row>
    <row r="3023" spans="1:13" s="188" customFormat="1">
      <c r="A3023" s="185" t="s">
        <v>1447</v>
      </c>
      <c r="B3023" s="133" t="s">
        <v>6402</v>
      </c>
      <c r="C3023" s="185" t="s">
        <v>3023</v>
      </c>
      <c r="D3023" s="133" t="s">
        <v>6399</v>
      </c>
      <c r="E3023" s="134">
        <v>1</v>
      </c>
      <c r="F3023" s="135" t="s">
        <v>1449</v>
      </c>
      <c r="G3023" s="185" t="s">
        <v>15</v>
      </c>
      <c r="H3023" s="185" t="s">
        <v>15</v>
      </c>
      <c r="I3023" s="185" t="s">
        <v>15</v>
      </c>
      <c r="J3023" s="135" t="s">
        <v>1450</v>
      </c>
      <c r="K3023" s="186">
        <v>70968</v>
      </c>
      <c r="L3023" s="187" t="s">
        <v>173</v>
      </c>
      <c r="M3023" s="187" t="s">
        <v>175</v>
      </c>
    </row>
    <row r="3024" spans="1:13" s="188" customFormat="1">
      <c r="A3024" s="185" t="s">
        <v>1447</v>
      </c>
      <c r="B3024" s="133" t="s">
        <v>6403</v>
      </c>
      <c r="C3024" s="185" t="s">
        <v>3023</v>
      </c>
      <c r="D3024" s="133" t="s">
        <v>6404</v>
      </c>
      <c r="E3024" s="134">
        <v>1</v>
      </c>
      <c r="F3024" s="135" t="s">
        <v>1449</v>
      </c>
      <c r="G3024" s="185" t="s">
        <v>15</v>
      </c>
      <c r="H3024" s="185" t="s">
        <v>15</v>
      </c>
      <c r="I3024" s="185" t="s">
        <v>15</v>
      </c>
      <c r="J3024" s="135" t="s">
        <v>1450</v>
      </c>
      <c r="K3024" s="186">
        <v>307788</v>
      </c>
      <c r="L3024" s="187" t="s">
        <v>173</v>
      </c>
      <c r="M3024" s="187" t="s">
        <v>175</v>
      </c>
    </row>
    <row r="3025" spans="1:13" s="188" customFormat="1">
      <c r="A3025" s="185" t="s">
        <v>1447</v>
      </c>
      <c r="B3025" s="133" t="s">
        <v>6405</v>
      </c>
      <c r="C3025" s="185" t="s">
        <v>3023</v>
      </c>
      <c r="D3025" s="133" t="s">
        <v>6404</v>
      </c>
      <c r="E3025" s="134">
        <v>1</v>
      </c>
      <c r="F3025" s="135" t="s">
        <v>1449</v>
      </c>
      <c r="G3025" s="185" t="s">
        <v>15</v>
      </c>
      <c r="H3025" s="185" t="s">
        <v>15</v>
      </c>
      <c r="I3025" s="185" t="s">
        <v>15</v>
      </c>
      <c r="J3025" s="135" t="s">
        <v>1450</v>
      </c>
      <c r="K3025" s="186">
        <v>224124</v>
      </c>
      <c r="L3025" s="187" t="s">
        <v>173</v>
      </c>
      <c r="M3025" s="187" t="s">
        <v>175</v>
      </c>
    </row>
    <row r="3026" spans="1:13" s="188" customFormat="1">
      <c r="A3026" s="185" t="s">
        <v>1447</v>
      </c>
      <c r="B3026" s="133" t="s">
        <v>6406</v>
      </c>
      <c r="C3026" s="185" t="s">
        <v>3023</v>
      </c>
      <c r="D3026" s="133" t="s">
        <v>6404</v>
      </c>
      <c r="E3026" s="134">
        <v>1</v>
      </c>
      <c r="F3026" s="135" t="s">
        <v>1449</v>
      </c>
      <c r="G3026" s="185" t="s">
        <v>15</v>
      </c>
      <c r="H3026" s="185" t="s">
        <v>15</v>
      </c>
      <c r="I3026" s="185" t="s">
        <v>15</v>
      </c>
      <c r="J3026" s="135" t="s">
        <v>1450</v>
      </c>
      <c r="K3026" s="186">
        <v>201708</v>
      </c>
      <c r="L3026" s="187" t="s">
        <v>173</v>
      </c>
      <c r="M3026" s="187" t="s">
        <v>175</v>
      </c>
    </row>
    <row r="3027" spans="1:13" s="188" customFormat="1">
      <c r="A3027" s="185" t="s">
        <v>1447</v>
      </c>
      <c r="B3027" s="133" t="s">
        <v>6407</v>
      </c>
      <c r="C3027" s="185" t="s">
        <v>3023</v>
      </c>
      <c r="D3027" s="133" t="s">
        <v>6404</v>
      </c>
      <c r="E3027" s="134">
        <v>1</v>
      </c>
      <c r="F3027" s="135" t="s">
        <v>1449</v>
      </c>
      <c r="G3027" s="185" t="s">
        <v>15</v>
      </c>
      <c r="H3027" s="185" t="s">
        <v>15</v>
      </c>
      <c r="I3027" s="185" t="s">
        <v>15</v>
      </c>
      <c r="J3027" s="135" t="s">
        <v>1450</v>
      </c>
      <c r="K3027" s="186">
        <v>179292</v>
      </c>
      <c r="L3027" s="187" t="s">
        <v>173</v>
      </c>
      <c r="M3027" s="187" t="s">
        <v>175</v>
      </c>
    </row>
    <row r="3028" spans="1:13" s="188" customFormat="1">
      <c r="A3028" s="185" t="s">
        <v>1447</v>
      </c>
      <c r="B3028" s="133" t="s">
        <v>6408</v>
      </c>
      <c r="C3028" s="185" t="s">
        <v>3023</v>
      </c>
      <c r="D3028" s="133" t="s">
        <v>1854</v>
      </c>
      <c r="E3028" s="134">
        <v>1</v>
      </c>
      <c r="F3028" s="135" t="s">
        <v>1449</v>
      </c>
      <c r="G3028" s="185" t="s">
        <v>15</v>
      </c>
      <c r="H3028" s="185" t="s">
        <v>15</v>
      </c>
      <c r="I3028" s="185" t="s">
        <v>15</v>
      </c>
      <c r="J3028" s="135" t="s">
        <v>1450</v>
      </c>
      <c r="K3028" s="186">
        <v>3492</v>
      </c>
      <c r="L3028" s="187" t="s">
        <v>173</v>
      </c>
      <c r="M3028" s="187" t="s">
        <v>175</v>
      </c>
    </row>
    <row r="3029" spans="1:13" s="188" customFormat="1">
      <c r="A3029" s="185" t="s">
        <v>1447</v>
      </c>
      <c r="B3029" s="133" t="s">
        <v>6409</v>
      </c>
      <c r="C3029" s="185" t="s">
        <v>3023</v>
      </c>
      <c r="D3029" s="133" t="s">
        <v>1854</v>
      </c>
      <c r="E3029" s="134">
        <v>1</v>
      </c>
      <c r="F3029" s="135" t="s">
        <v>1449</v>
      </c>
      <c r="G3029" s="185" t="s">
        <v>15</v>
      </c>
      <c r="H3029" s="185" t="s">
        <v>15</v>
      </c>
      <c r="I3029" s="185" t="s">
        <v>15</v>
      </c>
      <c r="J3029" s="135" t="s">
        <v>1450</v>
      </c>
      <c r="K3029" s="186">
        <v>3240</v>
      </c>
      <c r="L3029" s="187" t="s">
        <v>173</v>
      </c>
      <c r="M3029" s="187" t="s">
        <v>175</v>
      </c>
    </row>
    <row r="3030" spans="1:13" s="188" customFormat="1">
      <c r="A3030" s="185" t="s">
        <v>1447</v>
      </c>
      <c r="B3030" s="133" t="s">
        <v>6410</v>
      </c>
      <c r="C3030" s="185" t="s">
        <v>3023</v>
      </c>
      <c r="D3030" s="133" t="s">
        <v>1854</v>
      </c>
      <c r="E3030" s="134">
        <v>1</v>
      </c>
      <c r="F3030" s="135" t="s">
        <v>1449</v>
      </c>
      <c r="G3030" s="185" t="s">
        <v>15</v>
      </c>
      <c r="H3030" s="185" t="s">
        <v>15</v>
      </c>
      <c r="I3030" s="185" t="s">
        <v>15</v>
      </c>
      <c r="J3030" s="135" t="s">
        <v>1450</v>
      </c>
      <c r="K3030" s="186">
        <v>2988</v>
      </c>
      <c r="L3030" s="187" t="s">
        <v>173</v>
      </c>
      <c r="M3030" s="187" t="s">
        <v>175</v>
      </c>
    </row>
    <row r="3031" spans="1:13" s="188" customFormat="1">
      <c r="A3031" s="185" t="s">
        <v>1447</v>
      </c>
      <c r="B3031" s="133" t="s">
        <v>6411</v>
      </c>
      <c r="C3031" s="185" t="s">
        <v>3023</v>
      </c>
      <c r="D3031" s="133" t="s">
        <v>1854</v>
      </c>
      <c r="E3031" s="134">
        <v>1</v>
      </c>
      <c r="F3031" s="135" t="s">
        <v>1449</v>
      </c>
      <c r="G3031" s="185" t="s">
        <v>15</v>
      </c>
      <c r="H3031" s="185" t="s">
        <v>15</v>
      </c>
      <c r="I3031" s="185" t="s">
        <v>15</v>
      </c>
      <c r="J3031" s="135" t="s">
        <v>1450</v>
      </c>
      <c r="K3031" s="186">
        <v>2868</v>
      </c>
      <c r="L3031" s="187" t="s">
        <v>173</v>
      </c>
      <c r="M3031" s="187" t="s">
        <v>175</v>
      </c>
    </row>
    <row r="3032" spans="1:13" s="188" customFormat="1">
      <c r="A3032" s="185" t="s">
        <v>1447</v>
      </c>
      <c r="B3032" s="133" t="s">
        <v>6412</v>
      </c>
      <c r="C3032" s="185" t="s">
        <v>3023</v>
      </c>
      <c r="D3032" s="133" t="s">
        <v>1854</v>
      </c>
      <c r="E3032" s="134">
        <v>1</v>
      </c>
      <c r="F3032" s="135" t="s">
        <v>1449</v>
      </c>
      <c r="G3032" s="185" t="s">
        <v>15</v>
      </c>
      <c r="H3032" s="185" t="s">
        <v>15</v>
      </c>
      <c r="I3032" s="185" t="s">
        <v>15</v>
      </c>
      <c r="J3032" s="135" t="s">
        <v>1450</v>
      </c>
      <c r="K3032" s="186">
        <v>2736</v>
      </c>
      <c r="L3032" s="187" t="s">
        <v>173</v>
      </c>
      <c r="M3032" s="187" t="s">
        <v>175</v>
      </c>
    </row>
    <row r="3033" spans="1:13" s="188" customFormat="1">
      <c r="A3033" s="185" t="s">
        <v>1447</v>
      </c>
      <c r="B3033" s="133" t="s">
        <v>6413</v>
      </c>
      <c r="C3033" s="185" t="s">
        <v>3023</v>
      </c>
      <c r="D3033" s="133" t="s">
        <v>1855</v>
      </c>
      <c r="E3033" s="134">
        <v>1</v>
      </c>
      <c r="F3033" s="135" t="s">
        <v>1449</v>
      </c>
      <c r="G3033" s="185" t="s">
        <v>15</v>
      </c>
      <c r="H3033" s="185" t="s">
        <v>15</v>
      </c>
      <c r="I3033" s="185" t="s">
        <v>15</v>
      </c>
      <c r="J3033" s="135" t="s">
        <v>1450</v>
      </c>
      <c r="K3033" s="186">
        <v>20</v>
      </c>
      <c r="L3033" s="187" t="s">
        <v>173</v>
      </c>
      <c r="M3033" s="187" t="s">
        <v>175</v>
      </c>
    </row>
    <row r="3034" spans="1:13" s="188" customFormat="1">
      <c r="A3034" s="185" t="s">
        <v>1447</v>
      </c>
      <c r="B3034" s="133" t="s">
        <v>6414</v>
      </c>
      <c r="C3034" s="185" t="s">
        <v>3023</v>
      </c>
      <c r="D3034" s="133" t="s">
        <v>1856</v>
      </c>
      <c r="E3034" s="134">
        <v>1</v>
      </c>
      <c r="F3034" s="135" t="s">
        <v>1449</v>
      </c>
      <c r="G3034" s="185" t="s">
        <v>15</v>
      </c>
      <c r="H3034" s="185" t="s">
        <v>15</v>
      </c>
      <c r="I3034" s="185" t="s">
        <v>15</v>
      </c>
      <c r="J3034" s="135" t="s">
        <v>1450</v>
      </c>
      <c r="K3034" s="186">
        <v>20</v>
      </c>
      <c r="L3034" s="187" t="s">
        <v>173</v>
      </c>
      <c r="M3034" s="187" t="s">
        <v>175</v>
      </c>
    </row>
    <row r="3035" spans="1:13" s="188" customFormat="1">
      <c r="A3035" s="185" t="s">
        <v>1447</v>
      </c>
      <c r="B3035" s="133" t="s">
        <v>6415</v>
      </c>
      <c r="C3035" s="185" t="s">
        <v>3023</v>
      </c>
      <c r="D3035" s="133" t="s">
        <v>1857</v>
      </c>
      <c r="E3035" s="134">
        <v>1</v>
      </c>
      <c r="F3035" s="135" t="s">
        <v>1449</v>
      </c>
      <c r="G3035" s="185" t="s">
        <v>15</v>
      </c>
      <c r="H3035" s="185" t="s">
        <v>15</v>
      </c>
      <c r="I3035" s="185" t="s">
        <v>15</v>
      </c>
      <c r="J3035" s="135" t="s">
        <v>1450</v>
      </c>
      <c r="K3035" s="186">
        <v>20</v>
      </c>
      <c r="L3035" s="187" t="s">
        <v>173</v>
      </c>
      <c r="M3035" s="187" t="s">
        <v>175</v>
      </c>
    </row>
    <row r="3036" spans="1:13" s="188" customFormat="1">
      <c r="A3036" s="185" t="s">
        <v>1447</v>
      </c>
      <c r="B3036" s="133" t="s">
        <v>6416</v>
      </c>
      <c r="C3036" s="185" t="s">
        <v>3023</v>
      </c>
      <c r="D3036" s="133" t="s">
        <v>1858</v>
      </c>
      <c r="E3036" s="134">
        <v>1</v>
      </c>
      <c r="F3036" s="135" t="s">
        <v>1449</v>
      </c>
      <c r="G3036" s="185" t="s">
        <v>15</v>
      </c>
      <c r="H3036" s="185" t="s">
        <v>15</v>
      </c>
      <c r="I3036" s="185" t="s">
        <v>15</v>
      </c>
      <c r="J3036" s="135" t="s">
        <v>1450</v>
      </c>
      <c r="K3036" s="186">
        <v>20</v>
      </c>
      <c r="L3036" s="187" t="s">
        <v>173</v>
      </c>
      <c r="M3036" s="187" t="s">
        <v>175</v>
      </c>
    </row>
    <row r="3037" spans="1:13" s="188" customFormat="1">
      <c r="A3037" s="185" t="s">
        <v>1447</v>
      </c>
      <c r="B3037" s="133" t="s">
        <v>6417</v>
      </c>
      <c r="C3037" s="185" t="s">
        <v>3023</v>
      </c>
      <c r="D3037" s="133" t="s">
        <v>1859</v>
      </c>
      <c r="E3037" s="134">
        <v>1</v>
      </c>
      <c r="F3037" s="135" t="s">
        <v>1449</v>
      </c>
      <c r="G3037" s="185" t="s">
        <v>15</v>
      </c>
      <c r="H3037" s="185" t="s">
        <v>15</v>
      </c>
      <c r="I3037" s="185" t="s">
        <v>15</v>
      </c>
      <c r="J3037" s="135" t="s">
        <v>1450</v>
      </c>
      <c r="K3037" s="186">
        <v>20</v>
      </c>
      <c r="L3037" s="187" t="s">
        <v>173</v>
      </c>
      <c r="M3037" s="187" t="s">
        <v>175</v>
      </c>
    </row>
    <row r="3038" spans="1:13" s="188" customFormat="1">
      <c r="A3038" s="185" t="s">
        <v>1447</v>
      </c>
      <c r="B3038" s="133" t="s">
        <v>6418</v>
      </c>
      <c r="C3038" s="185" t="s">
        <v>3023</v>
      </c>
      <c r="D3038" s="133" t="s">
        <v>1860</v>
      </c>
      <c r="E3038" s="134">
        <v>1</v>
      </c>
      <c r="F3038" s="135" t="s">
        <v>1449</v>
      </c>
      <c r="G3038" s="185" t="s">
        <v>15</v>
      </c>
      <c r="H3038" s="185" t="s">
        <v>15</v>
      </c>
      <c r="I3038" s="185" t="s">
        <v>15</v>
      </c>
      <c r="J3038" s="135" t="s">
        <v>1450</v>
      </c>
      <c r="K3038" s="186">
        <v>20</v>
      </c>
      <c r="L3038" s="187" t="s">
        <v>173</v>
      </c>
      <c r="M3038" s="187" t="s">
        <v>175</v>
      </c>
    </row>
    <row r="3039" spans="1:13" s="188" customFormat="1">
      <c r="A3039" s="185" t="s">
        <v>1447</v>
      </c>
      <c r="B3039" s="133" t="s">
        <v>6419</v>
      </c>
      <c r="C3039" s="185" t="s">
        <v>3023</v>
      </c>
      <c r="D3039" s="133" t="s">
        <v>1861</v>
      </c>
      <c r="E3039" s="134">
        <v>1</v>
      </c>
      <c r="F3039" s="135" t="s">
        <v>1449</v>
      </c>
      <c r="G3039" s="185" t="s">
        <v>15</v>
      </c>
      <c r="H3039" s="185" t="s">
        <v>15</v>
      </c>
      <c r="I3039" s="185" t="s">
        <v>15</v>
      </c>
      <c r="J3039" s="135" t="s">
        <v>1450</v>
      </c>
      <c r="K3039" s="186">
        <v>20</v>
      </c>
      <c r="L3039" s="187" t="s">
        <v>173</v>
      </c>
      <c r="M3039" s="187" t="s">
        <v>175</v>
      </c>
    </row>
    <row r="3040" spans="1:13" s="188" customFormat="1">
      <c r="A3040" s="185" t="s">
        <v>1447</v>
      </c>
      <c r="B3040" s="133" t="s">
        <v>6420</v>
      </c>
      <c r="C3040" s="185" t="s">
        <v>3023</v>
      </c>
      <c r="D3040" s="133" t="s">
        <v>1862</v>
      </c>
      <c r="E3040" s="134">
        <v>1</v>
      </c>
      <c r="F3040" s="135" t="s">
        <v>1449</v>
      </c>
      <c r="G3040" s="185" t="s">
        <v>15</v>
      </c>
      <c r="H3040" s="185" t="s">
        <v>15</v>
      </c>
      <c r="I3040" s="185" t="s">
        <v>15</v>
      </c>
      <c r="J3040" s="135" t="s">
        <v>1450</v>
      </c>
      <c r="K3040" s="186">
        <v>20</v>
      </c>
      <c r="L3040" s="187" t="s">
        <v>173</v>
      </c>
      <c r="M3040" s="187" t="s">
        <v>175</v>
      </c>
    </row>
    <row r="3041" spans="1:13" s="188" customFormat="1">
      <c r="A3041" s="185" t="s">
        <v>1447</v>
      </c>
      <c r="B3041" s="133" t="s">
        <v>6421</v>
      </c>
      <c r="C3041" s="185" t="s">
        <v>3023</v>
      </c>
      <c r="D3041" s="133" t="s">
        <v>6422</v>
      </c>
      <c r="E3041" s="134">
        <v>1</v>
      </c>
      <c r="F3041" s="135" t="s">
        <v>1449</v>
      </c>
      <c r="G3041" s="185" t="s">
        <v>15</v>
      </c>
      <c r="H3041" s="185" t="s">
        <v>15</v>
      </c>
      <c r="I3041" s="185" t="s">
        <v>15</v>
      </c>
      <c r="J3041" s="135" t="s">
        <v>1450</v>
      </c>
      <c r="K3041" s="186">
        <v>20</v>
      </c>
      <c r="L3041" s="187" t="s">
        <v>173</v>
      </c>
      <c r="M3041" s="187" t="s">
        <v>175</v>
      </c>
    </row>
    <row r="3042" spans="1:13" s="188" customFormat="1">
      <c r="A3042" s="185" t="s">
        <v>1447</v>
      </c>
      <c r="B3042" s="133" t="s">
        <v>6423</v>
      </c>
      <c r="C3042" s="185" t="s">
        <v>3023</v>
      </c>
      <c r="D3042" s="133" t="s">
        <v>1863</v>
      </c>
      <c r="E3042" s="134">
        <v>1</v>
      </c>
      <c r="F3042" s="135" t="s">
        <v>1449</v>
      </c>
      <c r="G3042" s="185" t="s">
        <v>15</v>
      </c>
      <c r="H3042" s="185" t="s">
        <v>15</v>
      </c>
      <c r="I3042" s="185" t="s">
        <v>15</v>
      </c>
      <c r="J3042" s="135" t="s">
        <v>1450</v>
      </c>
      <c r="K3042" s="186">
        <v>20</v>
      </c>
      <c r="L3042" s="187" t="s">
        <v>173</v>
      </c>
      <c r="M3042" s="187" t="s">
        <v>175</v>
      </c>
    </row>
    <row r="3043" spans="1:13" s="188" customFormat="1">
      <c r="A3043" s="185" t="s">
        <v>1447</v>
      </c>
      <c r="B3043" s="133" t="s">
        <v>6424</v>
      </c>
      <c r="C3043" s="185" t="s">
        <v>3023</v>
      </c>
      <c r="D3043" s="133" t="s">
        <v>6425</v>
      </c>
      <c r="E3043" s="134">
        <v>1</v>
      </c>
      <c r="F3043" s="135" t="s">
        <v>1449</v>
      </c>
      <c r="G3043" s="185" t="s">
        <v>15</v>
      </c>
      <c r="H3043" s="185" t="s">
        <v>15</v>
      </c>
      <c r="I3043" s="185" t="s">
        <v>15</v>
      </c>
      <c r="J3043" s="135" t="s">
        <v>1450</v>
      </c>
      <c r="K3043" s="186">
        <v>30</v>
      </c>
      <c r="L3043" s="187" t="s">
        <v>173</v>
      </c>
      <c r="M3043" s="187" t="s">
        <v>175</v>
      </c>
    </row>
    <row r="3044" spans="1:13" s="188" customFormat="1">
      <c r="A3044" s="185" t="s">
        <v>1447</v>
      </c>
      <c r="B3044" s="133" t="s">
        <v>6426</v>
      </c>
      <c r="C3044" s="185" t="s">
        <v>3023</v>
      </c>
      <c r="D3044" s="133" t="s">
        <v>6427</v>
      </c>
      <c r="E3044" s="134">
        <v>1</v>
      </c>
      <c r="F3044" s="135" t="s">
        <v>1449</v>
      </c>
      <c r="G3044" s="185" t="s">
        <v>15</v>
      </c>
      <c r="H3044" s="185" t="s">
        <v>15</v>
      </c>
      <c r="I3044" s="185" t="s">
        <v>15</v>
      </c>
      <c r="J3044" s="135" t="s">
        <v>1450</v>
      </c>
      <c r="K3044" s="186">
        <v>14184</v>
      </c>
      <c r="L3044" s="187" t="s">
        <v>173</v>
      </c>
      <c r="M3044" s="187" t="s">
        <v>175</v>
      </c>
    </row>
    <row r="3045" spans="1:13" s="188" customFormat="1">
      <c r="A3045" s="185" t="s">
        <v>1447</v>
      </c>
      <c r="B3045" s="133" t="s">
        <v>6428</v>
      </c>
      <c r="C3045" s="185" t="s">
        <v>3023</v>
      </c>
      <c r="D3045" s="133" t="s">
        <v>6429</v>
      </c>
      <c r="E3045" s="134">
        <v>1</v>
      </c>
      <c r="F3045" s="135" t="s">
        <v>1449</v>
      </c>
      <c r="G3045" s="185" t="s">
        <v>15</v>
      </c>
      <c r="H3045" s="185" t="s">
        <v>15</v>
      </c>
      <c r="I3045" s="185" t="s">
        <v>15</v>
      </c>
      <c r="J3045" s="135" t="s">
        <v>1450</v>
      </c>
      <c r="K3045" s="186">
        <v>9960</v>
      </c>
      <c r="L3045" s="187" t="s">
        <v>173</v>
      </c>
      <c r="M3045" s="187" t="s">
        <v>175</v>
      </c>
    </row>
    <row r="3046" spans="1:13" s="188" customFormat="1">
      <c r="A3046" s="185" t="s">
        <v>1447</v>
      </c>
      <c r="B3046" s="133" t="s">
        <v>6430</v>
      </c>
      <c r="C3046" s="185" t="s">
        <v>3023</v>
      </c>
      <c r="D3046" s="133" t="s">
        <v>6431</v>
      </c>
      <c r="E3046" s="134">
        <v>1</v>
      </c>
      <c r="F3046" s="135" t="s">
        <v>1449</v>
      </c>
      <c r="G3046" s="185" t="s">
        <v>15</v>
      </c>
      <c r="H3046" s="185" t="s">
        <v>15</v>
      </c>
      <c r="I3046" s="185" t="s">
        <v>15</v>
      </c>
      <c r="J3046" s="135" t="s">
        <v>1450</v>
      </c>
      <c r="K3046" s="186">
        <v>13068</v>
      </c>
      <c r="L3046" s="187" t="s">
        <v>173</v>
      </c>
      <c r="M3046" s="187" t="s">
        <v>175</v>
      </c>
    </row>
    <row r="3047" spans="1:13" s="188" customFormat="1">
      <c r="A3047" s="185" t="s">
        <v>1447</v>
      </c>
      <c r="B3047" s="133" t="s">
        <v>6432</v>
      </c>
      <c r="C3047" s="185" t="s">
        <v>3023</v>
      </c>
      <c r="D3047" s="133" t="s">
        <v>1864</v>
      </c>
      <c r="E3047" s="134">
        <v>1</v>
      </c>
      <c r="F3047" s="135" t="s">
        <v>1449</v>
      </c>
      <c r="G3047" s="185" t="s">
        <v>15</v>
      </c>
      <c r="H3047" s="185" t="s">
        <v>15</v>
      </c>
      <c r="I3047" s="185" t="s">
        <v>15</v>
      </c>
      <c r="J3047" s="135" t="s">
        <v>1450</v>
      </c>
      <c r="K3047" s="186">
        <v>2232</v>
      </c>
      <c r="L3047" s="187" t="s">
        <v>173</v>
      </c>
      <c r="M3047" s="187" t="s">
        <v>175</v>
      </c>
    </row>
    <row r="3048" spans="1:13" s="188" customFormat="1">
      <c r="A3048" s="185" t="s">
        <v>1447</v>
      </c>
      <c r="B3048" s="133" t="s">
        <v>6433</v>
      </c>
      <c r="C3048" s="185" t="s">
        <v>3023</v>
      </c>
      <c r="D3048" s="133" t="s">
        <v>1865</v>
      </c>
      <c r="E3048" s="134">
        <v>1</v>
      </c>
      <c r="F3048" s="135" t="s">
        <v>1449</v>
      </c>
      <c r="G3048" s="185" t="s">
        <v>15</v>
      </c>
      <c r="H3048" s="185" t="s">
        <v>15</v>
      </c>
      <c r="I3048" s="185" t="s">
        <v>15</v>
      </c>
      <c r="J3048" s="135" t="s">
        <v>1450</v>
      </c>
      <c r="K3048" s="186">
        <v>1236</v>
      </c>
      <c r="L3048" s="187" t="s">
        <v>173</v>
      </c>
      <c r="M3048" s="187" t="s">
        <v>175</v>
      </c>
    </row>
    <row r="3049" spans="1:13" s="188" customFormat="1">
      <c r="A3049" s="185" t="s">
        <v>1447</v>
      </c>
      <c r="B3049" s="133" t="s">
        <v>6434</v>
      </c>
      <c r="C3049" s="185" t="s">
        <v>3023</v>
      </c>
      <c r="D3049" s="133" t="s">
        <v>1866</v>
      </c>
      <c r="E3049" s="134">
        <v>1</v>
      </c>
      <c r="F3049" s="135" t="s">
        <v>1449</v>
      </c>
      <c r="G3049" s="185" t="s">
        <v>15</v>
      </c>
      <c r="H3049" s="185" t="s">
        <v>15</v>
      </c>
      <c r="I3049" s="185" t="s">
        <v>15</v>
      </c>
      <c r="J3049" s="135" t="s">
        <v>1450</v>
      </c>
      <c r="K3049" s="186">
        <v>228</v>
      </c>
      <c r="L3049" s="187" t="s">
        <v>173</v>
      </c>
      <c r="M3049" s="187" t="s">
        <v>175</v>
      </c>
    </row>
    <row r="3050" spans="1:13" s="188" customFormat="1">
      <c r="A3050" s="185" t="s">
        <v>1447</v>
      </c>
      <c r="B3050" s="133" t="s">
        <v>6435</v>
      </c>
      <c r="C3050" s="185" t="s">
        <v>3023</v>
      </c>
      <c r="D3050" s="133" t="s">
        <v>1867</v>
      </c>
      <c r="E3050" s="134">
        <v>1</v>
      </c>
      <c r="F3050" s="135" t="s">
        <v>1449</v>
      </c>
      <c r="G3050" s="185" t="s">
        <v>15</v>
      </c>
      <c r="H3050" s="185" t="s">
        <v>15</v>
      </c>
      <c r="I3050" s="185" t="s">
        <v>15</v>
      </c>
      <c r="J3050" s="135" t="s">
        <v>1450</v>
      </c>
      <c r="K3050" s="186">
        <v>18672</v>
      </c>
      <c r="L3050" s="187" t="s">
        <v>173</v>
      </c>
      <c r="M3050" s="187" t="s">
        <v>175</v>
      </c>
    </row>
    <row r="3051" spans="1:13" s="188" customFormat="1">
      <c r="A3051" s="185" t="s">
        <v>1447</v>
      </c>
      <c r="B3051" s="133" t="s">
        <v>6436</v>
      </c>
      <c r="C3051" s="185" t="s">
        <v>3023</v>
      </c>
      <c r="D3051" s="133" t="s">
        <v>6437</v>
      </c>
      <c r="E3051" s="134">
        <v>1</v>
      </c>
      <c r="F3051" s="135" t="s">
        <v>1449</v>
      </c>
      <c r="G3051" s="185" t="s">
        <v>15</v>
      </c>
      <c r="H3051" s="185" t="s">
        <v>15</v>
      </c>
      <c r="I3051" s="185" t="s">
        <v>15</v>
      </c>
      <c r="J3051" s="135" t="s">
        <v>1450</v>
      </c>
      <c r="K3051" s="186">
        <v>373536</v>
      </c>
      <c r="L3051" s="187" t="s">
        <v>173</v>
      </c>
      <c r="M3051" s="187" t="s">
        <v>175</v>
      </c>
    </row>
    <row r="3052" spans="1:13" s="188" customFormat="1">
      <c r="A3052" s="185" t="s">
        <v>1447</v>
      </c>
      <c r="B3052" s="133" t="s">
        <v>6438</v>
      </c>
      <c r="C3052" s="185" t="s">
        <v>3023</v>
      </c>
      <c r="D3052" s="133" t="s">
        <v>6439</v>
      </c>
      <c r="E3052" s="134">
        <v>1</v>
      </c>
      <c r="F3052" s="135" t="s">
        <v>1449</v>
      </c>
      <c r="G3052" s="185" t="s">
        <v>15</v>
      </c>
      <c r="H3052" s="185" t="s">
        <v>15</v>
      </c>
      <c r="I3052" s="185" t="s">
        <v>15</v>
      </c>
      <c r="J3052" s="135" t="s">
        <v>1450</v>
      </c>
      <c r="K3052" s="186">
        <v>504</v>
      </c>
      <c r="L3052" s="187" t="s">
        <v>173</v>
      </c>
      <c r="M3052" s="187" t="s">
        <v>175</v>
      </c>
    </row>
    <row r="3053" spans="1:13" s="188" customFormat="1">
      <c r="A3053" s="185" t="s">
        <v>1447</v>
      </c>
      <c r="B3053" s="133" t="s">
        <v>6440</v>
      </c>
      <c r="C3053" s="185" t="s">
        <v>3023</v>
      </c>
      <c r="D3053" s="133" t="s">
        <v>6439</v>
      </c>
      <c r="E3053" s="134">
        <v>1</v>
      </c>
      <c r="F3053" s="135" t="s">
        <v>1449</v>
      </c>
      <c r="G3053" s="185" t="s">
        <v>15</v>
      </c>
      <c r="H3053" s="185" t="s">
        <v>15</v>
      </c>
      <c r="I3053" s="185" t="s">
        <v>15</v>
      </c>
      <c r="J3053" s="135" t="s">
        <v>1450</v>
      </c>
      <c r="K3053" s="186">
        <v>276</v>
      </c>
      <c r="L3053" s="187" t="s">
        <v>173</v>
      </c>
      <c r="M3053" s="187" t="s">
        <v>175</v>
      </c>
    </row>
    <row r="3054" spans="1:13" s="188" customFormat="1">
      <c r="A3054" s="185" t="s">
        <v>1447</v>
      </c>
      <c r="B3054" s="133" t="s">
        <v>6441</v>
      </c>
      <c r="C3054" s="185" t="s">
        <v>3023</v>
      </c>
      <c r="D3054" s="133" t="s">
        <v>6439</v>
      </c>
      <c r="E3054" s="134">
        <v>1</v>
      </c>
      <c r="F3054" s="135" t="s">
        <v>1449</v>
      </c>
      <c r="G3054" s="185" t="s">
        <v>15</v>
      </c>
      <c r="H3054" s="185" t="s">
        <v>15</v>
      </c>
      <c r="I3054" s="185" t="s">
        <v>15</v>
      </c>
      <c r="J3054" s="135" t="s">
        <v>1450</v>
      </c>
      <c r="K3054" s="186">
        <v>144</v>
      </c>
      <c r="L3054" s="187" t="s">
        <v>173</v>
      </c>
      <c r="M3054" s="187" t="s">
        <v>175</v>
      </c>
    </row>
    <row r="3055" spans="1:13" s="188" customFormat="1">
      <c r="A3055" s="185" t="s">
        <v>1447</v>
      </c>
      <c r="B3055" s="136" t="s">
        <v>6442</v>
      </c>
      <c r="C3055" s="185" t="s">
        <v>3023</v>
      </c>
      <c r="D3055" s="133" t="s">
        <v>6439</v>
      </c>
      <c r="E3055" s="134">
        <v>1</v>
      </c>
      <c r="F3055" s="135" t="s">
        <v>1449</v>
      </c>
      <c r="G3055" s="185" t="s">
        <v>15</v>
      </c>
      <c r="H3055" s="185" t="s">
        <v>15</v>
      </c>
      <c r="I3055" s="185" t="s">
        <v>15</v>
      </c>
      <c r="J3055" s="135" t="s">
        <v>1450</v>
      </c>
      <c r="K3055" s="186">
        <v>0</v>
      </c>
      <c r="L3055" s="187" t="s">
        <v>173</v>
      </c>
      <c r="M3055" s="187" t="s">
        <v>175</v>
      </c>
    </row>
    <row r="3056" spans="1:13" s="188" customFormat="1">
      <c r="A3056" s="185" t="s">
        <v>1447</v>
      </c>
      <c r="B3056" s="133" t="s">
        <v>6443</v>
      </c>
      <c r="C3056" s="185" t="s">
        <v>3023</v>
      </c>
      <c r="D3056" s="133" t="s">
        <v>1891</v>
      </c>
      <c r="E3056" s="134">
        <v>1</v>
      </c>
      <c r="F3056" s="135" t="s">
        <v>1449</v>
      </c>
      <c r="G3056" s="185" t="s">
        <v>15</v>
      </c>
      <c r="H3056" s="185" t="s">
        <v>15</v>
      </c>
      <c r="I3056" s="185" t="s">
        <v>15</v>
      </c>
      <c r="J3056" s="135" t="s">
        <v>1450</v>
      </c>
      <c r="K3056" s="186">
        <v>34416</v>
      </c>
      <c r="L3056" s="187" t="s">
        <v>173</v>
      </c>
      <c r="M3056" s="187" t="s">
        <v>175</v>
      </c>
    </row>
    <row r="3057" spans="1:13" s="188" customFormat="1">
      <c r="A3057" s="185" t="s">
        <v>1447</v>
      </c>
      <c r="B3057" s="133" t="s">
        <v>6444</v>
      </c>
      <c r="C3057" s="185" t="s">
        <v>3023</v>
      </c>
      <c r="D3057" s="133" t="s">
        <v>6445</v>
      </c>
      <c r="E3057" s="134">
        <v>1</v>
      </c>
      <c r="F3057" s="135" t="s">
        <v>1449</v>
      </c>
      <c r="G3057" s="185" t="s">
        <v>15</v>
      </c>
      <c r="H3057" s="185" t="s">
        <v>15</v>
      </c>
      <c r="I3057" s="185" t="s">
        <v>15</v>
      </c>
      <c r="J3057" s="135" t="s">
        <v>1450</v>
      </c>
      <c r="K3057" s="186">
        <v>1128</v>
      </c>
      <c r="L3057" s="187" t="s">
        <v>173</v>
      </c>
      <c r="M3057" s="187" t="s">
        <v>175</v>
      </c>
    </row>
    <row r="3058" spans="1:13" s="188" customFormat="1">
      <c r="A3058" s="185" t="s">
        <v>1447</v>
      </c>
      <c r="B3058" s="133" t="s">
        <v>6446</v>
      </c>
      <c r="C3058" s="185" t="s">
        <v>3023</v>
      </c>
      <c r="D3058" s="133" t="s">
        <v>6445</v>
      </c>
      <c r="E3058" s="134">
        <v>1</v>
      </c>
      <c r="F3058" s="135" t="s">
        <v>1449</v>
      </c>
      <c r="G3058" s="185" t="s">
        <v>15</v>
      </c>
      <c r="H3058" s="185" t="s">
        <v>15</v>
      </c>
      <c r="I3058" s="185" t="s">
        <v>15</v>
      </c>
      <c r="J3058" s="135" t="s">
        <v>1450</v>
      </c>
      <c r="K3058" s="186">
        <v>840</v>
      </c>
      <c r="L3058" s="187" t="s">
        <v>173</v>
      </c>
      <c r="M3058" s="187" t="s">
        <v>175</v>
      </c>
    </row>
    <row r="3059" spans="1:13" s="188" customFormat="1">
      <c r="A3059" s="185" t="s">
        <v>1447</v>
      </c>
      <c r="B3059" s="133" t="s">
        <v>6447</v>
      </c>
      <c r="C3059" s="185" t="s">
        <v>3023</v>
      </c>
      <c r="D3059" s="133" t="s">
        <v>6445</v>
      </c>
      <c r="E3059" s="134">
        <v>1</v>
      </c>
      <c r="F3059" s="135" t="s">
        <v>1449</v>
      </c>
      <c r="G3059" s="185" t="s">
        <v>15</v>
      </c>
      <c r="H3059" s="185" t="s">
        <v>15</v>
      </c>
      <c r="I3059" s="185" t="s">
        <v>15</v>
      </c>
      <c r="J3059" s="135" t="s">
        <v>1450</v>
      </c>
      <c r="K3059" s="186">
        <v>720</v>
      </c>
      <c r="L3059" s="187" t="s">
        <v>173</v>
      </c>
      <c r="M3059" s="187" t="s">
        <v>175</v>
      </c>
    </row>
    <row r="3060" spans="1:13" s="188" customFormat="1">
      <c r="A3060" s="185" t="s">
        <v>1447</v>
      </c>
      <c r="B3060" s="133" t="s">
        <v>6448</v>
      </c>
      <c r="C3060" s="185" t="s">
        <v>3023</v>
      </c>
      <c r="D3060" s="133" t="s">
        <v>6445</v>
      </c>
      <c r="E3060" s="134">
        <v>1</v>
      </c>
      <c r="F3060" s="135" t="s">
        <v>1449</v>
      </c>
      <c r="G3060" s="185" t="s">
        <v>15</v>
      </c>
      <c r="H3060" s="185" t="s">
        <v>15</v>
      </c>
      <c r="I3060" s="185" t="s">
        <v>15</v>
      </c>
      <c r="J3060" s="135" t="s">
        <v>1450</v>
      </c>
      <c r="K3060" s="186">
        <v>528</v>
      </c>
      <c r="L3060" s="187" t="s">
        <v>173</v>
      </c>
      <c r="M3060" s="187" t="s">
        <v>175</v>
      </c>
    </row>
    <row r="3061" spans="1:13" s="188" customFormat="1">
      <c r="A3061" s="185" t="s">
        <v>1447</v>
      </c>
      <c r="B3061" s="133" t="s">
        <v>6449</v>
      </c>
      <c r="C3061" s="185" t="s">
        <v>3023</v>
      </c>
      <c r="D3061" s="133" t="s">
        <v>6445</v>
      </c>
      <c r="E3061" s="134">
        <v>1</v>
      </c>
      <c r="F3061" s="135" t="s">
        <v>1449</v>
      </c>
      <c r="G3061" s="185" t="s">
        <v>15</v>
      </c>
      <c r="H3061" s="185" t="s">
        <v>15</v>
      </c>
      <c r="I3061" s="185" t="s">
        <v>15</v>
      </c>
      <c r="J3061" s="135" t="s">
        <v>1450</v>
      </c>
      <c r="K3061" s="186">
        <v>408</v>
      </c>
      <c r="L3061" s="187" t="s">
        <v>173</v>
      </c>
      <c r="M3061" s="187" t="s">
        <v>175</v>
      </c>
    </row>
    <row r="3062" spans="1:13" s="188" customFormat="1">
      <c r="A3062" s="185" t="s">
        <v>1447</v>
      </c>
      <c r="B3062" s="133" t="s">
        <v>6450</v>
      </c>
      <c r="C3062" s="185" t="s">
        <v>3023</v>
      </c>
      <c r="D3062" s="133" t="s">
        <v>6451</v>
      </c>
      <c r="E3062" s="134">
        <v>1</v>
      </c>
      <c r="F3062" s="135" t="s">
        <v>1449</v>
      </c>
      <c r="G3062" s="185" t="s">
        <v>15</v>
      </c>
      <c r="H3062" s="185" t="s">
        <v>15</v>
      </c>
      <c r="I3062" s="185" t="s">
        <v>15</v>
      </c>
      <c r="J3062" s="135" t="s">
        <v>1450</v>
      </c>
      <c r="K3062" s="186">
        <v>1128</v>
      </c>
      <c r="L3062" s="187" t="s">
        <v>173</v>
      </c>
      <c r="M3062" s="187" t="s">
        <v>175</v>
      </c>
    </row>
    <row r="3063" spans="1:13" s="188" customFormat="1">
      <c r="A3063" s="185" t="s">
        <v>1447</v>
      </c>
      <c r="B3063" s="133" t="s">
        <v>6452</v>
      </c>
      <c r="C3063" s="185" t="s">
        <v>3023</v>
      </c>
      <c r="D3063" s="133" t="s">
        <v>6451</v>
      </c>
      <c r="E3063" s="134">
        <v>1</v>
      </c>
      <c r="F3063" s="135" t="s">
        <v>1449</v>
      </c>
      <c r="G3063" s="185" t="s">
        <v>15</v>
      </c>
      <c r="H3063" s="185" t="s">
        <v>15</v>
      </c>
      <c r="I3063" s="185" t="s">
        <v>15</v>
      </c>
      <c r="J3063" s="135" t="s">
        <v>1450</v>
      </c>
      <c r="K3063" s="186">
        <v>840</v>
      </c>
      <c r="L3063" s="187" t="s">
        <v>173</v>
      </c>
      <c r="M3063" s="187" t="s">
        <v>175</v>
      </c>
    </row>
    <row r="3064" spans="1:13" s="188" customFormat="1">
      <c r="A3064" s="185" t="s">
        <v>1447</v>
      </c>
      <c r="B3064" s="133" t="s">
        <v>6453</v>
      </c>
      <c r="C3064" s="185" t="s">
        <v>3023</v>
      </c>
      <c r="D3064" s="133" t="s">
        <v>6451</v>
      </c>
      <c r="E3064" s="134">
        <v>1</v>
      </c>
      <c r="F3064" s="135" t="s">
        <v>1449</v>
      </c>
      <c r="G3064" s="185" t="s">
        <v>15</v>
      </c>
      <c r="H3064" s="185" t="s">
        <v>15</v>
      </c>
      <c r="I3064" s="185" t="s">
        <v>15</v>
      </c>
      <c r="J3064" s="135" t="s">
        <v>1450</v>
      </c>
      <c r="K3064" s="186">
        <v>720</v>
      </c>
      <c r="L3064" s="187" t="s">
        <v>173</v>
      </c>
      <c r="M3064" s="187" t="s">
        <v>175</v>
      </c>
    </row>
    <row r="3065" spans="1:13" s="188" customFormat="1">
      <c r="A3065" s="185" t="s">
        <v>1447</v>
      </c>
      <c r="B3065" s="133" t="s">
        <v>6454</v>
      </c>
      <c r="C3065" s="185" t="s">
        <v>3023</v>
      </c>
      <c r="D3065" s="133" t="s">
        <v>6451</v>
      </c>
      <c r="E3065" s="134">
        <v>1</v>
      </c>
      <c r="F3065" s="135" t="s">
        <v>1449</v>
      </c>
      <c r="G3065" s="185" t="s">
        <v>15</v>
      </c>
      <c r="H3065" s="185" t="s">
        <v>15</v>
      </c>
      <c r="I3065" s="185" t="s">
        <v>15</v>
      </c>
      <c r="J3065" s="135" t="s">
        <v>1450</v>
      </c>
      <c r="K3065" s="186">
        <v>528</v>
      </c>
      <c r="L3065" s="187" t="s">
        <v>173</v>
      </c>
      <c r="M3065" s="187" t="s">
        <v>175</v>
      </c>
    </row>
    <row r="3066" spans="1:13" s="188" customFormat="1">
      <c r="A3066" s="185" t="s">
        <v>1447</v>
      </c>
      <c r="B3066" s="133" t="s">
        <v>6455</v>
      </c>
      <c r="C3066" s="185" t="s">
        <v>3023</v>
      </c>
      <c r="D3066" s="133" t="s">
        <v>6451</v>
      </c>
      <c r="E3066" s="134">
        <v>1</v>
      </c>
      <c r="F3066" s="135" t="s">
        <v>1449</v>
      </c>
      <c r="G3066" s="185" t="s">
        <v>15</v>
      </c>
      <c r="H3066" s="185" t="s">
        <v>15</v>
      </c>
      <c r="I3066" s="185" t="s">
        <v>15</v>
      </c>
      <c r="J3066" s="135" t="s">
        <v>1450</v>
      </c>
      <c r="K3066" s="186">
        <v>408</v>
      </c>
      <c r="L3066" s="187" t="s">
        <v>173</v>
      </c>
      <c r="M3066" s="187" t="s">
        <v>175</v>
      </c>
    </row>
    <row r="3067" spans="1:13" s="188" customFormat="1">
      <c r="A3067" s="185" t="s">
        <v>1447</v>
      </c>
      <c r="B3067" s="133" t="s">
        <v>6456</v>
      </c>
      <c r="C3067" s="185" t="s">
        <v>3023</v>
      </c>
      <c r="D3067" s="133" t="s">
        <v>6457</v>
      </c>
      <c r="E3067" s="134">
        <v>1</v>
      </c>
      <c r="F3067" s="135" t="s">
        <v>1449</v>
      </c>
      <c r="G3067" s="185" t="s">
        <v>15</v>
      </c>
      <c r="H3067" s="185" t="s">
        <v>15</v>
      </c>
      <c r="I3067" s="185" t="s">
        <v>15</v>
      </c>
      <c r="J3067" s="135" t="s">
        <v>1450</v>
      </c>
      <c r="K3067" s="186">
        <v>87156</v>
      </c>
      <c r="L3067" s="187" t="s">
        <v>173</v>
      </c>
      <c r="M3067" s="187" t="s">
        <v>175</v>
      </c>
    </row>
    <row r="3068" spans="1:13" s="188" customFormat="1">
      <c r="A3068" s="185" t="s">
        <v>1447</v>
      </c>
      <c r="B3068" s="133" t="s">
        <v>6458</v>
      </c>
      <c r="C3068" s="185" t="s">
        <v>3023</v>
      </c>
      <c r="D3068" s="133" t="s">
        <v>6457</v>
      </c>
      <c r="E3068" s="134">
        <v>1</v>
      </c>
      <c r="F3068" s="135" t="s">
        <v>1449</v>
      </c>
      <c r="G3068" s="185" t="s">
        <v>15</v>
      </c>
      <c r="H3068" s="185" t="s">
        <v>15</v>
      </c>
      <c r="I3068" s="185" t="s">
        <v>15</v>
      </c>
      <c r="J3068" s="135" t="s">
        <v>1450</v>
      </c>
      <c r="K3068" s="186">
        <v>49800</v>
      </c>
      <c r="L3068" s="187" t="s">
        <v>173</v>
      </c>
      <c r="M3068" s="187" t="s">
        <v>175</v>
      </c>
    </row>
    <row r="3069" spans="1:13" s="188" customFormat="1">
      <c r="A3069" s="185" t="s">
        <v>1447</v>
      </c>
      <c r="B3069" s="133" t="s">
        <v>6459</v>
      </c>
      <c r="C3069" s="185" t="s">
        <v>3023</v>
      </c>
      <c r="D3069" s="133" t="s">
        <v>6457</v>
      </c>
      <c r="E3069" s="134">
        <v>1</v>
      </c>
      <c r="F3069" s="135" t="s">
        <v>1449</v>
      </c>
      <c r="G3069" s="185" t="s">
        <v>15</v>
      </c>
      <c r="H3069" s="185" t="s">
        <v>15</v>
      </c>
      <c r="I3069" s="185" t="s">
        <v>15</v>
      </c>
      <c r="J3069" s="135" t="s">
        <v>1450</v>
      </c>
      <c r="K3069" s="186">
        <v>37356</v>
      </c>
      <c r="L3069" s="187" t="s">
        <v>173</v>
      </c>
      <c r="M3069" s="187" t="s">
        <v>175</v>
      </c>
    </row>
    <row r="3070" spans="1:13" s="188" customFormat="1">
      <c r="A3070" s="185" t="s">
        <v>1447</v>
      </c>
      <c r="B3070" s="133" t="s">
        <v>6460</v>
      </c>
      <c r="C3070" s="185" t="s">
        <v>3023</v>
      </c>
      <c r="D3070" s="133" t="s">
        <v>6457</v>
      </c>
      <c r="E3070" s="134">
        <v>1</v>
      </c>
      <c r="F3070" s="135" t="s">
        <v>1449</v>
      </c>
      <c r="G3070" s="185" t="s">
        <v>15</v>
      </c>
      <c r="H3070" s="185" t="s">
        <v>15</v>
      </c>
      <c r="I3070" s="185" t="s">
        <v>15</v>
      </c>
      <c r="J3070" s="135" t="s">
        <v>1450</v>
      </c>
      <c r="K3070" s="186">
        <v>31128</v>
      </c>
      <c r="L3070" s="187" t="s">
        <v>173</v>
      </c>
      <c r="M3070" s="187" t="s">
        <v>175</v>
      </c>
    </row>
    <row r="3071" spans="1:13" s="188" customFormat="1">
      <c r="A3071" s="185" t="s">
        <v>1447</v>
      </c>
      <c r="B3071" s="133" t="s">
        <v>6461</v>
      </c>
      <c r="C3071" s="185" t="s">
        <v>3023</v>
      </c>
      <c r="D3071" s="133" t="s">
        <v>6457</v>
      </c>
      <c r="E3071" s="134">
        <v>1</v>
      </c>
      <c r="F3071" s="135" t="s">
        <v>1449</v>
      </c>
      <c r="G3071" s="185" t="s">
        <v>15</v>
      </c>
      <c r="H3071" s="185" t="s">
        <v>15</v>
      </c>
      <c r="I3071" s="185" t="s">
        <v>15</v>
      </c>
      <c r="J3071" s="135" t="s">
        <v>1450</v>
      </c>
      <c r="K3071" s="186">
        <v>18672</v>
      </c>
      <c r="L3071" s="187" t="s">
        <v>173</v>
      </c>
      <c r="M3071" s="187" t="s">
        <v>175</v>
      </c>
    </row>
    <row r="3072" spans="1:13" s="188" customFormat="1">
      <c r="A3072" s="185" t="s">
        <v>1447</v>
      </c>
      <c r="B3072" s="133" t="s">
        <v>6462</v>
      </c>
      <c r="C3072" s="185" t="s">
        <v>3023</v>
      </c>
      <c r="D3072" s="133" t="s">
        <v>6463</v>
      </c>
      <c r="E3072" s="134">
        <v>1</v>
      </c>
      <c r="F3072" s="135" t="s">
        <v>1449</v>
      </c>
      <c r="G3072" s="185" t="s">
        <v>15</v>
      </c>
      <c r="H3072" s="185" t="s">
        <v>15</v>
      </c>
      <c r="I3072" s="185" t="s">
        <v>15</v>
      </c>
      <c r="J3072" s="135" t="s">
        <v>1450</v>
      </c>
      <c r="K3072" s="186">
        <v>8712</v>
      </c>
      <c r="L3072" s="187" t="s">
        <v>173</v>
      </c>
      <c r="M3072" s="187" t="s">
        <v>175</v>
      </c>
    </row>
    <row r="3073" spans="1:13" s="188" customFormat="1">
      <c r="A3073" s="185" t="s">
        <v>1447</v>
      </c>
      <c r="B3073" s="133" t="s">
        <v>6464</v>
      </c>
      <c r="C3073" s="185" t="s">
        <v>3023</v>
      </c>
      <c r="D3073" s="133" t="s">
        <v>6465</v>
      </c>
      <c r="E3073" s="134">
        <v>1</v>
      </c>
      <c r="F3073" s="135" t="s">
        <v>1449</v>
      </c>
      <c r="G3073" s="185" t="s">
        <v>15</v>
      </c>
      <c r="H3073" s="185" t="s">
        <v>15</v>
      </c>
      <c r="I3073" s="185" t="s">
        <v>15</v>
      </c>
      <c r="J3073" s="135" t="s">
        <v>1450</v>
      </c>
      <c r="K3073" s="186">
        <v>6228</v>
      </c>
      <c r="L3073" s="187" t="s">
        <v>173</v>
      </c>
      <c r="M3073" s="187" t="s">
        <v>175</v>
      </c>
    </row>
    <row r="3074" spans="1:13" s="188" customFormat="1">
      <c r="A3074" s="185" t="s">
        <v>1447</v>
      </c>
      <c r="B3074" s="133" t="s">
        <v>6466</v>
      </c>
      <c r="C3074" s="185" t="s">
        <v>3023</v>
      </c>
      <c r="D3074" s="133" t="s">
        <v>6467</v>
      </c>
      <c r="E3074" s="134">
        <v>1</v>
      </c>
      <c r="F3074" s="135" t="s">
        <v>1449</v>
      </c>
      <c r="G3074" s="185" t="s">
        <v>15</v>
      </c>
      <c r="H3074" s="185" t="s">
        <v>15</v>
      </c>
      <c r="I3074" s="185" t="s">
        <v>15</v>
      </c>
      <c r="J3074" s="135" t="s">
        <v>1450</v>
      </c>
      <c r="K3074" s="186">
        <v>6120</v>
      </c>
      <c r="L3074" s="187" t="s">
        <v>173</v>
      </c>
      <c r="M3074" s="187" t="s">
        <v>175</v>
      </c>
    </row>
    <row r="3075" spans="1:13" s="188" customFormat="1">
      <c r="A3075" s="185" t="s">
        <v>1447</v>
      </c>
      <c r="B3075" s="133" t="s">
        <v>6468</v>
      </c>
      <c r="C3075" s="185" t="s">
        <v>3023</v>
      </c>
      <c r="D3075" s="133" t="s">
        <v>6467</v>
      </c>
      <c r="E3075" s="134">
        <v>1</v>
      </c>
      <c r="F3075" s="135" t="s">
        <v>1449</v>
      </c>
      <c r="G3075" s="185" t="s">
        <v>15</v>
      </c>
      <c r="H3075" s="185" t="s">
        <v>15</v>
      </c>
      <c r="I3075" s="185" t="s">
        <v>15</v>
      </c>
      <c r="J3075" s="135" t="s">
        <v>1450</v>
      </c>
      <c r="K3075" s="186">
        <v>4764</v>
      </c>
      <c r="L3075" s="187" t="s">
        <v>173</v>
      </c>
      <c r="M3075" s="187" t="s">
        <v>175</v>
      </c>
    </row>
    <row r="3076" spans="1:13" s="188" customFormat="1">
      <c r="A3076" s="185" t="s">
        <v>1447</v>
      </c>
      <c r="B3076" s="133" t="s">
        <v>6469</v>
      </c>
      <c r="C3076" s="185" t="s">
        <v>3023</v>
      </c>
      <c r="D3076" s="133" t="s">
        <v>6467</v>
      </c>
      <c r="E3076" s="134">
        <v>1</v>
      </c>
      <c r="F3076" s="135" t="s">
        <v>1449</v>
      </c>
      <c r="G3076" s="185" t="s">
        <v>15</v>
      </c>
      <c r="H3076" s="185" t="s">
        <v>15</v>
      </c>
      <c r="I3076" s="185" t="s">
        <v>15</v>
      </c>
      <c r="J3076" s="135" t="s">
        <v>1450</v>
      </c>
      <c r="K3076" s="186">
        <v>3840</v>
      </c>
      <c r="L3076" s="187" t="s">
        <v>173</v>
      </c>
      <c r="M3076" s="187" t="s">
        <v>175</v>
      </c>
    </row>
    <row r="3077" spans="1:13" s="188" customFormat="1">
      <c r="A3077" s="185" t="s">
        <v>1447</v>
      </c>
      <c r="B3077" s="133" t="s">
        <v>6470</v>
      </c>
      <c r="C3077" s="185" t="s">
        <v>3023</v>
      </c>
      <c r="D3077" s="133" t="s">
        <v>6467</v>
      </c>
      <c r="E3077" s="134">
        <v>1</v>
      </c>
      <c r="F3077" s="135" t="s">
        <v>1449</v>
      </c>
      <c r="G3077" s="185" t="s">
        <v>15</v>
      </c>
      <c r="H3077" s="185" t="s">
        <v>15</v>
      </c>
      <c r="I3077" s="185" t="s">
        <v>15</v>
      </c>
      <c r="J3077" s="135" t="s">
        <v>1450</v>
      </c>
      <c r="K3077" s="186">
        <v>3012</v>
      </c>
      <c r="L3077" s="187" t="s">
        <v>173</v>
      </c>
      <c r="M3077" s="187" t="s">
        <v>175</v>
      </c>
    </row>
    <row r="3078" spans="1:13" s="188" customFormat="1">
      <c r="A3078" s="185" t="s">
        <v>1447</v>
      </c>
      <c r="B3078" s="133" t="s">
        <v>6471</v>
      </c>
      <c r="C3078" s="185" t="s">
        <v>3023</v>
      </c>
      <c r="D3078" s="133" t="s">
        <v>6467</v>
      </c>
      <c r="E3078" s="134">
        <v>1</v>
      </c>
      <c r="F3078" s="135" t="s">
        <v>1449</v>
      </c>
      <c r="G3078" s="185" t="s">
        <v>15</v>
      </c>
      <c r="H3078" s="185" t="s">
        <v>15</v>
      </c>
      <c r="I3078" s="185" t="s">
        <v>15</v>
      </c>
      <c r="J3078" s="135" t="s">
        <v>1450</v>
      </c>
      <c r="K3078" s="186">
        <v>2388</v>
      </c>
      <c r="L3078" s="187" t="s">
        <v>173</v>
      </c>
      <c r="M3078" s="187" t="s">
        <v>175</v>
      </c>
    </row>
    <row r="3079" spans="1:13" s="188" customFormat="1">
      <c r="A3079" s="185" t="s">
        <v>1447</v>
      </c>
      <c r="B3079" s="133" t="s">
        <v>6472</v>
      </c>
      <c r="C3079" s="185" t="s">
        <v>3023</v>
      </c>
      <c r="D3079" s="133" t="s">
        <v>6467</v>
      </c>
      <c r="E3079" s="134">
        <v>1</v>
      </c>
      <c r="F3079" s="135" t="s">
        <v>1449</v>
      </c>
      <c r="G3079" s="185" t="s">
        <v>15</v>
      </c>
      <c r="H3079" s="185" t="s">
        <v>15</v>
      </c>
      <c r="I3079" s="185" t="s">
        <v>15</v>
      </c>
      <c r="J3079" s="135" t="s">
        <v>1450</v>
      </c>
      <c r="K3079" s="186">
        <v>1968</v>
      </c>
      <c r="L3079" s="187" t="s">
        <v>173</v>
      </c>
      <c r="M3079" s="187" t="s">
        <v>175</v>
      </c>
    </row>
    <row r="3080" spans="1:13" s="188" customFormat="1">
      <c r="A3080" s="185" t="s">
        <v>1447</v>
      </c>
      <c r="B3080" s="133" t="s">
        <v>6473</v>
      </c>
      <c r="C3080" s="185" t="s">
        <v>3023</v>
      </c>
      <c r="D3080" s="133" t="s">
        <v>6467</v>
      </c>
      <c r="E3080" s="134">
        <v>1</v>
      </c>
      <c r="F3080" s="135" t="s">
        <v>1449</v>
      </c>
      <c r="G3080" s="185" t="s">
        <v>15</v>
      </c>
      <c r="H3080" s="185" t="s">
        <v>15</v>
      </c>
      <c r="I3080" s="185" t="s">
        <v>15</v>
      </c>
      <c r="J3080" s="135" t="s">
        <v>1450</v>
      </c>
      <c r="K3080" s="186">
        <v>1872</v>
      </c>
      <c r="L3080" s="187" t="s">
        <v>173</v>
      </c>
      <c r="M3080" s="187" t="s">
        <v>175</v>
      </c>
    </row>
    <row r="3081" spans="1:13" s="188" customFormat="1">
      <c r="A3081" s="185" t="s">
        <v>1447</v>
      </c>
      <c r="B3081" s="133" t="s">
        <v>6474</v>
      </c>
      <c r="C3081" s="185" t="s">
        <v>3023</v>
      </c>
      <c r="D3081" s="133" t="s">
        <v>6475</v>
      </c>
      <c r="E3081" s="134">
        <v>1</v>
      </c>
      <c r="F3081" s="135" t="s">
        <v>1449</v>
      </c>
      <c r="G3081" s="185" t="s">
        <v>15</v>
      </c>
      <c r="H3081" s="185" t="s">
        <v>15</v>
      </c>
      <c r="I3081" s="185" t="s">
        <v>15</v>
      </c>
      <c r="J3081" s="135" t="s">
        <v>1450</v>
      </c>
      <c r="K3081" s="186">
        <v>5196</v>
      </c>
      <c r="L3081" s="187" t="s">
        <v>173</v>
      </c>
      <c r="M3081" s="187" t="s">
        <v>175</v>
      </c>
    </row>
    <row r="3082" spans="1:13" s="188" customFormat="1">
      <c r="A3082" s="185" t="s">
        <v>1447</v>
      </c>
      <c r="B3082" s="133" t="s">
        <v>6476</v>
      </c>
      <c r="C3082" s="185" t="s">
        <v>3023</v>
      </c>
      <c r="D3082" s="133" t="s">
        <v>6475</v>
      </c>
      <c r="E3082" s="134">
        <v>1</v>
      </c>
      <c r="F3082" s="135" t="s">
        <v>1449</v>
      </c>
      <c r="G3082" s="185" t="s">
        <v>15</v>
      </c>
      <c r="H3082" s="185" t="s">
        <v>15</v>
      </c>
      <c r="I3082" s="185" t="s">
        <v>15</v>
      </c>
      <c r="J3082" s="135" t="s">
        <v>1450</v>
      </c>
      <c r="K3082" s="186">
        <v>4980</v>
      </c>
      <c r="L3082" s="187" t="s">
        <v>173</v>
      </c>
      <c r="M3082" s="187" t="s">
        <v>175</v>
      </c>
    </row>
    <row r="3083" spans="1:13" s="188" customFormat="1">
      <c r="A3083" s="185" t="s">
        <v>1447</v>
      </c>
      <c r="B3083" s="133" t="s">
        <v>6477</v>
      </c>
      <c r="C3083" s="185" t="s">
        <v>3023</v>
      </c>
      <c r="D3083" s="133" t="s">
        <v>6475</v>
      </c>
      <c r="E3083" s="134">
        <v>1</v>
      </c>
      <c r="F3083" s="135" t="s">
        <v>1449</v>
      </c>
      <c r="G3083" s="185" t="s">
        <v>15</v>
      </c>
      <c r="H3083" s="185" t="s">
        <v>15</v>
      </c>
      <c r="I3083" s="185" t="s">
        <v>15</v>
      </c>
      <c r="J3083" s="135" t="s">
        <v>1450</v>
      </c>
      <c r="K3083" s="186">
        <v>4884</v>
      </c>
      <c r="L3083" s="187" t="s">
        <v>173</v>
      </c>
      <c r="M3083" s="187" t="s">
        <v>175</v>
      </c>
    </row>
    <row r="3084" spans="1:13" s="188" customFormat="1">
      <c r="A3084" s="185" t="s">
        <v>1447</v>
      </c>
      <c r="B3084" s="133" t="s">
        <v>6478</v>
      </c>
      <c r="C3084" s="185" t="s">
        <v>3023</v>
      </c>
      <c r="D3084" s="133" t="s">
        <v>6475</v>
      </c>
      <c r="E3084" s="134">
        <v>1</v>
      </c>
      <c r="F3084" s="135" t="s">
        <v>1449</v>
      </c>
      <c r="G3084" s="185" t="s">
        <v>15</v>
      </c>
      <c r="H3084" s="185" t="s">
        <v>15</v>
      </c>
      <c r="I3084" s="185" t="s">
        <v>15</v>
      </c>
      <c r="J3084" s="135" t="s">
        <v>1450</v>
      </c>
      <c r="K3084" s="186">
        <v>4572</v>
      </c>
      <c r="L3084" s="187" t="s">
        <v>173</v>
      </c>
      <c r="M3084" s="187" t="s">
        <v>175</v>
      </c>
    </row>
    <row r="3085" spans="1:13" s="188" customFormat="1">
      <c r="A3085" s="185" t="s">
        <v>1447</v>
      </c>
      <c r="B3085" s="133" t="s">
        <v>6479</v>
      </c>
      <c r="C3085" s="185" t="s">
        <v>3023</v>
      </c>
      <c r="D3085" s="133" t="s">
        <v>6475</v>
      </c>
      <c r="E3085" s="134">
        <v>1</v>
      </c>
      <c r="F3085" s="135" t="s">
        <v>1449</v>
      </c>
      <c r="G3085" s="185" t="s">
        <v>15</v>
      </c>
      <c r="H3085" s="185" t="s">
        <v>15</v>
      </c>
      <c r="I3085" s="185" t="s">
        <v>15</v>
      </c>
      <c r="J3085" s="135" t="s">
        <v>1450</v>
      </c>
      <c r="K3085" s="186">
        <v>3528</v>
      </c>
      <c r="L3085" s="187" t="s">
        <v>173</v>
      </c>
      <c r="M3085" s="187" t="s">
        <v>175</v>
      </c>
    </row>
    <row r="3086" spans="1:13" s="188" customFormat="1">
      <c r="A3086" s="185" t="s">
        <v>1447</v>
      </c>
      <c r="B3086" s="133" t="s">
        <v>6480</v>
      </c>
      <c r="C3086" s="185" t="s">
        <v>3023</v>
      </c>
      <c r="D3086" s="133" t="s">
        <v>6475</v>
      </c>
      <c r="E3086" s="134">
        <v>1</v>
      </c>
      <c r="F3086" s="135" t="s">
        <v>1449</v>
      </c>
      <c r="G3086" s="185" t="s">
        <v>15</v>
      </c>
      <c r="H3086" s="185" t="s">
        <v>15</v>
      </c>
      <c r="I3086" s="185" t="s">
        <v>15</v>
      </c>
      <c r="J3086" s="135" t="s">
        <v>1450</v>
      </c>
      <c r="K3086" s="186">
        <v>2592</v>
      </c>
      <c r="L3086" s="187" t="s">
        <v>173</v>
      </c>
      <c r="M3086" s="187" t="s">
        <v>175</v>
      </c>
    </row>
    <row r="3087" spans="1:13" s="188" customFormat="1">
      <c r="A3087" s="185" t="s">
        <v>1447</v>
      </c>
      <c r="B3087" s="133" t="s">
        <v>6481</v>
      </c>
      <c r="C3087" s="185" t="s">
        <v>3023</v>
      </c>
      <c r="D3087" s="133" t="s">
        <v>6475</v>
      </c>
      <c r="E3087" s="134">
        <v>1</v>
      </c>
      <c r="F3087" s="135" t="s">
        <v>1449</v>
      </c>
      <c r="G3087" s="185" t="s">
        <v>15</v>
      </c>
      <c r="H3087" s="185" t="s">
        <v>15</v>
      </c>
      <c r="I3087" s="185" t="s">
        <v>15</v>
      </c>
      <c r="J3087" s="135" t="s">
        <v>1450</v>
      </c>
      <c r="K3087" s="186">
        <v>1968</v>
      </c>
      <c r="L3087" s="187" t="s">
        <v>173</v>
      </c>
      <c r="M3087" s="187" t="s">
        <v>175</v>
      </c>
    </row>
    <row r="3088" spans="1:13" s="188" customFormat="1">
      <c r="A3088" s="185" t="s">
        <v>1447</v>
      </c>
      <c r="B3088" s="133" t="s">
        <v>6482</v>
      </c>
      <c r="C3088" s="185" t="s">
        <v>3023</v>
      </c>
      <c r="D3088" s="133" t="s">
        <v>6475</v>
      </c>
      <c r="E3088" s="134">
        <v>1</v>
      </c>
      <c r="F3088" s="135" t="s">
        <v>1449</v>
      </c>
      <c r="G3088" s="185" t="s">
        <v>15</v>
      </c>
      <c r="H3088" s="185" t="s">
        <v>15</v>
      </c>
      <c r="I3088" s="185" t="s">
        <v>15</v>
      </c>
      <c r="J3088" s="135" t="s">
        <v>1450</v>
      </c>
      <c r="K3088" s="186">
        <v>1560</v>
      </c>
      <c r="L3088" s="187" t="s">
        <v>173</v>
      </c>
      <c r="M3088" s="187" t="s">
        <v>175</v>
      </c>
    </row>
    <row r="3089" spans="1:13" s="188" customFormat="1">
      <c r="A3089" s="185" t="s">
        <v>1447</v>
      </c>
      <c r="B3089" s="133" t="s">
        <v>6483</v>
      </c>
      <c r="C3089" s="185" t="s">
        <v>3023</v>
      </c>
      <c r="D3089" s="133" t="s">
        <v>6475</v>
      </c>
      <c r="E3089" s="134">
        <v>1</v>
      </c>
      <c r="F3089" s="135" t="s">
        <v>1449</v>
      </c>
      <c r="G3089" s="185" t="s">
        <v>15</v>
      </c>
      <c r="H3089" s="185" t="s">
        <v>15</v>
      </c>
      <c r="I3089" s="185" t="s">
        <v>15</v>
      </c>
      <c r="J3089" s="135" t="s">
        <v>1450</v>
      </c>
      <c r="K3089" s="186">
        <v>1344</v>
      </c>
      <c r="L3089" s="187" t="s">
        <v>173</v>
      </c>
      <c r="M3089" s="187" t="s">
        <v>175</v>
      </c>
    </row>
    <row r="3090" spans="1:13" s="188" customFormat="1">
      <c r="A3090" s="185" t="s">
        <v>1447</v>
      </c>
      <c r="B3090" s="133" t="s">
        <v>6484</v>
      </c>
      <c r="C3090" s="185" t="s">
        <v>3023</v>
      </c>
      <c r="D3090" s="133" t="s">
        <v>6485</v>
      </c>
      <c r="E3090" s="134">
        <v>1</v>
      </c>
      <c r="F3090" s="135" t="s">
        <v>1449</v>
      </c>
      <c r="G3090" s="185" t="s">
        <v>15</v>
      </c>
      <c r="H3090" s="185" t="s">
        <v>15</v>
      </c>
      <c r="I3090" s="185" t="s">
        <v>15</v>
      </c>
      <c r="J3090" s="135" t="s">
        <v>1450</v>
      </c>
      <c r="K3090" s="186">
        <v>1500</v>
      </c>
      <c r="L3090" s="187" t="s">
        <v>173</v>
      </c>
      <c r="M3090" s="187" t="s">
        <v>175</v>
      </c>
    </row>
    <row r="3091" spans="1:13" s="188" customFormat="1">
      <c r="A3091" s="185" t="s">
        <v>1447</v>
      </c>
      <c r="B3091" s="133" t="s">
        <v>6486</v>
      </c>
      <c r="C3091" s="185" t="s">
        <v>3023</v>
      </c>
      <c r="D3091" s="133" t="s">
        <v>6487</v>
      </c>
      <c r="E3091" s="134">
        <v>1</v>
      </c>
      <c r="F3091" s="135" t="s">
        <v>1449</v>
      </c>
      <c r="G3091" s="185" t="s">
        <v>15</v>
      </c>
      <c r="H3091" s="185" t="s">
        <v>15</v>
      </c>
      <c r="I3091" s="185" t="s">
        <v>15</v>
      </c>
      <c r="J3091" s="135" t="s">
        <v>1450</v>
      </c>
      <c r="K3091" s="186">
        <v>1248</v>
      </c>
      <c r="L3091" s="187" t="s">
        <v>173</v>
      </c>
      <c r="M3091" s="187" t="s">
        <v>175</v>
      </c>
    </row>
    <row r="3092" spans="1:13" s="188" customFormat="1">
      <c r="A3092" s="185" t="s">
        <v>1447</v>
      </c>
      <c r="B3092" s="133" t="s">
        <v>6488</v>
      </c>
      <c r="C3092" s="185" t="s">
        <v>3023</v>
      </c>
      <c r="D3092" s="133" t="s">
        <v>1846</v>
      </c>
      <c r="E3092" s="134">
        <v>1</v>
      </c>
      <c r="F3092" s="135" t="s">
        <v>1449</v>
      </c>
      <c r="G3092" s="185" t="s">
        <v>15</v>
      </c>
      <c r="H3092" s="185" t="s">
        <v>15</v>
      </c>
      <c r="I3092" s="185" t="s">
        <v>15</v>
      </c>
      <c r="J3092" s="135" t="s">
        <v>1450</v>
      </c>
      <c r="K3092" s="186">
        <v>6228</v>
      </c>
      <c r="L3092" s="187" t="s">
        <v>173</v>
      </c>
      <c r="M3092" s="187" t="s">
        <v>175</v>
      </c>
    </row>
    <row r="3093" spans="1:13" s="188" customFormat="1">
      <c r="A3093" s="185" t="s">
        <v>1447</v>
      </c>
      <c r="B3093" s="133" t="s">
        <v>6489</v>
      </c>
      <c r="C3093" s="185" t="s">
        <v>3023</v>
      </c>
      <c r="D3093" s="133" t="s">
        <v>6490</v>
      </c>
      <c r="E3093" s="134">
        <v>1</v>
      </c>
      <c r="F3093" s="135" t="s">
        <v>1449</v>
      </c>
      <c r="G3093" s="185" t="s">
        <v>15</v>
      </c>
      <c r="H3093" s="185" t="s">
        <v>15</v>
      </c>
      <c r="I3093" s="185" t="s">
        <v>15</v>
      </c>
      <c r="J3093" s="135" t="s">
        <v>1450</v>
      </c>
      <c r="K3093" s="186">
        <v>74712</v>
      </c>
      <c r="L3093" s="187" t="s">
        <v>173</v>
      </c>
      <c r="M3093" s="187" t="s">
        <v>175</v>
      </c>
    </row>
    <row r="3094" spans="1:13" s="188" customFormat="1">
      <c r="A3094" s="185" t="s">
        <v>1447</v>
      </c>
      <c r="B3094" s="133" t="s">
        <v>6491</v>
      </c>
      <c r="C3094" s="185" t="s">
        <v>3023</v>
      </c>
      <c r="D3094" s="133" t="s">
        <v>6490</v>
      </c>
      <c r="E3094" s="134">
        <v>1</v>
      </c>
      <c r="F3094" s="135" t="s">
        <v>1449</v>
      </c>
      <c r="G3094" s="185" t="s">
        <v>15</v>
      </c>
      <c r="H3094" s="185" t="s">
        <v>15</v>
      </c>
      <c r="I3094" s="185" t="s">
        <v>15</v>
      </c>
      <c r="J3094" s="135" t="s">
        <v>1450</v>
      </c>
      <c r="K3094" s="186">
        <v>65364</v>
      </c>
      <c r="L3094" s="187" t="s">
        <v>173</v>
      </c>
      <c r="M3094" s="187" t="s">
        <v>175</v>
      </c>
    </row>
    <row r="3095" spans="1:13" s="188" customFormat="1">
      <c r="A3095" s="185" t="s">
        <v>1447</v>
      </c>
      <c r="B3095" s="133" t="s">
        <v>6492</v>
      </c>
      <c r="C3095" s="185" t="s">
        <v>3023</v>
      </c>
      <c r="D3095" s="133" t="s">
        <v>6490</v>
      </c>
      <c r="E3095" s="134">
        <v>1</v>
      </c>
      <c r="F3095" s="135" t="s">
        <v>1449</v>
      </c>
      <c r="G3095" s="185" t="s">
        <v>15</v>
      </c>
      <c r="H3095" s="185" t="s">
        <v>15</v>
      </c>
      <c r="I3095" s="185" t="s">
        <v>15</v>
      </c>
      <c r="J3095" s="135" t="s">
        <v>1450</v>
      </c>
      <c r="K3095" s="186">
        <v>56028</v>
      </c>
      <c r="L3095" s="187" t="s">
        <v>173</v>
      </c>
      <c r="M3095" s="187" t="s">
        <v>175</v>
      </c>
    </row>
    <row r="3096" spans="1:13" s="188" customFormat="1">
      <c r="A3096" s="185" t="s">
        <v>1447</v>
      </c>
      <c r="B3096" s="133" t="s">
        <v>6493</v>
      </c>
      <c r="C3096" s="185" t="s">
        <v>3023</v>
      </c>
      <c r="D3096" s="133" t="s">
        <v>6490</v>
      </c>
      <c r="E3096" s="134">
        <v>1</v>
      </c>
      <c r="F3096" s="135" t="s">
        <v>1449</v>
      </c>
      <c r="G3096" s="185" t="s">
        <v>15</v>
      </c>
      <c r="H3096" s="185" t="s">
        <v>15</v>
      </c>
      <c r="I3096" s="185" t="s">
        <v>15</v>
      </c>
      <c r="J3096" s="135" t="s">
        <v>1450</v>
      </c>
      <c r="K3096" s="186">
        <v>46692</v>
      </c>
      <c r="L3096" s="187" t="s">
        <v>173</v>
      </c>
      <c r="M3096" s="187" t="s">
        <v>175</v>
      </c>
    </row>
    <row r="3097" spans="1:13" s="188" customFormat="1">
      <c r="A3097" s="185" t="s">
        <v>1447</v>
      </c>
      <c r="B3097" s="133" t="s">
        <v>6494</v>
      </c>
      <c r="C3097" s="185" t="s">
        <v>3023</v>
      </c>
      <c r="D3097" s="133" t="s">
        <v>6490</v>
      </c>
      <c r="E3097" s="134">
        <v>1</v>
      </c>
      <c r="F3097" s="135" t="s">
        <v>1449</v>
      </c>
      <c r="G3097" s="185" t="s">
        <v>15</v>
      </c>
      <c r="H3097" s="185" t="s">
        <v>15</v>
      </c>
      <c r="I3097" s="185" t="s">
        <v>15</v>
      </c>
      <c r="J3097" s="135" t="s">
        <v>1450</v>
      </c>
      <c r="K3097" s="186">
        <v>37356</v>
      </c>
      <c r="L3097" s="187" t="s">
        <v>173</v>
      </c>
      <c r="M3097" s="187" t="s">
        <v>175</v>
      </c>
    </row>
    <row r="3098" spans="1:13" s="188" customFormat="1">
      <c r="A3098" s="185" t="s">
        <v>1447</v>
      </c>
      <c r="B3098" s="133" t="s">
        <v>6495</v>
      </c>
      <c r="C3098" s="185" t="s">
        <v>3023</v>
      </c>
      <c r="D3098" s="133" t="s">
        <v>6496</v>
      </c>
      <c r="E3098" s="134">
        <v>1</v>
      </c>
      <c r="F3098" s="135" t="s">
        <v>1449</v>
      </c>
      <c r="G3098" s="185" t="s">
        <v>15</v>
      </c>
      <c r="H3098" s="185" t="s">
        <v>15</v>
      </c>
      <c r="I3098" s="185" t="s">
        <v>15</v>
      </c>
      <c r="J3098" s="135" t="s">
        <v>1450</v>
      </c>
      <c r="K3098" s="186">
        <v>24900</v>
      </c>
      <c r="L3098" s="187" t="s">
        <v>173</v>
      </c>
      <c r="M3098" s="187" t="s">
        <v>175</v>
      </c>
    </row>
    <row r="3099" spans="1:13" s="188" customFormat="1">
      <c r="A3099" s="185" t="s">
        <v>1447</v>
      </c>
      <c r="B3099" s="133" t="s">
        <v>6497</v>
      </c>
      <c r="C3099" s="185" t="s">
        <v>3023</v>
      </c>
      <c r="D3099" s="133" t="s">
        <v>6496</v>
      </c>
      <c r="E3099" s="134">
        <v>1</v>
      </c>
      <c r="F3099" s="135" t="s">
        <v>1449</v>
      </c>
      <c r="G3099" s="185" t="s">
        <v>15</v>
      </c>
      <c r="H3099" s="185" t="s">
        <v>15</v>
      </c>
      <c r="I3099" s="185" t="s">
        <v>15</v>
      </c>
      <c r="J3099" s="135" t="s">
        <v>1450</v>
      </c>
      <c r="K3099" s="186">
        <v>21792</v>
      </c>
      <c r="L3099" s="187" t="s">
        <v>173</v>
      </c>
      <c r="M3099" s="187" t="s">
        <v>175</v>
      </c>
    </row>
    <row r="3100" spans="1:13" s="188" customFormat="1">
      <c r="A3100" s="185" t="s">
        <v>1447</v>
      </c>
      <c r="B3100" s="133" t="s">
        <v>6498</v>
      </c>
      <c r="C3100" s="185" t="s">
        <v>3023</v>
      </c>
      <c r="D3100" s="133" t="s">
        <v>6496</v>
      </c>
      <c r="E3100" s="134">
        <v>1</v>
      </c>
      <c r="F3100" s="135" t="s">
        <v>1449</v>
      </c>
      <c r="G3100" s="185" t="s">
        <v>15</v>
      </c>
      <c r="H3100" s="185" t="s">
        <v>15</v>
      </c>
      <c r="I3100" s="185" t="s">
        <v>15</v>
      </c>
      <c r="J3100" s="135" t="s">
        <v>1450</v>
      </c>
      <c r="K3100" s="186">
        <v>18672</v>
      </c>
      <c r="L3100" s="187" t="s">
        <v>173</v>
      </c>
      <c r="M3100" s="187" t="s">
        <v>175</v>
      </c>
    </row>
    <row r="3101" spans="1:13" s="188" customFormat="1">
      <c r="A3101" s="185" t="s">
        <v>1447</v>
      </c>
      <c r="B3101" s="133" t="s">
        <v>6499</v>
      </c>
      <c r="C3101" s="185" t="s">
        <v>3023</v>
      </c>
      <c r="D3101" s="133" t="s">
        <v>6496</v>
      </c>
      <c r="E3101" s="134">
        <v>1</v>
      </c>
      <c r="F3101" s="135" t="s">
        <v>1449</v>
      </c>
      <c r="G3101" s="185" t="s">
        <v>15</v>
      </c>
      <c r="H3101" s="185" t="s">
        <v>15</v>
      </c>
      <c r="I3101" s="185" t="s">
        <v>15</v>
      </c>
      <c r="J3101" s="135" t="s">
        <v>1450</v>
      </c>
      <c r="K3101" s="186">
        <v>15564</v>
      </c>
      <c r="L3101" s="187" t="s">
        <v>173</v>
      </c>
      <c r="M3101" s="187" t="s">
        <v>175</v>
      </c>
    </row>
    <row r="3102" spans="1:13" s="188" customFormat="1">
      <c r="A3102" s="185" t="s">
        <v>1447</v>
      </c>
      <c r="B3102" s="133" t="s">
        <v>6500</v>
      </c>
      <c r="C3102" s="185" t="s">
        <v>3023</v>
      </c>
      <c r="D3102" s="133" t="s">
        <v>6496</v>
      </c>
      <c r="E3102" s="134">
        <v>1</v>
      </c>
      <c r="F3102" s="135" t="s">
        <v>1449</v>
      </c>
      <c r="G3102" s="185" t="s">
        <v>15</v>
      </c>
      <c r="H3102" s="185" t="s">
        <v>15</v>
      </c>
      <c r="I3102" s="185" t="s">
        <v>15</v>
      </c>
      <c r="J3102" s="135" t="s">
        <v>1450</v>
      </c>
      <c r="K3102" s="186">
        <v>12456</v>
      </c>
      <c r="L3102" s="187" t="s">
        <v>173</v>
      </c>
      <c r="M3102" s="187" t="s">
        <v>175</v>
      </c>
    </row>
    <row r="3103" spans="1:13" s="188" customFormat="1">
      <c r="A3103" s="185" t="s">
        <v>1447</v>
      </c>
      <c r="B3103" s="133" t="s">
        <v>6501</v>
      </c>
      <c r="C3103" s="185" t="s">
        <v>3023</v>
      </c>
      <c r="D3103" s="133" t="s">
        <v>6502</v>
      </c>
      <c r="E3103" s="134">
        <v>1</v>
      </c>
      <c r="F3103" s="135" t="s">
        <v>1449</v>
      </c>
      <c r="G3103" s="185" t="s">
        <v>15</v>
      </c>
      <c r="H3103" s="185" t="s">
        <v>15</v>
      </c>
      <c r="I3103" s="185" t="s">
        <v>15</v>
      </c>
      <c r="J3103" s="135" t="s">
        <v>1450</v>
      </c>
      <c r="K3103" s="186">
        <v>18672</v>
      </c>
      <c r="L3103" s="187" t="s">
        <v>173</v>
      </c>
      <c r="M3103" s="187" t="s">
        <v>175</v>
      </c>
    </row>
    <row r="3104" spans="1:13" s="188" customFormat="1">
      <c r="A3104" s="185" t="s">
        <v>1447</v>
      </c>
      <c r="B3104" s="133" t="s">
        <v>6503</v>
      </c>
      <c r="C3104" s="185" t="s">
        <v>3023</v>
      </c>
      <c r="D3104" s="133" t="s">
        <v>6502</v>
      </c>
      <c r="E3104" s="134">
        <v>1</v>
      </c>
      <c r="F3104" s="135" t="s">
        <v>1449</v>
      </c>
      <c r="G3104" s="185" t="s">
        <v>15</v>
      </c>
      <c r="H3104" s="185" t="s">
        <v>15</v>
      </c>
      <c r="I3104" s="185" t="s">
        <v>15</v>
      </c>
      <c r="J3104" s="135" t="s">
        <v>1450</v>
      </c>
      <c r="K3104" s="186">
        <v>16368</v>
      </c>
      <c r="L3104" s="187" t="s">
        <v>173</v>
      </c>
      <c r="M3104" s="187" t="s">
        <v>175</v>
      </c>
    </row>
    <row r="3105" spans="1:13" s="188" customFormat="1">
      <c r="A3105" s="185" t="s">
        <v>1447</v>
      </c>
      <c r="B3105" s="133" t="s">
        <v>6504</v>
      </c>
      <c r="C3105" s="185" t="s">
        <v>3023</v>
      </c>
      <c r="D3105" s="133" t="s">
        <v>6502</v>
      </c>
      <c r="E3105" s="134">
        <v>1</v>
      </c>
      <c r="F3105" s="135" t="s">
        <v>1449</v>
      </c>
      <c r="G3105" s="185" t="s">
        <v>15</v>
      </c>
      <c r="H3105" s="185" t="s">
        <v>15</v>
      </c>
      <c r="I3105" s="185" t="s">
        <v>15</v>
      </c>
      <c r="J3105" s="135" t="s">
        <v>1450</v>
      </c>
      <c r="K3105" s="186">
        <v>14004</v>
      </c>
      <c r="L3105" s="187" t="s">
        <v>173</v>
      </c>
      <c r="M3105" s="187" t="s">
        <v>175</v>
      </c>
    </row>
    <row r="3106" spans="1:13" s="188" customFormat="1">
      <c r="A3106" s="185" t="s">
        <v>1447</v>
      </c>
      <c r="B3106" s="133" t="s">
        <v>6505</v>
      </c>
      <c r="C3106" s="185" t="s">
        <v>3023</v>
      </c>
      <c r="D3106" s="133" t="s">
        <v>6502</v>
      </c>
      <c r="E3106" s="134">
        <v>1</v>
      </c>
      <c r="F3106" s="135" t="s">
        <v>1449</v>
      </c>
      <c r="G3106" s="185" t="s">
        <v>15</v>
      </c>
      <c r="H3106" s="185" t="s">
        <v>15</v>
      </c>
      <c r="I3106" s="185" t="s">
        <v>15</v>
      </c>
      <c r="J3106" s="135" t="s">
        <v>1450</v>
      </c>
      <c r="K3106" s="186">
        <v>11700</v>
      </c>
      <c r="L3106" s="187" t="s">
        <v>173</v>
      </c>
      <c r="M3106" s="187" t="s">
        <v>175</v>
      </c>
    </row>
    <row r="3107" spans="1:13" s="188" customFormat="1">
      <c r="A3107" s="185" t="s">
        <v>1447</v>
      </c>
      <c r="B3107" s="133" t="s">
        <v>6506</v>
      </c>
      <c r="C3107" s="185" t="s">
        <v>3023</v>
      </c>
      <c r="D3107" s="133" t="s">
        <v>6502</v>
      </c>
      <c r="E3107" s="134">
        <v>1</v>
      </c>
      <c r="F3107" s="135" t="s">
        <v>1449</v>
      </c>
      <c r="G3107" s="185" t="s">
        <v>15</v>
      </c>
      <c r="H3107" s="185" t="s">
        <v>15</v>
      </c>
      <c r="I3107" s="185" t="s">
        <v>15</v>
      </c>
      <c r="J3107" s="135" t="s">
        <v>1450</v>
      </c>
      <c r="K3107" s="186">
        <v>9336</v>
      </c>
      <c r="L3107" s="187" t="s">
        <v>173</v>
      </c>
      <c r="M3107" s="187" t="s">
        <v>175</v>
      </c>
    </row>
    <row r="3108" spans="1:13" s="188" customFormat="1">
      <c r="A3108" s="185" t="s">
        <v>1447</v>
      </c>
      <c r="B3108" s="133" t="s">
        <v>6507</v>
      </c>
      <c r="C3108" s="185" t="s">
        <v>3023</v>
      </c>
      <c r="D3108" s="133" t="s">
        <v>1847</v>
      </c>
      <c r="E3108" s="134">
        <v>1</v>
      </c>
      <c r="F3108" s="135" t="s">
        <v>1449</v>
      </c>
      <c r="G3108" s="185" t="s">
        <v>15</v>
      </c>
      <c r="H3108" s="185" t="s">
        <v>15</v>
      </c>
      <c r="I3108" s="185" t="s">
        <v>15</v>
      </c>
      <c r="J3108" s="135" t="s">
        <v>1450</v>
      </c>
      <c r="K3108" s="186">
        <v>53544</v>
      </c>
      <c r="L3108" s="187" t="s">
        <v>173</v>
      </c>
      <c r="M3108" s="187" t="s">
        <v>175</v>
      </c>
    </row>
    <row r="3109" spans="1:13" s="188" customFormat="1">
      <c r="A3109" s="185" t="s">
        <v>1447</v>
      </c>
      <c r="B3109" s="133" t="s">
        <v>6508</v>
      </c>
      <c r="C3109" s="185" t="s">
        <v>3023</v>
      </c>
      <c r="D3109" s="133" t="s">
        <v>1847</v>
      </c>
      <c r="E3109" s="134">
        <v>1</v>
      </c>
      <c r="F3109" s="135" t="s">
        <v>1449</v>
      </c>
      <c r="G3109" s="185" t="s">
        <v>15</v>
      </c>
      <c r="H3109" s="185" t="s">
        <v>15</v>
      </c>
      <c r="I3109" s="185" t="s">
        <v>15</v>
      </c>
      <c r="J3109" s="135" t="s">
        <v>1450</v>
      </c>
      <c r="K3109" s="186">
        <v>38604</v>
      </c>
      <c r="L3109" s="187" t="s">
        <v>173</v>
      </c>
      <c r="M3109" s="187" t="s">
        <v>175</v>
      </c>
    </row>
    <row r="3110" spans="1:13" s="188" customFormat="1">
      <c r="A3110" s="185" t="s">
        <v>1447</v>
      </c>
      <c r="B3110" s="133" t="s">
        <v>6509</v>
      </c>
      <c r="C3110" s="185" t="s">
        <v>3023</v>
      </c>
      <c r="D3110" s="133" t="s">
        <v>1847</v>
      </c>
      <c r="E3110" s="134">
        <v>1</v>
      </c>
      <c r="F3110" s="135" t="s">
        <v>1449</v>
      </c>
      <c r="G3110" s="185" t="s">
        <v>15</v>
      </c>
      <c r="H3110" s="185" t="s">
        <v>15</v>
      </c>
      <c r="I3110" s="185" t="s">
        <v>15</v>
      </c>
      <c r="J3110" s="135" t="s">
        <v>1450</v>
      </c>
      <c r="K3110" s="186">
        <v>28632</v>
      </c>
      <c r="L3110" s="187" t="s">
        <v>173</v>
      </c>
      <c r="M3110" s="187" t="s">
        <v>175</v>
      </c>
    </row>
    <row r="3111" spans="1:13" s="188" customFormat="1">
      <c r="A3111" s="185" t="s">
        <v>1447</v>
      </c>
      <c r="B3111" s="133" t="s">
        <v>6510</v>
      </c>
      <c r="C3111" s="185" t="s">
        <v>3023</v>
      </c>
      <c r="D3111" s="133" t="s">
        <v>1847</v>
      </c>
      <c r="E3111" s="134">
        <v>1</v>
      </c>
      <c r="F3111" s="135" t="s">
        <v>1449</v>
      </c>
      <c r="G3111" s="185" t="s">
        <v>15</v>
      </c>
      <c r="H3111" s="185" t="s">
        <v>15</v>
      </c>
      <c r="I3111" s="185" t="s">
        <v>15</v>
      </c>
      <c r="J3111" s="135" t="s">
        <v>1450</v>
      </c>
      <c r="K3111" s="186">
        <v>23652</v>
      </c>
      <c r="L3111" s="187" t="s">
        <v>173</v>
      </c>
      <c r="M3111" s="187" t="s">
        <v>175</v>
      </c>
    </row>
    <row r="3112" spans="1:13" s="188" customFormat="1">
      <c r="A3112" s="185" t="s">
        <v>1447</v>
      </c>
      <c r="B3112" s="133" t="s">
        <v>6511</v>
      </c>
      <c r="C3112" s="185" t="s">
        <v>3023</v>
      </c>
      <c r="D3112" s="133" t="s">
        <v>1847</v>
      </c>
      <c r="E3112" s="134">
        <v>1</v>
      </c>
      <c r="F3112" s="135" t="s">
        <v>1449</v>
      </c>
      <c r="G3112" s="185" t="s">
        <v>15</v>
      </c>
      <c r="H3112" s="185" t="s">
        <v>15</v>
      </c>
      <c r="I3112" s="185" t="s">
        <v>15</v>
      </c>
      <c r="J3112" s="135" t="s">
        <v>1450</v>
      </c>
      <c r="K3112" s="186">
        <v>18672</v>
      </c>
      <c r="L3112" s="187" t="s">
        <v>173</v>
      </c>
      <c r="M3112" s="187" t="s">
        <v>175</v>
      </c>
    </row>
    <row r="3113" spans="1:13" s="188" customFormat="1">
      <c r="A3113" s="185" t="s">
        <v>1447</v>
      </c>
      <c r="B3113" s="133" t="s">
        <v>6512</v>
      </c>
      <c r="C3113" s="185" t="s">
        <v>3023</v>
      </c>
      <c r="D3113" s="133" t="s">
        <v>1848</v>
      </c>
      <c r="E3113" s="134">
        <v>1</v>
      </c>
      <c r="F3113" s="135" t="s">
        <v>1449</v>
      </c>
      <c r="G3113" s="185" t="s">
        <v>15</v>
      </c>
      <c r="H3113" s="185" t="s">
        <v>15</v>
      </c>
      <c r="I3113" s="185" t="s">
        <v>15</v>
      </c>
      <c r="J3113" s="135" t="s">
        <v>1450</v>
      </c>
      <c r="K3113" s="186">
        <v>12456</v>
      </c>
      <c r="L3113" s="187" t="s">
        <v>173</v>
      </c>
      <c r="M3113" s="187" t="s">
        <v>175</v>
      </c>
    </row>
    <row r="3114" spans="1:13" s="188" customFormat="1">
      <c r="A3114" s="185" t="s">
        <v>1447</v>
      </c>
      <c r="B3114" s="133" t="s">
        <v>6513</v>
      </c>
      <c r="C3114" s="185" t="s">
        <v>3023</v>
      </c>
      <c r="D3114" s="133" t="s">
        <v>1848</v>
      </c>
      <c r="E3114" s="134">
        <v>1</v>
      </c>
      <c r="F3114" s="135" t="s">
        <v>1449</v>
      </c>
      <c r="G3114" s="185" t="s">
        <v>15</v>
      </c>
      <c r="H3114" s="185" t="s">
        <v>15</v>
      </c>
      <c r="I3114" s="185" t="s">
        <v>15</v>
      </c>
      <c r="J3114" s="135" t="s">
        <v>1450</v>
      </c>
      <c r="K3114" s="186">
        <v>11412</v>
      </c>
      <c r="L3114" s="187" t="s">
        <v>173</v>
      </c>
      <c r="M3114" s="187" t="s">
        <v>175</v>
      </c>
    </row>
    <row r="3115" spans="1:13" s="188" customFormat="1">
      <c r="A3115" s="185" t="s">
        <v>1447</v>
      </c>
      <c r="B3115" s="133" t="s">
        <v>6514</v>
      </c>
      <c r="C3115" s="185" t="s">
        <v>3023</v>
      </c>
      <c r="D3115" s="133" t="s">
        <v>1848</v>
      </c>
      <c r="E3115" s="134">
        <v>1</v>
      </c>
      <c r="F3115" s="135" t="s">
        <v>1449</v>
      </c>
      <c r="G3115" s="185" t="s">
        <v>15</v>
      </c>
      <c r="H3115" s="185" t="s">
        <v>15</v>
      </c>
      <c r="I3115" s="185" t="s">
        <v>15</v>
      </c>
      <c r="J3115" s="135" t="s">
        <v>1450</v>
      </c>
      <c r="K3115" s="186">
        <v>10368</v>
      </c>
      <c r="L3115" s="187" t="s">
        <v>173</v>
      </c>
      <c r="M3115" s="187" t="s">
        <v>175</v>
      </c>
    </row>
    <row r="3116" spans="1:13" s="188" customFormat="1">
      <c r="A3116" s="185" t="s">
        <v>1447</v>
      </c>
      <c r="B3116" s="133" t="s">
        <v>6515</v>
      </c>
      <c r="C3116" s="185" t="s">
        <v>3023</v>
      </c>
      <c r="D3116" s="133" t="s">
        <v>1848</v>
      </c>
      <c r="E3116" s="134">
        <v>1</v>
      </c>
      <c r="F3116" s="135" t="s">
        <v>1449</v>
      </c>
      <c r="G3116" s="185" t="s">
        <v>15</v>
      </c>
      <c r="H3116" s="185" t="s">
        <v>15</v>
      </c>
      <c r="I3116" s="185" t="s">
        <v>15</v>
      </c>
      <c r="J3116" s="135" t="s">
        <v>1450</v>
      </c>
      <c r="K3116" s="186">
        <v>9336</v>
      </c>
      <c r="L3116" s="187" t="s">
        <v>173</v>
      </c>
      <c r="M3116" s="187" t="s">
        <v>175</v>
      </c>
    </row>
    <row r="3117" spans="1:13" s="188" customFormat="1">
      <c r="A3117" s="185" t="s">
        <v>1447</v>
      </c>
      <c r="B3117" s="133" t="s">
        <v>6516</v>
      </c>
      <c r="C3117" s="185" t="s">
        <v>3023</v>
      </c>
      <c r="D3117" s="133" t="s">
        <v>1848</v>
      </c>
      <c r="E3117" s="134">
        <v>1</v>
      </c>
      <c r="F3117" s="135" t="s">
        <v>1449</v>
      </c>
      <c r="G3117" s="185" t="s">
        <v>15</v>
      </c>
      <c r="H3117" s="185" t="s">
        <v>15</v>
      </c>
      <c r="I3117" s="185" t="s">
        <v>15</v>
      </c>
      <c r="J3117" s="135" t="s">
        <v>1450</v>
      </c>
      <c r="K3117" s="186">
        <v>8304</v>
      </c>
      <c r="L3117" s="187" t="s">
        <v>173</v>
      </c>
      <c r="M3117" s="187" t="s">
        <v>175</v>
      </c>
    </row>
    <row r="3118" spans="1:13" s="188" customFormat="1">
      <c r="A3118" s="185" t="s">
        <v>1447</v>
      </c>
      <c r="B3118" s="133" t="s">
        <v>6517</v>
      </c>
      <c r="C3118" s="185" t="s">
        <v>3023</v>
      </c>
      <c r="D3118" s="133" t="s">
        <v>1849</v>
      </c>
      <c r="E3118" s="134">
        <v>1</v>
      </c>
      <c r="F3118" s="135" t="s">
        <v>1449</v>
      </c>
      <c r="G3118" s="185" t="s">
        <v>15</v>
      </c>
      <c r="H3118" s="185" t="s">
        <v>15</v>
      </c>
      <c r="I3118" s="185" t="s">
        <v>15</v>
      </c>
      <c r="J3118" s="135" t="s">
        <v>1450</v>
      </c>
      <c r="K3118" s="186">
        <v>480</v>
      </c>
      <c r="L3118" s="187" t="s">
        <v>173</v>
      </c>
      <c r="M3118" s="187" t="s">
        <v>175</v>
      </c>
    </row>
    <row r="3119" spans="1:13" s="188" customFormat="1">
      <c r="A3119" s="185" t="s">
        <v>1447</v>
      </c>
      <c r="B3119" s="133" t="s">
        <v>6518</v>
      </c>
      <c r="C3119" s="185" t="s">
        <v>3023</v>
      </c>
      <c r="D3119" s="133" t="s">
        <v>1849</v>
      </c>
      <c r="E3119" s="134">
        <v>1</v>
      </c>
      <c r="F3119" s="135" t="s">
        <v>1449</v>
      </c>
      <c r="G3119" s="185" t="s">
        <v>15</v>
      </c>
      <c r="H3119" s="185" t="s">
        <v>15</v>
      </c>
      <c r="I3119" s="185" t="s">
        <v>15</v>
      </c>
      <c r="J3119" s="135" t="s">
        <v>1450</v>
      </c>
      <c r="K3119" s="186">
        <v>456</v>
      </c>
      <c r="L3119" s="187" t="s">
        <v>173</v>
      </c>
      <c r="M3119" s="187" t="s">
        <v>175</v>
      </c>
    </row>
    <row r="3120" spans="1:13" s="188" customFormat="1">
      <c r="A3120" s="185" t="s">
        <v>1447</v>
      </c>
      <c r="B3120" s="133" t="s">
        <v>6519</v>
      </c>
      <c r="C3120" s="185" t="s">
        <v>3023</v>
      </c>
      <c r="D3120" s="133" t="s">
        <v>1849</v>
      </c>
      <c r="E3120" s="134">
        <v>1</v>
      </c>
      <c r="F3120" s="135" t="s">
        <v>1449</v>
      </c>
      <c r="G3120" s="185" t="s">
        <v>15</v>
      </c>
      <c r="H3120" s="185" t="s">
        <v>15</v>
      </c>
      <c r="I3120" s="185" t="s">
        <v>15</v>
      </c>
      <c r="J3120" s="135" t="s">
        <v>1450</v>
      </c>
      <c r="K3120" s="186">
        <v>420</v>
      </c>
      <c r="L3120" s="187" t="s">
        <v>173</v>
      </c>
      <c r="M3120" s="187" t="s">
        <v>175</v>
      </c>
    </row>
    <row r="3121" spans="1:13" s="188" customFormat="1">
      <c r="A3121" s="185" t="s">
        <v>1447</v>
      </c>
      <c r="B3121" s="133" t="s">
        <v>6520</v>
      </c>
      <c r="C3121" s="185" t="s">
        <v>3023</v>
      </c>
      <c r="D3121" s="133" t="s">
        <v>1849</v>
      </c>
      <c r="E3121" s="134">
        <v>1</v>
      </c>
      <c r="F3121" s="135" t="s">
        <v>1449</v>
      </c>
      <c r="G3121" s="185" t="s">
        <v>15</v>
      </c>
      <c r="H3121" s="185" t="s">
        <v>15</v>
      </c>
      <c r="I3121" s="185" t="s">
        <v>15</v>
      </c>
      <c r="J3121" s="135" t="s">
        <v>1450</v>
      </c>
      <c r="K3121" s="186">
        <v>396</v>
      </c>
      <c r="L3121" s="187" t="s">
        <v>173</v>
      </c>
      <c r="M3121" s="187" t="s">
        <v>175</v>
      </c>
    </row>
    <row r="3122" spans="1:13" s="188" customFormat="1">
      <c r="A3122" s="185" t="s">
        <v>1447</v>
      </c>
      <c r="B3122" s="133" t="s">
        <v>6521</v>
      </c>
      <c r="C3122" s="185" t="s">
        <v>3023</v>
      </c>
      <c r="D3122" s="133" t="s">
        <v>1849</v>
      </c>
      <c r="E3122" s="134">
        <v>1</v>
      </c>
      <c r="F3122" s="135" t="s">
        <v>1449</v>
      </c>
      <c r="G3122" s="185" t="s">
        <v>15</v>
      </c>
      <c r="H3122" s="185" t="s">
        <v>15</v>
      </c>
      <c r="I3122" s="185" t="s">
        <v>15</v>
      </c>
      <c r="J3122" s="135" t="s">
        <v>1450</v>
      </c>
      <c r="K3122" s="186">
        <v>372</v>
      </c>
      <c r="L3122" s="187" t="s">
        <v>173</v>
      </c>
      <c r="M3122" s="187" t="s">
        <v>175</v>
      </c>
    </row>
    <row r="3123" spans="1:13" s="188" customFormat="1">
      <c r="A3123" s="185" t="s">
        <v>1447</v>
      </c>
      <c r="B3123" s="133" t="s">
        <v>6522</v>
      </c>
      <c r="C3123" s="185" t="s">
        <v>3023</v>
      </c>
      <c r="D3123" s="133" t="s">
        <v>1850</v>
      </c>
      <c r="E3123" s="134">
        <v>1</v>
      </c>
      <c r="F3123" s="135" t="s">
        <v>1449</v>
      </c>
      <c r="G3123" s="185" t="s">
        <v>15</v>
      </c>
      <c r="H3123" s="185" t="s">
        <v>15</v>
      </c>
      <c r="I3123" s="185" t="s">
        <v>15</v>
      </c>
      <c r="J3123" s="135" t="s">
        <v>1450</v>
      </c>
      <c r="K3123" s="186">
        <v>11208</v>
      </c>
      <c r="L3123" s="187" t="s">
        <v>173</v>
      </c>
      <c r="M3123" s="187" t="s">
        <v>175</v>
      </c>
    </row>
    <row r="3124" spans="1:13" s="188" customFormat="1">
      <c r="A3124" s="185" t="s">
        <v>1447</v>
      </c>
      <c r="B3124" s="133" t="s">
        <v>6523</v>
      </c>
      <c r="C3124" s="185" t="s">
        <v>3023</v>
      </c>
      <c r="D3124" s="133" t="s">
        <v>1850</v>
      </c>
      <c r="E3124" s="134">
        <v>1</v>
      </c>
      <c r="F3124" s="135" t="s">
        <v>1449</v>
      </c>
      <c r="G3124" s="185" t="s">
        <v>15</v>
      </c>
      <c r="H3124" s="185" t="s">
        <v>15</v>
      </c>
      <c r="I3124" s="185" t="s">
        <v>15</v>
      </c>
      <c r="J3124" s="135" t="s">
        <v>1450</v>
      </c>
      <c r="K3124" s="186">
        <v>9960</v>
      </c>
      <c r="L3124" s="187" t="s">
        <v>173</v>
      </c>
      <c r="M3124" s="187" t="s">
        <v>175</v>
      </c>
    </row>
    <row r="3125" spans="1:13" s="188" customFormat="1">
      <c r="A3125" s="185" t="s">
        <v>1447</v>
      </c>
      <c r="B3125" s="133" t="s">
        <v>6524</v>
      </c>
      <c r="C3125" s="185" t="s">
        <v>3023</v>
      </c>
      <c r="D3125" s="133" t="s">
        <v>1850</v>
      </c>
      <c r="E3125" s="134">
        <v>1</v>
      </c>
      <c r="F3125" s="135" t="s">
        <v>1449</v>
      </c>
      <c r="G3125" s="185" t="s">
        <v>15</v>
      </c>
      <c r="H3125" s="185" t="s">
        <v>15</v>
      </c>
      <c r="I3125" s="185" t="s">
        <v>15</v>
      </c>
      <c r="J3125" s="135" t="s">
        <v>1450</v>
      </c>
      <c r="K3125" s="186">
        <v>8712</v>
      </c>
      <c r="L3125" s="187" t="s">
        <v>173</v>
      </c>
      <c r="M3125" s="187" t="s">
        <v>175</v>
      </c>
    </row>
    <row r="3126" spans="1:13" s="188" customFormat="1">
      <c r="A3126" s="185" t="s">
        <v>1447</v>
      </c>
      <c r="B3126" s="133" t="s">
        <v>6525</v>
      </c>
      <c r="C3126" s="185" t="s">
        <v>3023</v>
      </c>
      <c r="D3126" s="133" t="s">
        <v>1850</v>
      </c>
      <c r="E3126" s="134">
        <v>1</v>
      </c>
      <c r="F3126" s="135" t="s">
        <v>1449</v>
      </c>
      <c r="G3126" s="185" t="s">
        <v>15</v>
      </c>
      <c r="H3126" s="185" t="s">
        <v>15</v>
      </c>
      <c r="I3126" s="185" t="s">
        <v>15</v>
      </c>
      <c r="J3126" s="135" t="s">
        <v>1450</v>
      </c>
      <c r="K3126" s="186">
        <v>7476</v>
      </c>
      <c r="L3126" s="187" t="s">
        <v>173</v>
      </c>
      <c r="M3126" s="187" t="s">
        <v>175</v>
      </c>
    </row>
    <row r="3127" spans="1:13" s="188" customFormat="1">
      <c r="A3127" s="185" t="s">
        <v>1447</v>
      </c>
      <c r="B3127" s="133" t="s">
        <v>6526</v>
      </c>
      <c r="C3127" s="185" t="s">
        <v>3023</v>
      </c>
      <c r="D3127" s="133" t="s">
        <v>1850</v>
      </c>
      <c r="E3127" s="134">
        <v>1</v>
      </c>
      <c r="F3127" s="135" t="s">
        <v>1449</v>
      </c>
      <c r="G3127" s="185" t="s">
        <v>15</v>
      </c>
      <c r="H3127" s="185" t="s">
        <v>15</v>
      </c>
      <c r="I3127" s="185" t="s">
        <v>15</v>
      </c>
      <c r="J3127" s="135" t="s">
        <v>1450</v>
      </c>
      <c r="K3127" s="186">
        <v>6228</v>
      </c>
      <c r="L3127" s="187" t="s">
        <v>173</v>
      </c>
      <c r="M3127" s="187" t="s">
        <v>175</v>
      </c>
    </row>
  </sheetData>
  <mergeCells count="1">
    <mergeCell ref="A1:M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topLeftCell="A106" workbookViewId="0">
      <selection activeCell="B115" sqref="B115"/>
    </sheetView>
  </sheetViews>
  <sheetFormatPr baseColWidth="10" defaultColWidth="11.54296875" defaultRowHeight="14.5"/>
  <cols>
    <col min="1" max="1" width="32.90625" style="8" customWidth="1"/>
    <col min="2" max="2" width="20.36328125" style="8" bestFit="1" customWidth="1"/>
    <col min="3" max="3" width="21.81640625" style="8" customWidth="1"/>
    <col min="4" max="4" width="83.1796875" style="8" customWidth="1"/>
    <col min="5" max="5" width="27.81640625" style="8" customWidth="1"/>
    <col min="6" max="8" width="11.54296875" style="8"/>
    <col min="9" max="9" width="18" style="10" bestFit="1" customWidth="1"/>
    <col min="10" max="10" width="30.6328125" style="15" bestFit="1" customWidth="1"/>
    <col min="11" max="11" width="17.36328125" style="10" bestFit="1" customWidth="1"/>
    <col min="12" max="12" width="29.36328125" style="8" bestFit="1" customWidth="1"/>
    <col min="13" max="16384" width="11.54296875" style="8"/>
  </cols>
  <sheetData>
    <row r="1" spans="1:13" ht="13.75" customHeight="1">
      <c r="A1" s="324" t="s">
        <v>9091</v>
      </c>
      <c r="B1" s="324"/>
      <c r="C1" s="324"/>
      <c r="D1" s="324"/>
      <c r="E1" s="324"/>
      <c r="F1" s="324"/>
      <c r="G1" s="324"/>
      <c r="H1" s="324"/>
      <c r="I1" s="324"/>
      <c r="J1" s="324"/>
      <c r="K1" s="324"/>
      <c r="L1" s="324"/>
      <c r="M1" s="324"/>
    </row>
    <row r="2" spans="1:13" ht="13.75" customHeight="1">
      <c r="A2" s="325"/>
      <c r="B2" s="325"/>
      <c r="C2" s="325"/>
      <c r="D2" s="325"/>
      <c r="E2" s="325"/>
      <c r="F2" s="325"/>
      <c r="G2" s="325"/>
      <c r="H2" s="325"/>
      <c r="I2" s="325"/>
      <c r="J2" s="325"/>
      <c r="K2" s="325"/>
      <c r="L2" s="325"/>
      <c r="M2" s="325"/>
    </row>
    <row r="3" spans="1:13" ht="15">
      <c r="A3" s="18" t="s">
        <v>1445</v>
      </c>
      <c r="B3" s="18" t="s">
        <v>1430</v>
      </c>
      <c r="C3" s="18" t="s">
        <v>1446</v>
      </c>
      <c r="D3" s="18" t="s">
        <v>4</v>
      </c>
      <c r="E3" s="18" t="s">
        <v>5</v>
      </c>
      <c r="F3" s="18" t="s">
        <v>6</v>
      </c>
      <c r="G3" s="18" t="s">
        <v>7</v>
      </c>
      <c r="H3" s="18" t="s">
        <v>8</v>
      </c>
      <c r="I3" s="20" t="s">
        <v>9</v>
      </c>
      <c r="J3" s="22" t="s">
        <v>1434</v>
      </c>
      <c r="K3" s="20" t="s">
        <v>1432</v>
      </c>
      <c r="L3" s="18" t="s">
        <v>1433</v>
      </c>
      <c r="M3" s="18" t="s">
        <v>3</v>
      </c>
    </row>
    <row r="4" spans="1:13">
      <c r="A4" s="190" t="s">
        <v>10178</v>
      </c>
      <c r="B4" s="191" t="s">
        <v>89</v>
      </c>
      <c r="C4" s="191" t="s">
        <v>9141</v>
      </c>
      <c r="D4" s="192" t="s">
        <v>90</v>
      </c>
      <c r="E4" s="191" t="s">
        <v>91</v>
      </c>
      <c r="F4" s="191" t="s">
        <v>21</v>
      </c>
      <c r="G4" s="191" t="s">
        <v>70</v>
      </c>
      <c r="H4" s="191" t="s">
        <v>26</v>
      </c>
      <c r="I4" s="191" t="s">
        <v>166</v>
      </c>
      <c r="J4" s="193" t="s">
        <v>1435</v>
      </c>
      <c r="K4" s="194">
        <v>752100</v>
      </c>
      <c r="L4" s="195" t="s">
        <v>2057</v>
      </c>
      <c r="M4" s="195" t="s">
        <v>14</v>
      </c>
    </row>
    <row r="5" spans="1:13">
      <c r="A5" s="190" t="s">
        <v>10178</v>
      </c>
      <c r="B5" s="191" t="s">
        <v>92</v>
      </c>
      <c r="C5" s="191" t="s">
        <v>9141</v>
      </c>
      <c r="D5" s="192" t="s">
        <v>90</v>
      </c>
      <c r="E5" s="191" t="s">
        <v>91</v>
      </c>
      <c r="F5" s="191" t="s">
        <v>21</v>
      </c>
      <c r="G5" s="191" t="s">
        <v>70</v>
      </c>
      <c r="H5" s="191" t="s">
        <v>42</v>
      </c>
      <c r="I5" s="191" t="s">
        <v>166</v>
      </c>
      <c r="J5" s="193" t="s">
        <v>1435</v>
      </c>
      <c r="K5" s="194">
        <v>2834000</v>
      </c>
      <c r="L5" s="195" t="s">
        <v>2057</v>
      </c>
      <c r="M5" s="195" t="s">
        <v>14</v>
      </c>
    </row>
    <row r="6" spans="1:13">
      <c r="A6" s="190" t="s">
        <v>10178</v>
      </c>
      <c r="B6" s="191" t="s">
        <v>93</v>
      </c>
      <c r="C6" s="191" t="s">
        <v>9141</v>
      </c>
      <c r="D6" s="192" t="s">
        <v>90</v>
      </c>
      <c r="E6" s="191" t="s">
        <v>91</v>
      </c>
      <c r="F6" s="191" t="s">
        <v>21</v>
      </c>
      <c r="G6" s="191" t="s">
        <v>74</v>
      </c>
      <c r="H6" s="191" t="s">
        <v>26</v>
      </c>
      <c r="I6" s="191" t="s">
        <v>166</v>
      </c>
      <c r="J6" s="193" t="s">
        <v>1435</v>
      </c>
      <c r="K6" s="194">
        <v>752100</v>
      </c>
      <c r="L6" s="195" t="s">
        <v>2057</v>
      </c>
      <c r="M6" s="195" t="s">
        <v>14</v>
      </c>
    </row>
    <row r="7" spans="1:13">
      <c r="A7" s="190" t="s">
        <v>10178</v>
      </c>
      <c r="B7" s="191" t="s">
        <v>94</v>
      </c>
      <c r="C7" s="191" t="s">
        <v>9141</v>
      </c>
      <c r="D7" s="192" t="s">
        <v>90</v>
      </c>
      <c r="E7" s="191" t="s">
        <v>91</v>
      </c>
      <c r="F7" s="191" t="s">
        <v>21</v>
      </c>
      <c r="G7" s="191" t="s">
        <v>74</v>
      </c>
      <c r="H7" s="191" t="s">
        <v>42</v>
      </c>
      <c r="I7" s="191" t="s">
        <v>166</v>
      </c>
      <c r="J7" s="193" t="s">
        <v>1435</v>
      </c>
      <c r="K7" s="194">
        <v>3379000</v>
      </c>
      <c r="L7" s="195" t="s">
        <v>2057</v>
      </c>
      <c r="M7" s="195" t="s">
        <v>14</v>
      </c>
    </row>
    <row r="8" spans="1:13">
      <c r="A8" s="190" t="s">
        <v>10178</v>
      </c>
      <c r="B8" s="191" t="s">
        <v>95</v>
      </c>
      <c r="C8" s="191" t="s">
        <v>9141</v>
      </c>
      <c r="D8" s="192" t="s">
        <v>90</v>
      </c>
      <c r="E8" s="191" t="s">
        <v>91</v>
      </c>
      <c r="F8" s="191" t="s">
        <v>21</v>
      </c>
      <c r="G8" s="191" t="s">
        <v>72</v>
      </c>
      <c r="H8" s="191" t="s">
        <v>26</v>
      </c>
      <c r="I8" s="191" t="s">
        <v>166</v>
      </c>
      <c r="J8" s="193" t="s">
        <v>1435</v>
      </c>
      <c r="K8" s="194">
        <v>752100</v>
      </c>
      <c r="L8" s="195" t="s">
        <v>2057</v>
      </c>
      <c r="M8" s="195" t="s">
        <v>14</v>
      </c>
    </row>
    <row r="9" spans="1:13">
      <c r="A9" s="190" t="s">
        <v>10178</v>
      </c>
      <c r="B9" s="191" t="s">
        <v>96</v>
      </c>
      <c r="C9" s="191" t="s">
        <v>9141</v>
      </c>
      <c r="D9" s="192" t="s">
        <v>90</v>
      </c>
      <c r="E9" s="191" t="s">
        <v>91</v>
      </c>
      <c r="F9" s="191" t="s">
        <v>21</v>
      </c>
      <c r="G9" s="191" t="s">
        <v>72</v>
      </c>
      <c r="H9" s="191" t="s">
        <v>42</v>
      </c>
      <c r="I9" s="191" t="s">
        <v>166</v>
      </c>
      <c r="J9" s="193" t="s">
        <v>1435</v>
      </c>
      <c r="K9" s="194">
        <v>3924000</v>
      </c>
      <c r="L9" s="195" t="s">
        <v>2057</v>
      </c>
      <c r="M9" s="195" t="s">
        <v>14</v>
      </c>
    </row>
    <row r="10" spans="1:13">
      <c r="A10" s="190" t="s">
        <v>10178</v>
      </c>
      <c r="B10" s="191" t="s">
        <v>97</v>
      </c>
      <c r="C10" s="191" t="s">
        <v>9141</v>
      </c>
      <c r="D10" s="192" t="s">
        <v>98</v>
      </c>
      <c r="E10" s="191" t="s">
        <v>99</v>
      </c>
      <c r="F10" s="191" t="s">
        <v>21</v>
      </c>
      <c r="G10" s="191" t="s">
        <v>70</v>
      </c>
      <c r="H10" s="191" t="s">
        <v>26</v>
      </c>
      <c r="I10" s="191" t="s">
        <v>166</v>
      </c>
      <c r="J10" s="193" t="s">
        <v>1435</v>
      </c>
      <c r="K10" s="194">
        <v>1079100</v>
      </c>
      <c r="L10" s="195" t="s">
        <v>2057</v>
      </c>
      <c r="M10" s="195" t="s">
        <v>14</v>
      </c>
    </row>
    <row r="11" spans="1:13">
      <c r="A11" s="190" t="s">
        <v>10178</v>
      </c>
      <c r="B11" s="191" t="s">
        <v>100</v>
      </c>
      <c r="C11" s="191" t="s">
        <v>9141</v>
      </c>
      <c r="D11" s="192" t="s">
        <v>98</v>
      </c>
      <c r="E11" s="191" t="s">
        <v>99</v>
      </c>
      <c r="F11" s="191" t="s">
        <v>21</v>
      </c>
      <c r="G11" s="191" t="s">
        <v>70</v>
      </c>
      <c r="H11" s="191" t="s">
        <v>42</v>
      </c>
      <c r="I11" s="191" t="s">
        <v>166</v>
      </c>
      <c r="J11" s="193" t="s">
        <v>1435</v>
      </c>
      <c r="K11" s="194">
        <v>3161000</v>
      </c>
      <c r="L11" s="195" t="s">
        <v>2057</v>
      </c>
      <c r="M11" s="195" t="s">
        <v>14</v>
      </c>
    </row>
    <row r="12" spans="1:13">
      <c r="A12" s="190" t="s">
        <v>10178</v>
      </c>
      <c r="B12" s="191" t="s">
        <v>101</v>
      </c>
      <c r="C12" s="191" t="s">
        <v>9141</v>
      </c>
      <c r="D12" s="192" t="s">
        <v>98</v>
      </c>
      <c r="E12" s="191" t="s">
        <v>99</v>
      </c>
      <c r="F12" s="191" t="s">
        <v>21</v>
      </c>
      <c r="G12" s="191" t="s">
        <v>74</v>
      </c>
      <c r="H12" s="191" t="s">
        <v>26</v>
      </c>
      <c r="I12" s="191" t="s">
        <v>166</v>
      </c>
      <c r="J12" s="193" t="s">
        <v>1435</v>
      </c>
      <c r="K12" s="194">
        <v>1079100</v>
      </c>
      <c r="L12" s="195" t="s">
        <v>2057</v>
      </c>
      <c r="M12" s="195" t="s">
        <v>14</v>
      </c>
    </row>
    <row r="13" spans="1:13">
      <c r="A13" s="190" t="s">
        <v>10178</v>
      </c>
      <c r="B13" s="191" t="s">
        <v>102</v>
      </c>
      <c r="C13" s="191" t="s">
        <v>9141</v>
      </c>
      <c r="D13" s="192" t="s">
        <v>98</v>
      </c>
      <c r="E13" s="191" t="s">
        <v>99</v>
      </c>
      <c r="F13" s="191" t="s">
        <v>21</v>
      </c>
      <c r="G13" s="191" t="s">
        <v>74</v>
      </c>
      <c r="H13" s="191" t="s">
        <v>42</v>
      </c>
      <c r="I13" s="191" t="s">
        <v>166</v>
      </c>
      <c r="J13" s="193" t="s">
        <v>1435</v>
      </c>
      <c r="K13" s="194">
        <v>3706000</v>
      </c>
      <c r="L13" s="195" t="s">
        <v>2057</v>
      </c>
      <c r="M13" s="195" t="s">
        <v>14</v>
      </c>
    </row>
    <row r="14" spans="1:13">
      <c r="A14" s="190" t="s">
        <v>10178</v>
      </c>
      <c r="B14" s="191" t="s">
        <v>103</v>
      </c>
      <c r="C14" s="191" t="s">
        <v>9141</v>
      </c>
      <c r="D14" s="192" t="s">
        <v>98</v>
      </c>
      <c r="E14" s="191" t="s">
        <v>99</v>
      </c>
      <c r="F14" s="191" t="s">
        <v>21</v>
      </c>
      <c r="G14" s="191" t="s">
        <v>72</v>
      </c>
      <c r="H14" s="191" t="s">
        <v>26</v>
      </c>
      <c r="I14" s="191" t="s">
        <v>166</v>
      </c>
      <c r="J14" s="193" t="s">
        <v>1435</v>
      </c>
      <c r="K14" s="194">
        <v>1079100</v>
      </c>
      <c r="L14" s="195" t="s">
        <v>2057</v>
      </c>
      <c r="M14" s="195" t="s">
        <v>14</v>
      </c>
    </row>
    <row r="15" spans="1:13">
      <c r="A15" s="190" t="s">
        <v>10178</v>
      </c>
      <c r="B15" s="191" t="s">
        <v>104</v>
      </c>
      <c r="C15" s="191" t="s">
        <v>9141</v>
      </c>
      <c r="D15" s="192" t="s">
        <v>98</v>
      </c>
      <c r="E15" s="191" t="s">
        <v>99</v>
      </c>
      <c r="F15" s="191" t="s">
        <v>21</v>
      </c>
      <c r="G15" s="191" t="s">
        <v>72</v>
      </c>
      <c r="H15" s="191" t="s">
        <v>42</v>
      </c>
      <c r="I15" s="191" t="s">
        <v>166</v>
      </c>
      <c r="J15" s="193" t="s">
        <v>1435</v>
      </c>
      <c r="K15" s="194">
        <v>4360000</v>
      </c>
      <c r="L15" s="195" t="s">
        <v>2057</v>
      </c>
      <c r="M15" s="195" t="s">
        <v>14</v>
      </c>
    </row>
    <row r="16" spans="1:13">
      <c r="A16" s="190" t="s">
        <v>10178</v>
      </c>
      <c r="B16" s="191" t="s">
        <v>105</v>
      </c>
      <c r="C16" s="191" t="s">
        <v>9141</v>
      </c>
      <c r="D16" s="192" t="s">
        <v>106</v>
      </c>
      <c r="E16" s="191" t="s">
        <v>91</v>
      </c>
      <c r="F16" s="191" t="s">
        <v>21</v>
      </c>
      <c r="G16" s="191" t="s">
        <v>70</v>
      </c>
      <c r="H16" s="191" t="s">
        <v>26</v>
      </c>
      <c r="I16" s="191" t="s">
        <v>166</v>
      </c>
      <c r="J16" s="193" t="s">
        <v>1435</v>
      </c>
      <c r="K16" s="194">
        <v>752100</v>
      </c>
      <c r="L16" s="195" t="s">
        <v>2057</v>
      </c>
      <c r="M16" s="195" t="s">
        <v>14</v>
      </c>
    </row>
    <row r="17" spans="1:13">
      <c r="A17" s="190" t="s">
        <v>10178</v>
      </c>
      <c r="B17" s="191" t="s">
        <v>107</v>
      </c>
      <c r="C17" s="191" t="s">
        <v>9141</v>
      </c>
      <c r="D17" s="192" t="s">
        <v>106</v>
      </c>
      <c r="E17" s="191" t="s">
        <v>91</v>
      </c>
      <c r="F17" s="191" t="s">
        <v>21</v>
      </c>
      <c r="G17" s="191" t="s">
        <v>70</v>
      </c>
      <c r="H17" s="191" t="s">
        <v>42</v>
      </c>
      <c r="I17" s="191" t="s">
        <v>166</v>
      </c>
      <c r="J17" s="193" t="s">
        <v>1435</v>
      </c>
      <c r="K17" s="194">
        <v>2834000</v>
      </c>
      <c r="L17" s="195" t="s">
        <v>2057</v>
      </c>
      <c r="M17" s="195" t="s">
        <v>14</v>
      </c>
    </row>
    <row r="18" spans="1:13">
      <c r="A18" s="190" t="s">
        <v>10178</v>
      </c>
      <c r="B18" s="191" t="s">
        <v>108</v>
      </c>
      <c r="C18" s="191" t="s">
        <v>9141</v>
      </c>
      <c r="D18" s="192" t="s">
        <v>106</v>
      </c>
      <c r="E18" s="191" t="s">
        <v>91</v>
      </c>
      <c r="F18" s="191" t="s">
        <v>21</v>
      </c>
      <c r="G18" s="191" t="s">
        <v>74</v>
      </c>
      <c r="H18" s="191" t="s">
        <v>26</v>
      </c>
      <c r="I18" s="191" t="s">
        <v>166</v>
      </c>
      <c r="J18" s="193" t="s">
        <v>1435</v>
      </c>
      <c r="K18" s="194">
        <v>752100</v>
      </c>
      <c r="L18" s="195" t="s">
        <v>2057</v>
      </c>
      <c r="M18" s="195" t="s">
        <v>14</v>
      </c>
    </row>
    <row r="19" spans="1:13">
      <c r="A19" s="190" t="s">
        <v>10178</v>
      </c>
      <c r="B19" s="191" t="s">
        <v>109</v>
      </c>
      <c r="C19" s="191" t="s">
        <v>9141</v>
      </c>
      <c r="D19" s="192" t="s">
        <v>106</v>
      </c>
      <c r="E19" s="191" t="s">
        <v>91</v>
      </c>
      <c r="F19" s="191" t="s">
        <v>21</v>
      </c>
      <c r="G19" s="191" t="s">
        <v>74</v>
      </c>
      <c r="H19" s="191" t="s">
        <v>42</v>
      </c>
      <c r="I19" s="191" t="s">
        <v>166</v>
      </c>
      <c r="J19" s="193" t="s">
        <v>1435</v>
      </c>
      <c r="K19" s="194">
        <v>3379000</v>
      </c>
      <c r="L19" s="195" t="s">
        <v>2057</v>
      </c>
      <c r="M19" s="195" t="s">
        <v>14</v>
      </c>
    </row>
    <row r="20" spans="1:13">
      <c r="A20" s="190" t="s">
        <v>10178</v>
      </c>
      <c r="B20" s="191" t="s">
        <v>110</v>
      </c>
      <c r="C20" s="191" t="s">
        <v>9141</v>
      </c>
      <c r="D20" s="192" t="s">
        <v>106</v>
      </c>
      <c r="E20" s="191" t="s">
        <v>91</v>
      </c>
      <c r="F20" s="191" t="s">
        <v>21</v>
      </c>
      <c r="G20" s="191" t="s">
        <v>72</v>
      </c>
      <c r="H20" s="191" t="s">
        <v>26</v>
      </c>
      <c r="I20" s="191" t="s">
        <v>166</v>
      </c>
      <c r="J20" s="193" t="s">
        <v>1435</v>
      </c>
      <c r="K20" s="194">
        <v>752100</v>
      </c>
      <c r="L20" s="195" t="s">
        <v>2057</v>
      </c>
      <c r="M20" s="195" t="s">
        <v>14</v>
      </c>
    </row>
    <row r="21" spans="1:13">
      <c r="A21" s="190" t="s">
        <v>10178</v>
      </c>
      <c r="B21" s="191" t="s">
        <v>111</v>
      </c>
      <c r="C21" s="191" t="s">
        <v>9141</v>
      </c>
      <c r="D21" s="192" t="s">
        <v>106</v>
      </c>
      <c r="E21" s="191" t="s">
        <v>91</v>
      </c>
      <c r="F21" s="191" t="s">
        <v>21</v>
      </c>
      <c r="G21" s="191" t="s">
        <v>72</v>
      </c>
      <c r="H21" s="191" t="s">
        <v>42</v>
      </c>
      <c r="I21" s="191" t="s">
        <v>166</v>
      </c>
      <c r="J21" s="193" t="s">
        <v>1435</v>
      </c>
      <c r="K21" s="194">
        <v>3924000</v>
      </c>
      <c r="L21" s="195" t="s">
        <v>2057</v>
      </c>
      <c r="M21" s="195" t="s">
        <v>14</v>
      </c>
    </row>
    <row r="22" spans="1:13">
      <c r="A22" s="190" t="s">
        <v>10178</v>
      </c>
      <c r="B22" s="191" t="s">
        <v>112</v>
      </c>
      <c r="C22" s="191" t="s">
        <v>9141</v>
      </c>
      <c r="D22" s="192" t="s">
        <v>113</v>
      </c>
      <c r="E22" s="191" t="s">
        <v>99</v>
      </c>
      <c r="F22" s="191" t="s">
        <v>21</v>
      </c>
      <c r="G22" s="191" t="s">
        <v>70</v>
      </c>
      <c r="H22" s="191" t="s">
        <v>26</v>
      </c>
      <c r="I22" s="191" t="s">
        <v>166</v>
      </c>
      <c r="J22" s="193" t="s">
        <v>1435</v>
      </c>
      <c r="K22" s="194">
        <v>1079100</v>
      </c>
      <c r="L22" s="195" t="s">
        <v>2057</v>
      </c>
      <c r="M22" s="195" t="s">
        <v>14</v>
      </c>
    </row>
    <row r="23" spans="1:13">
      <c r="A23" s="190" t="s">
        <v>10178</v>
      </c>
      <c r="B23" s="191" t="s">
        <v>114</v>
      </c>
      <c r="C23" s="191" t="s">
        <v>9141</v>
      </c>
      <c r="D23" s="192" t="s">
        <v>113</v>
      </c>
      <c r="E23" s="191" t="s">
        <v>99</v>
      </c>
      <c r="F23" s="191" t="s">
        <v>21</v>
      </c>
      <c r="G23" s="191" t="s">
        <v>70</v>
      </c>
      <c r="H23" s="191" t="s">
        <v>42</v>
      </c>
      <c r="I23" s="191" t="s">
        <v>166</v>
      </c>
      <c r="J23" s="193" t="s">
        <v>1435</v>
      </c>
      <c r="K23" s="194">
        <v>3161000</v>
      </c>
      <c r="L23" s="195" t="s">
        <v>2057</v>
      </c>
      <c r="M23" s="195" t="s">
        <v>14</v>
      </c>
    </row>
    <row r="24" spans="1:13">
      <c r="A24" s="190" t="s">
        <v>10178</v>
      </c>
      <c r="B24" s="191" t="s">
        <v>115</v>
      </c>
      <c r="C24" s="191" t="s">
        <v>9141</v>
      </c>
      <c r="D24" s="192" t="s">
        <v>113</v>
      </c>
      <c r="E24" s="191" t="s">
        <v>99</v>
      </c>
      <c r="F24" s="191" t="s">
        <v>21</v>
      </c>
      <c r="G24" s="191" t="s">
        <v>74</v>
      </c>
      <c r="H24" s="191" t="s">
        <v>26</v>
      </c>
      <c r="I24" s="191" t="s">
        <v>166</v>
      </c>
      <c r="J24" s="193" t="s">
        <v>1435</v>
      </c>
      <c r="K24" s="194">
        <v>1079100</v>
      </c>
      <c r="L24" s="195" t="s">
        <v>2057</v>
      </c>
      <c r="M24" s="195" t="s">
        <v>14</v>
      </c>
    </row>
    <row r="25" spans="1:13">
      <c r="A25" s="190" t="s">
        <v>10178</v>
      </c>
      <c r="B25" s="191" t="s">
        <v>116</v>
      </c>
      <c r="C25" s="191" t="s">
        <v>9141</v>
      </c>
      <c r="D25" s="192" t="s">
        <v>113</v>
      </c>
      <c r="E25" s="191" t="s">
        <v>99</v>
      </c>
      <c r="F25" s="191" t="s">
        <v>21</v>
      </c>
      <c r="G25" s="191" t="s">
        <v>74</v>
      </c>
      <c r="H25" s="191" t="s">
        <v>42</v>
      </c>
      <c r="I25" s="191" t="s">
        <v>166</v>
      </c>
      <c r="J25" s="193" t="s">
        <v>1435</v>
      </c>
      <c r="K25" s="194">
        <v>3706000</v>
      </c>
      <c r="L25" s="195" t="s">
        <v>2057</v>
      </c>
      <c r="M25" s="195" t="s">
        <v>14</v>
      </c>
    </row>
    <row r="26" spans="1:13">
      <c r="A26" s="190" t="s">
        <v>10178</v>
      </c>
      <c r="B26" s="191" t="s">
        <v>117</v>
      </c>
      <c r="C26" s="191" t="s">
        <v>9141</v>
      </c>
      <c r="D26" s="192" t="s">
        <v>113</v>
      </c>
      <c r="E26" s="191" t="s">
        <v>99</v>
      </c>
      <c r="F26" s="191" t="s">
        <v>21</v>
      </c>
      <c r="G26" s="191" t="s">
        <v>72</v>
      </c>
      <c r="H26" s="191" t="s">
        <v>26</v>
      </c>
      <c r="I26" s="191" t="s">
        <v>166</v>
      </c>
      <c r="J26" s="193" t="s">
        <v>1435</v>
      </c>
      <c r="K26" s="194">
        <v>1079100</v>
      </c>
      <c r="L26" s="195" t="s">
        <v>2057</v>
      </c>
      <c r="M26" s="195" t="s">
        <v>14</v>
      </c>
    </row>
    <row r="27" spans="1:13">
      <c r="A27" s="190" t="s">
        <v>10178</v>
      </c>
      <c r="B27" s="191" t="s">
        <v>118</v>
      </c>
      <c r="C27" s="191" t="s">
        <v>9141</v>
      </c>
      <c r="D27" s="192" t="s">
        <v>113</v>
      </c>
      <c r="E27" s="191" t="s">
        <v>99</v>
      </c>
      <c r="F27" s="191" t="s">
        <v>21</v>
      </c>
      <c r="G27" s="191" t="s">
        <v>72</v>
      </c>
      <c r="H27" s="191" t="s">
        <v>42</v>
      </c>
      <c r="I27" s="191" t="s">
        <v>166</v>
      </c>
      <c r="J27" s="193" t="s">
        <v>1435</v>
      </c>
      <c r="K27" s="194">
        <v>4360000</v>
      </c>
      <c r="L27" s="195" t="s">
        <v>2057</v>
      </c>
      <c r="M27" s="195" t="s">
        <v>14</v>
      </c>
    </row>
    <row r="28" spans="1:13">
      <c r="A28" s="190" t="s">
        <v>10178</v>
      </c>
      <c r="B28" s="191" t="s">
        <v>119</v>
      </c>
      <c r="C28" s="191" t="s">
        <v>9141</v>
      </c>
      <c r="D28" s="192" t="s">
        <v>120</v>
      </c>
      <c r="E28" s="191" t="s">
        <v>29</v>
      </c>
      <c r="F28" s="191" t="s">
        <v>21</v>
      </c>
      <c r="G28" s="191" t="s">
        <v>70</v>
      </c>
      <c r="H28" s="191" t="s">
        <v>26</v>
      </c>
      <c r="I28" s="191" t="s">
        <v>167</v>
      </c>
      <c r="J28" s="193" t="s">
        <v>1435</v>
      </c>
      <c r="K28" s="194">
        <v>174400</v>
      </c>
      <c r="L28" s="195" t="s">
        <v>2057</v>
      </c>
      <c r="M28" s="195" t="s">
        <v>14</v>
      </c>
    </row>
    <row r="29" spans="1:13">
      <c r="A29" s="190" t="s">
        <v>10178</v>
      </c>
      <c r="B29" s="191" t="s">
        <v>121</v>
      </c>
      <c r="C29" s="191" t="s">
        <v>9141</v>
      </c>
      <c r="D29" s="192" t="s">
        <v>120</v>
      </c>
      <c r="E29" s="191" t="s">
        <v>29</v>
      </c>
      <c r="F29" s="191" t="s">
        <v>21</v>
      </c>
      <c r="G29" s="191" t="s">
        <v>70</v>
      </c>
      <c r="H29" s="191" t="s">
        <v>42</v>
      </c>
      <c r="I29" s="191" t="s">
        <v>167</v>
      </c>
      <c r="J29" s="193" t="s">
        <v>1435</v>
      </c>
      <c r="K29" s="194">
        <v>225630</v>
      </c>
      <c r="L29" s="195" t="s">
        <v>2057</v>
      </c>
      <c r="M29" s="195" t="s">
        <v>14</v>
      </c>
    </row>
    <row r="30" spans="1:13">
      <c r="A30" s="190" t="s">
        <v>10178</v>
      </c>
      <c r="B30" s="191" t="s">
        <v>122</v>
      </c>
      <c r="C30" s="191" t="s">
        <v>9141</v>
      </c>
      <c r="D30" s="192" t="s">
        <v>120</v>
      </c>
      <c r="E30" s="191" t="s">
        <v>29</v>
      </c>
      <c r="F30" s="191" t="s">
        <v>21</v>
      </c>
      <c r="G30" s="191" t="s">
        <v>74</v>
      </c>
      <c r="H30" s="191" t="s">
        <v>26</v>
      </c>
      <c r="I30" s="191" t="s">
        <v>167</v>
      </c>
      <c r="J30" s="193" t="s">
        <v>1435</v>
      </c>
      <c r="K30" s="194">
        <v>174400</v>
      </c>
      <c r="L30" s="195" t="s">
        <v>2057</v>
      </c>
      <c r="M30" s="195" t="s">
        <v>14</v>
      </c>
    </row>
    <row r="31" spans="1:13">
      <c r="A31" s="190" t="s">
        <v>10178</v>
      </c>
      <c r="B31" s="191" t="s">
        <v>123</v>
      </c>
      <c r="C31" s="191" t="s">
        <v>9141</v>
      </c>
      <c r="D31" s="192" t="s">
        <v>120</v>
      </c>
      <c r="E31" s="191" t="s">
        <v>29</v>
      </c>
      <c r="F31" s="191" t="s">
        <v>21</v>
      </c>
      <c r="G31" s="191" t="s">
        <v>74</v>
      </c>
      <c r="H31" s="191" t="s">
        <v>42</v>
      </c>
      <c r="I31" s="191" t="s">
        <v>167</v>
      </c>
      <c r="J31" s="193"/>
      <c r="K31" s="194">
        <v>239800</v>
      </c>
      <c r="L31" s="195" t="s">
        <v>2057</v>
      </c>
      <c r="M31" s="195" t="s">
        <v>14</v>
      </c>
    </row>
    <row r="32" spans="1:13">
      <c r="A32" s="190" t="s">
        <v>10178</v>
      </c>
      <c r="B32" s="191" t="s">
        <v>124</v>
      </c>
      <c r="C32" s="191" t="s">
        <v>9141</v>
      </c>
      <c r="D32" s="192" t="s">
        <v>120</v>
      </c>
      <c r="E32" s="191" t="s">
        <v>29</v>
      </c>
      <c r="F32" s="191" t="s">
        <v>21</v>
      </c>
      <c r="G32" s="191" t="s">
        <v>72</v>
      </c>
      <c r="H32" s="191" t="s">
        <v>26</v>
      </c>
      <c r="I32" s="191" t="s">
        <v>167</v>
      </c>
      <c r="J32" s="193" t="s">
        <v>1435</v>
      </c>
      <c r="K32" s="194">
        <v>174400</v>
      </c>
      <c r="L32" s="195" t="s">
        <v>2057</v>
      </c>
      <c r="M32" s="195" t="s">
        <v>14</v>
      </c>
    </row>
    <row r="33" spans="1:13">
      <c r="A33" s="190" t="s">
        <v>10178</v>
      </c>
      <c r="B33" s="191" t="s">
        <v>125</v>
      </c>
      <c r="C33" s="191" t="s">
        <v>9141</v>
      </c>
      <c r="D33" s="192" t="s">
        <v>120</v>
      </c>
      <c r="E33" s="191" t="s">
        <v>29</v>
      </c>
      <c r="F33" s="191" t="s">
        <v>21</v>
      </c>
      <c r="G33" s="191" t="s">
        <v>72</v>
      </c>
      <c r="H33" s="191" t="s">
        <v>42</v>
      </c>
      <c r="I33" s="191" t="s">
        <v>167</v>
      </c>
      <c r="J33" s="193"/>
      <c r="K33" s="194">
        <v>305200</v>
      </c>
      <c r="L33" s="195" t="s">
        <v>2057</v>
      </c>
      <c r="M33" s="195" t="s">
        <v>14</v>
      </c>
    </row>
    <row r="34" spans="1:13">
      <c r="A34" s="190" t="s">
        <v>10178</v>
      </c>
      <c r="B34" s="191" t="s">
        <v>126</v>
      </c>
      <c r="C34" s="191" t="s">
        <v>9141</v>
      </c>
      <c r="D34" s="192" t="s">
        <v>127</v>
      </c>
      <c r="E34" s="191" t="s">
        <v>128</v>
      </c>
      <c r="F34" s="191" t="s">
        <v>21</v>
      </c>
      <c r="G34" s="191" t="s">
        <v>70</v>
      </c>
      <c r="H34" s="191" t="s">
        <v>42</v>
      </c>
      <c r="I34" s="191" t="s">
        <v>167</v>
      </c>
      <c r="J34" s="193" t="s">
        <v>1435</v>
      </c>
      <c r="K34" s="194">
        <v>13080000</v>
      </c>
      <c r="L34" s="195" t="s">
        <v>2057</v>
      </c>
      <c r="M34" s="195" t="s">
        <v>14</v>
      </c>
    </row>
    <row r="35" spans="1:13">
      <c r="A35" s="190" t="s">
        <v>10178</v>
      </c>
      <c r="B35" s="191" t="s">
        <v>129</v>
      </c>
      <c r="C35" s="191" t="s">
        <v>9141</v>
      </c>
      <c r="D35" s="192" t="s">
        <v>127</v>
      </c>
      <c r="E35" s="191" t="s">
        <v>128</v>
      </c>
      <c r="F35" s="191" t="s">
        <v>21</v>
      </c>
      <c r="G35" s="191" t="s">
        <v>74</v>
      </c>
      <c r="H35" s="191" t="s">
        <v>42</v>
      </c>
      <c r="I35" s="191" t="s">
        <v>167</v>
      </c>
      <c r="J35" s="193" t="s">
        <v>1435</v>
      </c>
      <c r="K35" s="194">
        <v>13080000</v>
      </c>
      <c r="L35" s="195" t="s">
        <v>2057</v>
      </c>
      <c r="M35" s="195" t="s">
        <v>14</v>
      </c>
    </row>
    <row r="36" spans="1:13">
      <c r="A36" s="190" t="s">
        <v>10178</v>
      </c>
      <c r="B36" s="191" t="s">
        <v>130</v>
      </c>
      <c r="C36" s="191" t="s">
        <v>9141</v>
      </c>
      <c r="D36" s="192" t="s">
        <v>127</v>
      </c>
      <c r="E36" s="191" t="s">
        <v>128</v>
      </c>
      <c r="F36" s="191" t="s">
        <v>21</v>
      </c>
      <c r="G36" s="191" t="s">
        <v>72</v>
      </c>
      <c r="H36" s="191" t="s">
        <v>42</v>
      </c>
      <c r="I36" s="191" t="s">
        <v>167</v>
      </c>
      <c r="J36" s="193" t="s">
        <v>1435</v>
      </c>
      <c r="K36" s="194">
        <v>15260000</v>
      </c>
      <c r="L36" s="195" t="s">
        <v>2057</v>
      </c>
      <c r="M36" s="195" t="s">
        <v>14</v>
      </c>
    </row>
    <row r="37" spans="1:13">
      <c r="A37" s="190" t="s">
        <v>10178</v>
      </c>
      <c r="B37" s="193" t="s">
        <v>1311</v>
      </c>
      <c r="C37" s="191" t="s">
        <v>9141</v>
      </c>
      <c r="D37" s="196" t="s">
        <v>9092</v>
      </c>
      <c r="E37" s="193" t="s">
        <v>29</v>
      </c>
      <c r="F37" s="193" t="s">
        <v>21</v>
      </c>
      <c r="G37" s="193" t="s">
        <v>9093</v>
      </c>
      <c r="H37" s="193" t="s">
        <v>26</v>
      </c>
      <c r="I37" s="193" t="s">
        <v>9094</v>
      </c>
      <c r="J37" s="193" t="s">
        <v>1435</v>
      </c>
      <c r="K37" s="197">
        <v>280000</v>
      </c>
      <c r="L37" s="195" t="s">
        <v>2057</v>
      </c>
      <c r="M37" s="195" t="s">
        <v>14</v>
      </c>
    </row>
    <row r="38" spans="1:13">
      <c r="A38" s="190" t="s">
        <v>10178</v>
      </c>
      <c r="B38" s="193" t="s">
        <v>1313</v>
      </c>
      <c r="C38" s="191" t="s">
        <v>9141</v>
      </c>
      <c r="D38" s="196" t="s">
        <v>9092</v>
      </c>
      <c r="E38" s="193" t="s">
        <v>29</v>
      </c>
      <c r="F38" s="193" t="s">
        <v>21</v>
      </c>
      <c r="G38" s="193" t="s">
        <v>70</v>
      </c>
      <c r="H38" s="193" t="s">
        <v>42</v>
      </c>
      <c r="I38" s="193" t="s">
        <v>9094</v>
      </c>
      <c r="J38" s="193" t="s">
        <v>1435</v>
      </c>
      <c r="K38" s="197">
        <v>295000</v>
      </c>
      <c r="L38" s="195" t="s">
        <v>2057</v>
      </c>
      <c r="M38" s="195" t="s">
        <v>14</v>
      </c>
    </row>
    <row r="39" spans="1:13">
      <c r="A39" s="190" t="s">
        <v>10178</v>
      </c>
      <c r="B39" s="193" t="s">
        <v>2614</v>
      </c>
      <c r="C39" s="191" t="s">
        <v>9141</v>
      </c>
      <c r="D39" s="196" t="s">
        <v>9092</v>
      </c>
      <c r="E39" s="193" t="s">
        <v>128</v>
      </c>
      <c r="F39" s="193" t="s">
        <v>21</v>
      </c>
      <c r="G39" s="193" t="s">
        <v>70</v>
      </c>
      <c r="H39" s="193" t="s">
        <v>42</v>
      </c>
      <c r="I39" s="193" t="s">
        <v>9094</v>
      </c>
      <c r="J39" s="193" t="s">
        <v>1435</v>
      </c>
      <c r="K39" s="197">
        <v>32250000</v>
      </c>
      <c r="L39" s="195" t="s">
        <v>2057</v>
      </c>
      <c r="M39" s="195" t="s">
        <v>14</v>
      </c>
    </row>
    <row r="40" spans="1:13">
      <c r="A40" s="190" t="s">
        <v>10178</v>
      </c>
      <c r="B40" s="191" t="s">
        <v>131</v>
      </c>
      <c r="C40" s="191" t="s">
        <v>9141</v>
      </c>
      <c r="D40" s="192" t="s">
        <v>9142</v>
      </c>
      <c r="E40" s="191" t="s">
        <v>133</v>
      </c>
      <c r="F40" s="191" t="s">
        <v>21</v>
      </c>
      <c r="G40" s="191" t="s">
        <v>70</v>
      </c>
      <c r="H40" s="191" t="s">
        <v>26</v>
      </c>
      <c r="I40" s="191" t="s">
        <v>436</v>
      </c>
      <c r="J40" s="193" t="s">
        <v>9143</v>
      </c>
      <c r="K40" s="194">
        <v>17440000</v>
      </c>
      <c r="L40" s="195" t="s">
        <v>173</v>
      </c>
      <c r="M40" s="195" t="s">
        <v>14</v>
      </c>
    </row>
    <row r="41" spans="1:13">
      <c r="A41" s="190" t="s">
        <v>10178</v>
      </c>
      <c r="B41" s="191" t="s">
        <v>134</v>
      </c>
      <c r="C41" s="191" t="s">
        <v>9141</v>
      </c>
      <c r="D41" s="192" t="s">
        <v>9142</v>
      </c>
      <c r="E41" s="191" t="s">
        <v>133</v>
      </c>
      <c r="F41" s="191" t="s">
        <v>21</v>
      </c>
      <c r="G41" s="191" t="s">
        <v>70</v>
      </c>
      <c r="H41" s="191" t="s">
        <v>42</v>
      </c>
      <c r="I41" s="191" t="s">
        <v>436</v>
      </c>
      <c r="J41" s="193" t="s">
        <v>9143</v>
      </c>
      <c r="K41" s="194">
        <v>20710000</v>
      </c>
      <c r="L41" s="195" t="s">
        <v>2057</v>
      </c>
      <c r="M41" s="195" t="s">
        <v>14</v>
      </c>
    </row>
    <row r="42" spans="1:13">
      <c r="A42" s="190" t="s">
        <v>10178</v>
      </c>
      <c r="B42" s="191" t="s">
        <v>135</v>
      </c>
      <c r="C42" s="191" t="s">
        <v>9141</v>
      </c>
      <c r="D42" s="192" t="s">
        <v>9142</v>
      </c>
      <c r="E42" s="191" t="s">
        <v>133</v>
      </c>
      <c r="F42" s="191" t="s">
        <v>21</v>
      </c>
      <c r="G42" s="191" t="s">
        <v>74</v>
      </c>
      <c r="H42" s="191" t="s">
        <v>26</v>
      </c>
      <c r="I42" s="191" t="s">
        <v>436</v>
      </c>
      <c r="J42" s="193" t="s">
        <v>9143</v>
      </c>
      <c r="K42" s="194">
        <v>17440000</v>
      </c>
      <c r="L42" s="195" t="s">
        <v>173</v>
      </c>
      <c r="M42" s="195" t="s">
        <v>14</v>
      </c>
    </row>
    <row r="43" spans="1:13">
      <c r="A43" s="190" t="s">
        <v>10178</v>
      </c>
      <c r="B43" s="191" t="s">
        <v>136</v>
      </c>
      <c r="C43" s="191" t="s">
        <v>9141</v>
      </c>
      <c r="D43" s="192" t="s">
        <v>9142</v>
      </c>
      <c r="E43" s="191" t="s">
        <v>133</v>
      </c>
      <c r="F43" s="191" t="s">
        <v>21</v>
      </c>
      <c r="G43" s="191" t="s">
        <v>74</v>
      </c>
      <c r="H43" s="191" t="s">
        <v>42</v>
      </c>
      <c r="I43" s="191" t="s">
        <v>436</v>
      </c>
      <c r="J43" s="193" t="s">
        <v>9143</v>
      </c>
      <c r="K43" s="194">
        <v>23980000</v>
      </c>
      <c r="L43" s="195" t="s">
        <v>2057</v>
      </c>
      <c r="M43" s="195" t="s">
        <v>14</v>
      </c>
    </row>
    <row r="44" spans="1:13">
      <c r="A44" s="190" t="s">
        <v>10178</v>
      </c>
      <c r="B44" s="191" t="s">
        <v>137</v>
      </c>
      <c r="C44" s="191" t="s">
        <v>9141</v>
      </c>
      <c r="D44" s="192" t="s">
        <v>9142</v>
      </c>
      <c r="E44" s="191" t="s">
        <v>133</v>
      </c>
      <c r="F44" s="191" t="s">
        <v>21</v>
      </c>
      <c r="G44" s="191" t="s">
        <v>72</v>
      </c>
      <c r="H44" s="191" t="s">
        <v>26</v>
      </c>
      <c r="I44" s="191" t="s">
        <v>436</v>
      </c>
      <c r="J44" s="193" t="s">
        <v>9143</v>
      </c>
      <c r="K44" s="194">
        <v>17440000</v>
      </c>
      <c r="L44" s="195" t="s">
        <v>173</v>
      </c>
      <c r="M44" s="195" t="s">
        <v>14</v>
      </c>
    </row>
    <row r="45" spans="1:13">
      <c r="A45" s="190" t="s">
        <v>10178</v>
      </c>
      <c r="B45" s="191" t="s">
        <v>138</v>
      </c>
      <c r="C45" s="191" t="s">
        <v>9141</v>
      </c>
      <c r="D45" s="192" t="s">
        <v>9142</v>
      </c>
      <c r="E45" s="191" t="s">
        <v>133</v>
      </c>
      <c r="F45" s="191" t="s">
        <v>21</v>
      </c>
      <c r="G45" s="191" t="s">
        <v>72</v>
      </c>
      <c r="H45" s="191" t="s">
        <v>42</v>
      </c>
      <c r="I45" s="191" t="s">
        <v>436</v>
      </c>
      <c r="J45" s="193" t="s">
        <v>9143</v>
      </c>
      <c r="K45" s="194">
        <v>28340000</v>
      </c>
      <c r="L45" s="195" t="s">
        <v>2057</v>
      </c>
      <c r="M45" s="195" t="s">
        <v>14</v>
      </c>
    </row>
    <row r="46" spans="1:13">
      <c r="A46" s="190" t="s">
        <v>10178</v>
      </c>
      <c r="B46" s="191" t="s">
        <v>139</v>
      </c>
      <c r="C46" s="191" t="s">
        <v>9141</v>
      </c>
      <c r="D46" s="192" t="s">
        <v>140</v>
      </c>
      <c r="E46" s="191" t="s">
        <v>141</v>
      </c>
      <c r="F46" s="191" t="s">
        <v>21</v>
      </c>
      <c r="G46" s="191" t="s">
        <v>70</v>
      </c>
      <c r="H46" s="191" t="s">
        <v>26</v>
      </c>
      <c r="I46" s="191" t="s">
        <v>167</v>
      </c>
      <c r="J46" s="193" t="s">
        <v>1435</v>
      </c>
      <c r="K46" s="194">
        <v>117720</v>
      </c>
      <c r="L46" s="195" t="s">
        <v>2057</v>
      </c>
      <c r="M46" s="195" t="s">
        <v>14</v>
      </c>
    </row>
    <row r="47" spans="1:13">
      <c r="A47" s="190" t="s">
        <v>10178</v>
      </c>
      <c r="B47" s="191" t="s">
        <v>142</v>
      </c>
      <c r="C47" s="191" t="s">
        <v>9141</v>
      </c>
      <c r="D47" s="192" t="s">
        <v>140</v>
      </c>
      <c r="E47" s="191" t="s">
        <v>141</v>
      </c>
      <c r="F47" s="191" t="s">
        <v>21</v>
      </c>
      <c r="G47" s="191" t="s">
        <v>70</v>
      </c>
      <c r="H47" s="191" t="s">
        <v>42</v>
      </c>
      <c r="I47" s="191" t="s">
        <v>167</v>
      </c>
      <c r="J47" s="193" t="s">
        <v>1435</v>
      </c>
      <c r="K47" s="194">
        <v>117720</v>
      </c>
      <c r="L47" s="195" t="s">
        <v>2057</v>
      </c>
      <c r="M47" s="195" t="s">
        <v>14</v>
      </c>
    </row>
    <row r="48" spans="1:13">
      <c r="A48" s="190" t="s">
        <v>10178</v>
      </c>
      <c r="B48" s="191" t="s">
        <v>143</v>
      </c>
      <c r="C48" s="191" t="s">
        <v>9141</v>
      </c>
      <c r="D48" s="192" t="s">
        <v>140</v>
      </c>
      <c r="E48" s="191" t="s">
        <v>141</v>
      </c>
      <c r="F48" s="191" t="s">
        <v>21</v>
      </c>
      <c r="G48" s="191" t="s">
        <v>74</v>
      </c>
      <c r="H48" s="191" t="s">
        <v>26</v>
      </c>
      <c r="I48" s="191" t="s">
        <v>167</v>
      </c>
      <c r="J48" s="193" t="s">
        <v>1435</v>
      </c>
      <c r="K48" s="194">
        <v>117720</v>
      </c>
      <c r="L48" s="195" t="s">
        <v>2057</v>
      </c>
      <c r="M48" s="195" t="s">
        <v>14</v>
      </c>
    </row>
    <row r="49" spans="1:13">
      <c r="A49" s="190" t="s">
        <v>10178</v>
      </c>
      <c r="B49" s="191" t="s">
        <v>144</v>
      </c>
      <c r="C49" s="191" t="s">
        <v>9141</v>
      </c>
      <c r="D49" s="192" t="s">
        <v>140</v>
      </c>
      <c r="E49" s="191" t="s">
        <v>141</v>
      </c>
      <c r="F49" s="191" t="s">
        <v>21</v>
      </c>
      <c r="G49" s="191" t="s">
        <v>74</v>
      </c>
      <c r="H49" s="191" t="s">
        <v>42</v>
      </c>
      <c r="I49" s="191" t="s">
        <v>167</v>
      </c>
      <c r="J49" s="193" t="s">
        <v>1435</v>
      </c>
      <c r="K49" s="194">
        <v>117720</v>
      </c>
      <c r="L49" s="195" t="s">
        <v>2057</v>
      </c>
      <c r="M49" s="195" t="s">
        <v>14</v>
      </c>
    </row>
    <row r="50" spans="1:13">
      <c r="A50" s="190" t="s">
        <v>10178</v>
      </c>
      <c r="B50" s="191" t="s">
        <v>145</v>
      </c>
      <c r="C50" s="191" t="s">
        <v>9141</v>
      </c>
      <c r="D50" s="192" t="s">
        <v>140</v>
      </c>
      <c r="E50" s="191" t="s">
        <v>141</v>
      </c>
      <c r="F50" s="191" t="s">
        <v>21</v>
      </c>
      <c r="G50" s="191" t="s">
        <v>72</v>
      </c>
      <c r="H50" s="191" t="s">
        <v>26</v>
      </c>
      <c r="I50" s="191" t="s">
        <v>167</v>
      </c>
      <c r="J50" s="193" t="s">
        <v>1435</v>
      </c>
      <c r="K50" s="194">
        <v>117720</v>
      </c>
      <c r="L50" s="195" t="s">
        <v>2057</v>
      </c>
      <c r="M50" s="195" t="s">
        <v>14</v>
      </c>
    </row>
    <row r="51" spans="1:13">
      <c r="A51" s="190" t="s">
        <v>10178</v>
      </c>
      <c r="B51" s="191" t="s">
        <v>146</v>
      </c>
      <c r="C51" s="191" t="s">
        <v>9141</v>
      </c>
      <c r="D51" s="192" t="s">
        <v>140</v>
      </c>
      <c r="E51" s="191" t="s">
        <v>141</v>
      </c>
      <c r="F51" s="191" t="s">
        <v>21</v>
      </c>
      <c r="G51" s="191" t="s">
        <v>72</v>
      </c>
      <c r="H51" s="191" t="s">
        <v>42</v>
      </c>
      <c r="I51" s="191" t="s">
        <v>167</v>
      </c>
      <c r="J51" s="193" t="s">
        <v>1435</v>
      </c>
      <c r="K51" s="194">
        <v>117720</v>
      </c>
      <c r="L51" s="195" t="s">
        <v>2057</v>
      </c>
      <c r="M51" s="195" t="s">
        <v>14</v>
      </c>
    </row>
    <row r="52" spans="1:13">
      <c r="A52" s="190" t="s">
        <v>10178</v>
      </c>
      <c r="B52" s="193" t="s">
        <v>9095</v>
      </c>
      <c r="C52" s="191" t="s">
        <v>9141</v>
      </c>
      <c r="D52" s="196" t="s">
        <v>140</v>
      </c>
      <c r="E52" s="193" t="s">
        <v>9096</v>
      </c>
      <c r="F52" s="193" t="s">
        <v>21</v>
      </c>
      <c r="G52" s="193" t="s">
        <v>9097</v>
      </c>
      <c r="H52" s="193" t="s">
        <v>26</v>
      </c>
      <c r="I52" s="193" t="s">
        <v>167</v>
      </c>
      <c r="J52" s="193" t="s">
        <v>1435</v>
      </c>
      <c r="K52" s="197">
        <v>160000000</v>
      </c>
      <c r="L52" s="195" t="s">
        <v>2057</v>
      </c>
      <c r="M52" s="195" t="s">
        <v>14</v>
      </c>
    </row>
    <row r="53" spans="1:13">
      <c r="A53" s="190" t="s">
        <v>10178</v>
      </c>
      <c r="B53" s="191" t="s">
        <v>147</v>
      </c>
      <c r="C53" s="191" t="s">
        <v>9141</v>
      </c>
      <c r="D53" s="192" t="s">
        <v>148</v>
      </c>
      <c r="E53" s="191" t="s">
        <v>128</v>
      </c>
      <c r="F53" s="191" t="s">
        <v>21</v>
      </c>
      <c r="G53" s="191" t="s">
        <v>70</v>
      </c>
      <c r="H53" s="191" t="s">
        <v>42</v>
      </c>
      <c r="I53" s="191" t="s">
        <v>436</v>
      </c>
      <c r="J53" s="193" t="s">
        <v>1435</v>
      </c>
      <c r="K53" s="194">
        <v>9810000</v>
      </c>
      <c r="L53" s="195" t="s">
        <v>2057</v>
      </c>
      <c r="M53" s="195" t="s">
        <v>14</v>
      </c>
    </row>
    <row r="54" spans="1:13">
      <c r="A54" s="190" t="s">
        <v>10178</v>
      </c>
      <c r="B54" s="191" t="s">
        <v>149</v>
      </c>
      <c r="C54" s="191" t="s">
        <v>9141</v>
      </c>
      <c r="D54" s="192" t="s">
        <v>148</v>
      </c>
      <c r="E54" s="191" t="s">
        <v>128</v>
      </c>
      <c r="F54" s="191" t="s">
        <v>21</v>
      </c>
      <c r="G54" s="191" t="s">
        <v>74</v>
      </c>
      <c r="H54" s="191" t="s">
        <v>42</v>
      </c>
      <c r="I54" s="191" t="s">
        <v>436</v>
      </c>
      <c r="J54" s="193" t="s">
        <v>1435</v>
      </c>
      <c r="K54" s="194">
        <v>9810000</v>
      </c>
      <c r="L54" s="195" t="s">
        <v>2057</v>
      </c>
      <c r="M54" s="195" t="s">
        <v>14</v>
      </c>
    </row>
    <row r="55" spans="1:13">
      <c r="A55" s="190" t="s">
        <v>10178</v>
      </c>
      <c r="B55" s="191" t="s">
        <v>150</v>
      </c>
      <c r="C55" s="191" t="s">
        <v>9141</v>
      </c>
      <c r="D55" s="192" t="s">
        <v>148</v>
      </c>
      <c r="E55" s="191" t="s">
        <v>128</v>
      </c>
      <c r="F55" s="191" t="s">
        <v>21</v>
      </c>
      <c r="G55" s="191" t="s">
        <v>72</v>
      </c>
      <c r="H55" s="191" t="s">
        <v>42</v>
      </c>
      <c r="I55" s="191" t="s">
        <v>436</v>
      </c>
      <c r="J55" s="193" t="s">
        <v>1435</v>
      </c>
      <c r="K55" s="194">
        <v>13080000</v>
      </c>
      <c r="L55" s="195" t="s">
        <v>2057</v>
      </c>
      <c r="M55" s="195" t="s">
        <v>14</v>
      </c>
    </row>
    <row r="56" spans="1:13">
      <c r="A56" s="190" t="s">
        <v>10178</v>
      </c>
      <c r="B56" s="193" t="s">
        <v>9098</v>
      </c>
      <c r="C56" s="191" t="s">
        <v>9141</v>
      </c>
      <c r="D56" s="196" t="s">
        <v>9099</v>
      </c>
      <c r="E56" s="193" t="s">
        <v>128</v>
      </c>
      <c r="F56" s="193" t="s">
        <v>21</v>
      </c>
      <c r="G56" s="193" t="s">
        <v>9097</v>
      </c>
      <c r="H56" s="193" t="s">
        <v>26</v>
      </c>
      <c r="I56" s="193" t="s">
        <v>436</v>
      </c>
      <c r="J56" s="193" t="s">
        <v>1435</v>
      </c>
      <c r="K56" s="194">
        <v>8940000</v>
      </c>
      <c r="L56" s="195" t="s">
        <v>2057</v>
      </c>
      <c r="M56" s="195" t="s">
        <v>14</v>
      </c>
    </row>
    <row r="57" spans="1:13">
      <c r="A57" s="190" t="s">
        <v>10178</v>
      </c>
      <c r="B57" s="191" t="s">
        <v>151</v>
      </c>
      <c r="C57" s="191" t="s">
        <v>9141</v>
      </c>
      <c r="D57" s="192" t="s">
        <v>152</v>
      </c>
      <c r="E57" s="191" t="s">
        <v>29</v>
      </c>
      <c r="F57" s="191" t="s">
        <v>21</v>
      </c>
      <c r="G57" s="191" t="s">
        <v>74</v>
      </c>
      <c r="H57" s="191" t="s">
        <v>26</v>
      </c>
      <c r="I57" s="191" t="s">
        <v>436</v>
      </c>
      <c r="J57" s="193" t="s">
        <v>1435</v>
      </c>
      <c r="K57" s="194">
        <v>174400</v>
      </c>
      <c r="L57" s="195" t="s">
        <v>2057</v>
      </c>
      <c r="M57" s="195" t="s">
        <v>14</v>
      </c>
    </row>
    <row r="58" spans="1:13">
      <c r="A58" s="190" t="s">
        <v>10178</v>
      </c>
      <c r="B58" s="191" t="s">
        <v>153</v>
      </c>
      <c r="C58" s="191" t="s">
        <v>9141</v>
      </c>
      <c r="D58" s="192" t="s">
        <v>152</v>
      </c>
      <c r="E58" s="191" t="s">
        <v>29</v>
      </c>
      <c r="F58" s="191" t="s">
        <v>21</v>
      </c>
      <c r="G58" s="191" t="s">
        <v>74</v>
      </c>
      <c r="H58" s="191" t="s">
        <v>42</v>
      </c>
      <c r="I58" s="191" t="s">
        <v>436</v>
      </c>
      <c r="J58" s="193" t="s">
        <v>1435</v>
      </c>
      <c r="K58" s="194">
        <v>196200</v>
      </c>
      <c r="L58" s="195" t="s">
        <v>2057</v>
      </c>
      <c r="M58" s="195" t="s">
        <v>14</v>
      </c>
    </row>
    <row r="59" spans="1:13">
      <c r="A59" s="190" t="s">
        <v>10178</v>
      </c>
      <c r="B59" s="191" t="s">
        <v>154</v>
      </c>
      <c r="C59" s="191" t="s">
        <v>9141</v>
      </c>
      <c r="D59" s="192" t="s">
        <v>152</v>
      </c>
      <c r="E59" s="191" t="s">
        <v>29</v>
      </c>
      <c r="F59" s="191" t="s">
        <v>21</v>
      </c>
      <c r="G59" s="191" t="s">
        <v>70</v>
      </c>
      <c r="H59" s="191" t="s">
        <v>26</v>
      </c>
      <c r="I59" s="191" t="s">
        <v>436</v>
      </c>
      <c r="J59" s="193" t="s">
        <v>1435</v>
      </c>
      <c r="K59" s="194">
        <v>174400</v>
      </c>
      <c r="L59" s="195" t="s">
        <v>2057</v>
      </c>
      <c r="M59" s="195" t="s">
        <v>14</v>
      </c>
    </row>
    <row r="60" spans="1:13">
      <c r="A60" s="190" t="s">
        <v>10178</v>
      </c>
      <c r="B60" s="191" t="s">
        <v>155</v>
      </c>
      <c r="C60" s="191" t="s">
        <v>9141</v>
      </c>
      <c r="D60" s="192" t="s">
        <v>152</v>
      </c>
      <c r="E60" s="191" t="s">
        <v>29</v>
      </c>
      <c r="F60" s="191" t="s">
        <v>21</v>
      </c>
      <c r="G60" s="191" t="s">
        <v>72</v>
      </c>
      <c r="H60" s="191" t="s">
        <v>26</v>
      </c>
      <c r="I60" s="191" t="s">
        <v>436</v>
      </c>
      <c r="J60" s="193" t="s">
        <v>1435</v>
      </c>
      <c r="K60" s="194">
        <v>174400</v>
      </c>
      <c r="L60" s="195" t="s">
        <v>2057</v>
      </c>
      <c r="M60" s="195" t="s">
        <v>14</v>
      </c>
    </row>
    <row r="61" spans="1:13">
      <c r="A61" s="190" t="s">
        <v>10178</v>
      </c>
      <c r="B61" s="191" t="s">
        <v>156</v>
      </c>
      <c r="C61" s="191" t="s">
        <v>9141</v>
      </c>
      <c r="D61" s="192" t="s">
        <v>152</v>
      </c>
      <c r="E61" s="191" t="s">
        <v>29</v>
      </c>
      <c r="F61" s="191" t="s">
        <v>21</v>
      </c>
      <c r="G61" s="191" t="s">
        <v>72</v>
      </c>
      <c r="H61" s="191" t="s">
        <v>42</v>
      </c>
      <c r="I61" s="191" t="s">
        <v>436</v>
      </c>
      <c r="J61" s="193" t="s">
        <v>1435</v>
      </c>
      <c r="K61" s="194">
        <v>239800</v>
      </c>
      <c r="L61" s="195" t="s">
        <v>2057</v>
      </c>
      <c r="M61" s="195" t="s">
        <v>14</v>
      </c>
    </row>
    <row r="62" spans="1:13">
      <c r="A62" s="190" t="s">
        <v>10178</v>
      </c>
      <c r="B62" s="191" t="s">
        <v>157</v>
      </c>
      <c r="C62" s="191" t="s">
        <v>9141</v>
      </c>
      <c r="D62" s="192" t="s">
        <v>152</v>
      </c>
      <c r="E62" s="191" t="s">
        <v>29</v>
      </c>
      <c r="F62" s="191" t="s">
        <v>21</v>
      </c>
      <c r="G62" s="191" t="s">
        <v>70</v>
      </c>
      <c r="H62" s="191" t="s">
        <v>42</v>
      </c>
      <c r="I62" s="191" t="s">
        <v>436</v>
      </c>
      <c r="J62" s="193" t="s">
        <v>1435</v>
      </c>
      <c r="K62" s="194">
        <v>316100</v>
      </c>
      <c r="L62" s="195" t="s">
        <v>2057</v>
      </c>
      <c r="M62" s="195" t="s">
        <v>14</v>
      </c>
    </row>
    <row r="63" spans="1:13">
      <c r="A63" s="190" t="s">
        <v>10178</v>
      </c>
      <c r="B63" s="191" t="s">
        <v>158</v>
      </c>
      <c r="C63" s="191" t="s">
        <v>9141</v>
      </c>
      <c r="D63" s="192" t="s">
        <v>159</v>
      </c>
      <c r="E63" s="191" t="s">
        <v>29</v>
      </c>
      <c r="F63" s="191" t="s">
        <v>21</v>
      </c>
      <c r="G63" s="191" t="s">
        <v>70</v>
      </c>
      <c r="H63" s="191" t="s">
        <v>42</v>
      </c>
      <c r="I63" s="191" t="s">
        <v>436</v>
      </c>
      <c r="J63" s="193" t="s">
        <v>1435</v>
      </c>
      <c r="K63" s="194">
        <v>316100</v>
      </c>
      <c r="L63" s="195" t="s">
        <v>2057</v>
      </c>
      <c r="M63" s="195" t="s">
        <v>14</v>
      </c>
    </row>
    <row r="64" spans="1:13">
      <c r="A64" s="190" t="s">
        <v>10178</v>
      </c>
      <c r="B64" s="191" t="s">
        <v>160</v>
      </c>
      <c r="C64" s="191" t="s">
        <v>9141</v>
      </c>
      <c r="D64" s="192" t="s">
        <v>159</v>
      </c>
      <c r="E64" s="191" t="s">
        <v>29</v>
      </c>
      <c r="F64" s="191" t="s">
        <v>21</v>
      </c>
      <c r="G64" s="191" t="s">
        <v>74</v>
      </c>
      <c r="H64" s="191" t="s">
        <v>26</v>
      </c>
      <c r="I64" s="191" t="s">
        <v>436</v>
      </c>
      <c r="J64" s="193" t="s">
        <v>1435</v>
      </c>
      <c r="K64" s="194">
        <v>174400</v>
      </c>
      <c r="L64" s="195" t="s">
        <v>2057</v>
      </c>
      <c r="M64" s="195" t="s">
        <v>14</v>
      </c>
    </row>
    <row r="65" spans="1:13">
      <c r="A65" s="190" t="s">
        <v>10178</v>
      </c>
      <c r="B65" s="191" t="s">
        <v>161</v>
      </c>
      <c r="C65" s="191" t="s">
        <v>9141</v>
      </c>
      <c r="D65" s="192" t="s">
        <v>159</v>
      </c>
      <c r="E65" s="191" t="s">
        <v>29</v>
      </c>
      <c r="F65" s="191" t="s">
        <v>21</v>
      </c>
      <c r="G65" s="191" t="s">
        <v>74</v>
      </c>
      <c r="H65" s="191" t="s">
        <v>42</v>
      </c>
      <c r="I65" s="191" t="s">
        <v>436</v>
      </c>
      <c r="J65" s="193" t="s">
        <v>1435</v>
      </c>
      <c r="K65" s="194">
        <v>196200</v>
      </c>
      <c r="L65" s="195" t="s">
        <v>2057</v>
      </c>
      <c r="M65" s="195" t="s">
        <v>14</v>
      </c>
    </row>
    <row r="66" spans="1:13">
      <c r="A66" s="190" t="s">
        <v>10178</v>
      </c>
      <c r="B66" s="191" t="s">
        <v>162</v>
      </c>
      <c r="C66" s="191" t="s">
        <v>9141</v>
      </c>
      <c r="D66" s="192" t="s">
        <v>159</v>
      </c>
      <c r="E66" s="191" t="s">
        <v>29</v>
      </c>
      <c r="F66" s="191" t="s">
        <v>21</v>
      </c>
      <c r="G66" s="191" t="s">
        <v>72</v>
      </c>
      <c r="H66" s="191" t="s">
        <v>26</v>
      </c>
      <c r="I66" s="191" t="s">
        <v>436</v>
      </c>
      <c r="J66" s="193" t="s">
        <v>1435</v>
      </c>
      <c r="K66" s="194">
        <v>174400</v>
      </c>
      <c r="L66" s="195" t="s">
        <v>2057</v>
      </c>
      <c r="M66" s="195" t="s">
        <v>14</v>
      </c>
    </row>
    <row r="67" spans="1:13">
      <c r="A67" s="190" t="s">
        <v>10178</v>
      </c>
      <c r="B67" s="191" t="s">
        <v>163</v>
      </c>
      <c r="C67" s="191" t="s">
        <v>9141</v>
      </c>
      <c r="D67" s="192" t="s">
        <v>159</v>
      </c>
      <c r="E67" s="191" t="s">
        <v>29</v>
      </c>
      <c r="F67" s="191" t="s">
        <v>21</v>
      </c>
      <c r="G67" s="191" t="s">
        <v>72</v>
      </c>
      <c r="H67" s="191" t="s">
        <v>42</v>
      </c>
      <c r="I67" s="191" t="s">
        <v>436</v>
      </c>
      <c r="J67" s="193" t="s">
        <v>1435</v>
      </c>
      <c r="K67" s="194">
        <v>316100</v>
      </c>
      <c r="L67" s="195" t="s">
        <v>2057</v>
      </c>
      <c r="M67" s="195" t="s">
        <v>14</v>
      </c>
    </row>
    <row r="68" spans="1:13">
      <c r="A68" s="190" t="s">
        <v>10178</v>
      </c>
      <c r="B68" s="191" t="s">
        <v>164</v>
      </c>
      <c r="C68" s="191" t="s">
        <v>9141</v>
      </c>
      <c r="D68" s="192" t="s">
        <v>159</v>
      </c>
      <c r="E68" s="191" t="s">
        <v>29</v>
      </c>
      <c r="F68" s="191" t="s">
        <v>21</v>
      </c>
      <c r="G68" s="191" t="s">
        <v>70</v>
      </c>
      <c r="H68" s="191" t="s">
        <v>26</v>
      </c>
      <c r="I68" s="191" t="s">
        <v>436</v>
      </c>
      <c r="J68" s="193" t="s">
        <v>1435</v>
      </c>
      <c r="K68" s="194">
        <v>174400</v>
      </c>
      <c r="L68" s="195" t="s">
        <v>2057</v>
      </c>
      <c r="M68" s="195" t="s">
        <v>14</v>
      </c>
    </row>
    <row r="69" spans="1:13">
      <c r="A69" s="190" t="s">
        <v>10178</v>
      </c>
      <c r="B69" s="191" t="s">
        <v>9144</v>
      </c>
      <c r="C69" s="191" t="s">
        <v>9141</v>
      </c>
      <c r="D69" s="192" t="s">
        <v>9145</v>
      </c>
      <c r="E69" s="191" t="s">
        <v>9146</v>
      </c>
      <c r="F69" s="191" t="s">
        <v>21</v>
      </c>
      <c r="G69" s="191" t="s">
        <v>1437</v>
      </c>
      <c r="H69" s="191" t="s">
        <v>26</v>
      </c>
      <c r="I69" s="191" t="s">
        <v>9147</v>
      </c>
      <c r="J69" s="193" t="s">
        <v>1435</v>
      </c>
      <c r="K69" s="194">
        <v>49050000</v>
      </c>
      <c r="L69" s="195" t="s">
        <v>2057</v>
      </c>
      <c r="M69" s="195" t="s">
        <v>14</v>
      </c>
    </row>
    <row r="70" spans="1:13">
      <c r="A70" s="190" t="s">
        <v>10178</v>
      </c>
      <c r="B70" s="191" t="s">
        <v>9148</v>
      </c>
      <c r="C70" s="191" t="s">
        <v>9141</v>
      </c>
      <c r="D70" s="192" t="s">
        <v>9149</v>
      </c>
      <c r="E70" s="191" t="s">
        <v>29</v>
      </c>
      <c r="F70" s="191" t="s">
        <v>21</v>
      </c>
      <c r="G70" s="191" t="s">
        <v>1437</v>
      </c>
      <c r="H70" s="191" t="s">
        <v>26</v>
      </c>
      <c r="I70" s="191" t="s">
        <v>9147</v>
      </c>
      <c r="J70" s="193" t="s">
        <v>1435</v>
      </c>
      <c r="K70" s="194">
        <v>196200</v>
      </c>
      <c r="L70" s="195" t="s">
        <v>2057</v>
      </c>
      <c r="M70" s="195" t="s">
        <v>14</v>
      </c>
    </row>
    <row r="71" spans="1:13" ht="28">
      <c r="A71" s="190" t="s">
        <v>10178</v>
      </c>
      <c r="B71" s="191" t="s">
        <v>9150</v>
      </c>
      <c r="C71" s="191" t="s">
        <v>9141</v>
      </c>
      <c r="D71" s="192" t="s">
        <v>9151</v>
      </c>
      <c r="E71" s="191" t="s">
        <v>1436</v>
      </c>
      <c r="F71" s="191" t="s">
        <v>16</v>
      </c>
      <c r="G71" s="191" t="s">
        <v>1437</v>
      </c>
      <c r="H71" s="191" t="s">
        <v>15</v>
      </c>
      <c r="I71" s="191" t="s">
        <v>15</v>
      </c>
      <c r="J71" s="193" t="s">
        <v>252</v>
      </c>
      <c r="K71" s="194">
        <v>7957000</v>
      </c>
      <c r="L71" s="195" t="s">
        <v>2057</v>
      </c>
      <c r="M71" s="195" t="s">
        <v>14</v>
      </c>
    </row>
    <row r="72" spans="1:13" ht="42">
      <c r="A72" s="190" t="s">
        <v>10178</v>
      </c>
      <c r="B72" s="191" t="s">
        <v>9152</v>
      </c>
      <c r="C72" s="191" t="s">
        <v>9141</v>
      </c>
      <c r="D72" s="192" t="s">
        <v>9153</v>
      </c>
      <c r="E72" s="191" t="s">
        <v>1436</v>
      </c>
      <c r="F72" s="191" t="s">
        <v>16</v>
      </c>
      <c r="G72" s="191" t="s">
        <v>1437</v>
      </c>
      <c r="H72" s="191" t="s">
        <v>15</v>
      </c>
      <c r="I72" s="191" t="s">
        <v>15</v>
      </c>
      <c r="J72" s="193" t="s">
        <v>252</v>
      </c>
      <c r="K72" s="194">
        <v>1438800</v>
      </c>
      <c r="L72" s="195" t="s">
        <v>2057</v>
      </c>
      <c r="M72" s="195" t="s">
        <v>14</v>
      </c>
    </row>
    <row r="73" spans="1:13" ht="42">
      <c r="A73" s="190" t="s">
        <v>10178</v>
      </c>
      <c r="B73" s="191" t="s">
        <v>9154</v>
      </c>
      <c r="C73" s="191" t="s">
        <v>9141</v>
      </c>
      <c r="D73" s="192" t="s">
        <v>9155</v>
      </c>
      <c r="E73" s="191" t="s">
        <v>1436</v>
      </c>
      <c r="F73" s="191" t="s">
        <v>16</v>
      </c>
      <c r="G73" s="191" t="s">
        <v>1437</v>
      </c>
      <c r="H73" s="191" t="s">
        <v>15</v>
      </c>
      <c r="I73" s="191" t="s">
        <v>15</v>
      </c>
      <c r="J73" s="193" t="s">
        <v>252</v>
      </c>
      <c r="K73" s="194">
        <v>2289000</v>
      </c>
      <c r="L73" s="195" t="s">
        <v>2057</v>
      </c>
      <c r="M73" s="195" t="s">
        <v>14</v>
      </c>
    </row>
    <row r="74" spans="1:13" ht="42">
      <c r="A74" s="190" t="s">
        <v>10178</v>
      </c>
      <c r="B74" s="191" t="s">
        <v>9156</v>
      </c>
      <c r="C74" s="191" t="s">
        <v>9141</v>
      </c>
      <c r="D74" s="192" t="s">
        <v>9157</v>
      </c>
      <c r="E74" s="191" t="s">
        <v>1436</v>
      </c>
      <c r="F74" s="191" t="s">
        <v>16</v>
      </c>
      <c r="G74" s="191" t="s">
        <v>1437</v>
      </c>
      <c r="H74" s="191" t="s">
        <v>15</v>
      </c>
      <c r="I74" s="191" t="s">
        <v>15</v>
      </c>
      <c r="J74" s="193" t="s">
        <v>252</v>
      </c>
      <c r="K74" s="194">
        <v>194347000</v>
      </c>
      <c r="L74" s="195" t="s">
        <v>2057</v>
      </c>
      <c r="M74" s="195" t="s">
        <v>14</v>
      </c>
    </row>
    <row r="75" spans="1:13" ht="42">
      <c r="A75" s="190" t="s">
        <v>10178</v>
      </c>
      <c r="B75" s="191" t="s">
        <v>9158</v>
      </c>
      <c r="C75" s="191" t="s">
        <v>9141</v>
      </c>
      <c r="D75" s="192" t="s">
        <v>9157</v>
      </c>
      <c r="E75" s="191" t="s">
        <v>1436</v>
      </c>
      <c r="F75" s="191" t="s">
        <v>16</v>
      </c>
      <c r="G75" s="191" t="s">
        <v>1437</v>
      </c>
      <c r="H75" s="191" t="s">
        <v>15</v>
      </c>
      <c r="I75" s="191" t="s">
        <v>15</v>
      </c>
      <c r="J75" s="193" t="s">
        <v>252</v>
      </c>
      <c r="K75" s="194">
        <v>3727800</v>
      </c>
      <c r="L75" s="195" t="s">
        <v>2057</v>
      </c>
      <c r="M75" s="195" t="s">
        <v>14</v>
      </c>
    </row>
    <row r="76" spans="1:13" ht="42">
      <c r="A76" s="190" t="s">
        <v>10178</v>
      </c>
      <c r="B76" s="191" t="s">
        <v>9159</v>
      </c>
      <c r="C76" s="191" t="s">
        <v>9141</v>
      </c>
      <c r="D76" s="192" t="s">
        <v>9160</v>
      </c>
      <c r="E76" s="191" t="s">
        <v>178</v>
      </c>
      <c r="F76" s="191" t="s">
        <v>21</v>
      </c>
      <c r="G76" s="191" t="s">
        <v>1437</v>
      </c>
      <c r="H76" s="191" t="s">
        <v>15</v>
      </c>
      <c r="I76" s="191" t="s">
        <v>15</v>
      </c>
      <c r="J76" s="193" t="s">
        <v>252</v>
      </c>
      <c r="K76" s="194">
        <v>40548000</v>
      </c>
      <c r="L76" s="195" t="s">
        <v>173</v>
      </c>
      <c r="M76" s="195" t="s">
        <v>14</v>
      </c>
    </row>
    <row r="77" spans="1:13" ht="42">
      <c r="A77" s="190" t="s">
        <v>10178</v>
      </c>
      <c r="B77" s="191" t="s">
        <v>9161</v>
      </c>
      <c r="C77" s="191" t="s">
        <v>9141</v>
      </c>
      <c r="D77" s="192" t="s">
        <v>9162</v>
      </c>
      <c r="E77" s="191" t="s">
        <v>178</v>
      </c>
      <c r="F77" s="191" t="s">
        <v>21</v>
      </c>
      <c r="G77" s="191" t="s">
        <v>1437</v>
      </c>
      <c r="H77" s="191" t="s">
        <v>15</v>
      </c>
      <c r="I77" s="191" t="s">
        <v>15</v>
      </c>
      <c r="J77" s="193" t="s">
        <v>252</v>
      </c>
      <c r="K77" s="194">
        <v>784800</v>
      </c>
      <c r="L77" s="195" t="s">
        <v>173</v>
      </c>
      <c r="M77" s="195" t="s">
        <v>14</v>
      </c>
    </row>
    <row r="78" spans="1:13">
      <c r="A78" s="190" t="s">
        <v>10178</v>
      </c>
      <c r="B78" s="191" t="s">
        <v>9163</v>
      </c>
      <c r="C78" s="191" t="s">
        <v>9141</v>
      </c>
      <c r="D78" s="192" t="s">
        <v>9164</v>
      </c>
      <c r="E78" s="191" t="s">
        <v>1436</v>
      </c>
      <c r="F78" s="191" t="s">
        <v>16</v>
      </c>
      <c r="G78" s="191" t="s">
        <v>1437</v>
      </c>
      <c r="H78" s="191" t="s">
        <v>15</v>
      </c>
      <c r="I78" s="191" t="s">
        <v>15</v>
      </c>
      <c r="J78" s="193" t="s">
        <v>252</v>
      </c>
      <c r="K78" s="194">
        <v>152600000</v>
      </c>
      <c r="L78" s="195" t="s">
        <v>2057</v>
      </c>
      <c r="M78" s="195" t="s">
        <v>14</v>
      </c>
    </row>
    <row r="79" spans="1:13">
      <c r="A79" s="190" t="s">
        <v>10178</v>
      </c>
      <c r="B79" s="191" t="s">
        <v>9165</v>
      </c>
      <c r="C79" s="191" t="s">
        <v>9141</v>
      </c>
      <c r="D79" s="192" t="s">
        <v>9164</v>
      </c>
      <c r="E79" s="191" t="s">
        <v>178</v>
      </c>
      <c r="F79" s="191" t="s">
        <v>21</v>
      </c>
      <c r="G79" s="191" t="s">
        <v>1437</v>
      </c>
      <c r="H79" s="191" t="s">
        <v>15</v>
      </c>
      <c r="I79" s="191" t="s">
        <v>15</v>
      </c>
      <c r="J79" s="193" t="s">
        <v>252</v>
      </c>
      <c r="K79" s="194">
        <v>39240000</v>
      </c>
      <c r="L79" s="195" t="s">
        <v>173</v>
      </c>
      <c r="M79" s="195" t="s">
        <v>14</v>
      </c>
    </row>
    <row r="80" spans="1:13">
      <c r="A80" s="190" t="s">
        <v>10178</v>
      </c>
      <c r="B80" s="191" t="s">
        <v>9166</v>
      </c>
      <c r="C80" s="191" t="s">
        <v>9141</v>
      </c>
      <c r="D80" s="192" t="s">
        <v>9167</v>
      </c>
      <c r="E80" s="191" t="s">
        <v>1436</v>
      </c>
      <c r="F80" s="191" t="s">
        <v>16</v>
      </c>
      <c r="G80" s="191" t="s">
        <v>1437</v>
      </c>
      <c r="H80" s="191" t="s">
        <v>15</v>
      </c>
      <c r="I80" s="191" t="s">
        <v>15</v>
      </c>
      <c r="J80" s="193" t="s">
        <v>252</v>
      </c>
      <c r="K80" s="194">
        <v>213640000</v>
      </c>
      <c r="L80" s="195" t="s">
        <v>2057</v>
      </c>
      <c r="M80" s="195" t="s">
        <v>14</v>
      </c>
    </row>
    <row r="81" spans="1:13">
      <c r="A81" s="190" t="s">
        <v>10178</v>
      </c>
      <c r="B81" s="191" t="s">
        <v>9168</v>
      </c>
      <c r="C81" s="191" t="s">
        <v>9141</v>
      </c>
      <c r="D81" s="192" t="s">
        <v>9167</v>
      </c>
      <c r="E81" s="191" t="s">
        <v>178</v>
      </c>
      <c r="F81" s="191" t="s">
        <v>21</v>
      </c>
      <c r="G81" s="191" t="s">
        <v>1437</v>
      </c>
      <c r="H81" s="191" t="s">
        <v>15</v>
      </c>
      <c r="I81" s="191" t="s">
        <v>15</v>
      </c>
      <c r="J81" s="193" t="s">
        <v>252</v>
      </c>
      <c r="K81" s="194">
        <v>42728000</v>
      </c>
      <c r="L81" s="195" t="s">
        <v>173</v>
      </c>
      <c r="M81" s="195" t="s">
        <v>14</v>
      </c>
    </row>
    <row r="82" spans="1:13" ht="42">
      <c r="A82" s="190" t="s">
        <v>10178</v>
      </c>
      <c r="B82" s="191" t="s">
        <v>9169</v>
      </c>
      <c r="C82" s="191" t="s">
        <v>9141</v>
      </c>
      <c r="D82" s="192" t="s">
        <v>9170</v>
      </c>
      <c r="E82" s="191" t="s">
        <v>1436</v>
      </c>
      <c r="F82" s="191" t="s">
        <v>16</v>
      </c>
      <c r="G82" s="191" t="s">
        <v>1437</v>
      </c>
      <c r="H82" s="191" t="s">
        <v>15</v>
      </c>
      <c r="I82" s="191" t="s">
        <v>15</v>
      </c>
      <c r="J82" s="193" t="s">
        <v>252</v>
      </c>
      <c r="K82" s="194">
        <v>632200000</v>
      </c>
      <c r="L82" s="195" t="s">
        <v>2057</v>
      </c>
      <c r="M82" s="195" t="s">
        <v>14</v>
      </c>
    </row>
    <row r="83" spans="1:13" ht="42">
      <c r="A83" s="190" t="s">
        <v>10178</v>
      </c>
      <c r="B83" s="191" t="s">
        <v>9171</v>
      </c>
      <c r="C83" s="191" t="s">
        <v>9141</v>
      </c>
      <c r="D83" s="192" t="s">
        <v>9170</v>
      </c>
      <c r="E83" s="191" t="s">
        <v>178</v>
      </c>
      <c r="F83" s="191" t="s">
        <v>21</v>
      </c>
      <c r="G83" s="191" t="s">
        <v>1437</v>
      </c>
      <c r="H83" s="191" t="s">
        <v>15</v>
      </c>
      <c r="I83" s="191" t="s">
        <v>15</v>
      </c>
      <c r="J83" s="193" t="s">
        <v>252</v>
      </c>
      <c r="K83" s="194">
        <v>207100000</v>
      </c>
      <c r="L83" s="195" t="s">
        <v>173</v>
      </c>
      <c r="M83" s="195" t="s">
        <v>14</v>
      </c>
    </row>
    <row r="84" spans="1:13" ht="28">
      <c r="A84" s="190" t="s">
        <v>10178</v>
      </c>
      <c r="B84" s="191" t="s">
        <v>9172</v>
      </c>
      <c r="C84" s="191" t="s">
        <v>9141</v>
      </c>
      <c r="D84" s="192" t="s">
        <v>9173</v>
      </c>
      <c r="E84" s="191" t="s">
        <v>1436</v>
      </c>
      <c r="F84" s="191" t="s">
        <v>16</v>
      </c>
      <c r="G84" s="191" t="s">
        <v>1437</v>
      </c>
      <c r="H84" s="191" t="s">
        <v>15</v>
      </c>
      <c r="I84" s="191" t="s">
        <v>15</v>
      </c>
      <c r="J84" s="193" t="s">
        <v>252</v>
      </c>
      <c r="K84" s="194">
        <v>68000000</v>
      </c>
      <c r="L84" s="195" t="s">
        <v>2057</v>
      </c>
      <c r="M84" s="195" t="s">
        <v>14</v>
      </c>
    </row>
    <row r="85" spans="1:13">
      <c r="A85" s="190" t="s">
        <v>10178</v>
      </c>
      <c r="B85" s="191" t="s">
        <v>9174</v>
      </c>
      <c r="C85" s="191" t="s">
        <v>9141</v>
      </c>
      <c r="D85" s="192" t="s">
        <v>9175</v>
      </c>
      <c r="E85" s="191" t="s">
        <v>1436</v>
      </c>
      <c r="F85" s="191" t="s">
        <v>16</v>
      </c>
      <c r="G85" s="191" t="s">
        <v>1437</v>
      </c>
      <c r="H85" s="191" t="s">
        <v>15</v>
      </c>
      <c r="I85" s="191" t="s">
        <v>15</v>
      </c>
      <c r="J85" s="193" t="s">
        <v>252</v>
      </c>
      <c r="K85" s="194">
        <v>3050000</v>
      </c>
      <c r="L85" s="195" t="s">
        <v>2057</v>
      </c>
      <c r="M85" s="195" t="s">
        <v>14</v>
      </c>
    </row>
    <row r="86" spans="1:13" ht="28">
      <c r="A86" s="190" t="s">
        <v>10178</v>
      </c>
      <c r="B86" s="191" t="s">
        <v>9176</v>
      </c>
      <c r="C86" s="191" t="s">
        <v>9141</v>
      </c>
      <c r="D86" s="192" t="s">
        <v>9173</v>
      </c>
      <c r="E86" s="191" t="s">
        <v>178</v>
      </c>
      <c r="F86" s="191" t="s">
        <v>21</v>
      </c>
      <c r="G86" s="191" t="s">
        <v>1437</v>
      </c>
      <c r="H86" s="191" t="s">
        <v>15</v>
      </c>
      <c r="I86" s="191" t="s">
        <v>15</v>
      </c>
      <c r="J86" s="193" t="s">
        <v>252</v>
      </c>
      <c r="K86" s="194">
        <v>23600000</v>
      </c>
      <c r="L86" s="195" t="s">
        <v>173</v>
      </c>
      <c r="M86" s="195" t="s">
        <v>14</v>
      </c>
    </row>
    <row r="87" spans="1:13">
      <c r="A87" s="190" t="s">
        <v>10178</v>
      </c>
      <c r="B87" s="191" t="s">
        <v>9177</v>
      </c>
      <c r="C87" s="191" t="s">
        <v>9141</v>
      </c>
      <c r="D87" s="192" t="s">
        <v>9175</v>
      </c>
      <c r="E87" s="191" t="s">
        <v>178</v>
      </c>
      <c r="F87" s="191" t="s">
        <v>21</v>
      </c>
      <c r="G87" s="191" t="s">
        <v>1437</v>
      </c>
      <c r="H87" s="191" t="s">
        <v>15</v>
      </c>
      <c r="I87" s="191" t="s">
        <v>15</v>
      </c>
      <c r="J87" s="193" t="s">
        <v>252</v>
      </c>
      <c r="K87" s="194">
        <v>1100000</v>
      </c>
      <c r="L87" s="195" t="s">
        <v>173</v>
      </c>
      <c r="M87" s="195" t="s">
        <v>14</v>
      </c>
    </row>
    <row r="88" spans="1:13">
      <c r="A88" s="190" t="s">
        <v>10178</v>
      </c>
      <c r="B88" s="191" t="s">
        <v>9178</v>
      </c>
      <c r="C88" s="191" t="s">
        <v>9141</v>
      </c>
      <c r="D88" s="192" t="s">
        <v>9179</v>
      </c>
      <c r="E88" s="191" t="s">
        <v>1436</v>
      </c>
      <c r="F88" s="191" t="s">
        <v>16</v>
      </c>
      <c r="G88" s="191" t="s">
        <v>1437</v>
      </c>
      <c r="H88" s="191" t="s">
        <v>15</v>
      </c>
      <c r="I88" s="191" t="s">
        <v>15</v>
      </c>
      <c r="J88" s="193" t="s">
        <v>252</v>
      </c>
      <c r="K88" s="194">
        <v>82200000</v>
      </c>
      <c r="L88" s="195" t="s">
        <v>2057</v>
      </c>
      <c r="M88" s="195" t="s">
        <v>14</v>
      </c>
    </row>
    <row r="89" spans="1:13">
      <c r="A89" s="190" t="s">
        <v>10178</v>
      </c>
      <c r="B89" s="191" t="s">
        <v>9180</v>
      </c>
      <c r="C89" s="191" t="s">
        <v>9141</v>
      </c>
      <c r="D89" s="192" t="s">
        <v>2161</v>
      </c>
      <c r="E89" s="191" t="s">
        <v>1436</v>
      </c>
      <c r="F89" s="191" t="s">
        <v>16</v>
      </c>
      <c r="G89" s="191" t="s">
        <v>1437</v>
      </c>
      <c r="H89" s="191" t="s">
        <v>15</v>
      </c>
      <c r="I89" s="191" t="s">
        <v>15</v>
      </c>
      <c r="J89" s="193" t="s">
        <v>252</v>
      </c>
      <c r="K89" s="194">
        <v>4100000</v>
      </c>
      <c r="L89" s="195" t="s">
        <v>2057</v>
      </c>
      <c r="M89" s="195" t="s">
        <v>14</v>
      </c>
    </row>
    <row r="90" spans="1:13">
      <c r="A90" s="190" t="s">
        <v>10178</v>
      </c>
      <c r="B90" s="191" t="s">
        <v>9181</v>
      </c>
      <c r="C90" s="191" t="s">
        <v>9141</v>
      </c>
      <c r="D90" s="192" t="s">
        <v>9182</v>
      </c>
      <c r="E90" s="191" t="s">
        <v>178</v>
      </c>
      <c r="F90" s="191" t="s">
        <v>21</v>
      </c>
      <c r="G90" s="191" t="s">
        <v>1437</v>
      </c>
      <c r="H90" s="191" t="s">
        <v>15</v>
      </c>
      <c r="I90" s="191" t="s">
        <v>15</v>
      </c>
      <c r="J90" s="193" t="s">
        <v>252</v>
      </c>
      <c r="K90" s="194">
        <v>30000000</v>
      </c>
      <c r="L90" s="195" t="s">
        <v>173</v>
      </c>
      <c r="M90" s="195" t="s">
        <v>14</v>
      </c>
    </row>
    <row r="91" spans="1:13">
      <c r="A91" s="190" t="s">
        <v>10178</v>
      </c>
      <c r="B91" s="193" t="s">
        <v>9105</v>
      </c>
      <c r="C91" s="191" t="s">
        <v>9141</v>
      </c>
      <c r="D91" s="196" t="s">
        <v>2161</v>
      </c>
      <c r="E91" s="193" t="s">
        <v>178</v>
      </c>
      <c r="F91" s="193" t="s">
        <v>21</v>
      </c>
      <c r="G91" s="193" t="s">
        <v>1437</v>
      </c>
      <c r="H91" s="193" t="s">
        <v>15</v>
      </c>
      <c r="I91" s="193" t="s">
        <v>15</v>
      </c>
      <c r="J91" s="193" t="s">
        <v>252</v>
      </c>
      <c r="K91" s="194">
        <v>1470000</v>
      </c>
      <c r="L91" s="195" t="s">
        <v>173</v>
      </c>
      <c r="M91" s="195" t="s">
        <v>14</v>
      </c>
    </row>
    <row r="92" spans="1:13">
      <c r="A92" s="190" t="s">
        <v>10178</v>
      </c>
      <c r="B92" s="193" t="s">
        <v>9100</v>
      </c>
      <c r="C92" s="191" t="s">
        <v>9141</v>
      </c>
      <c r="D92" s="196" t="s">
        <v>9101</v>
      </c>
      <c r="E92" s="193" t="s">
        <v>178</v>
      </c>
      <c r="F92" s="193" t="s">
        <v>21</v>
      </c>
      <c r="G92" s="193" t="s">
        <v>1437</v>
      </c>
      <c r="H92" s="193" t="s">
        <v>15</v>
      </c>
      <c r="I92" s="193" t="s">
        <v>15</v>
      </c>
      <c r="J92" s="193" t="s">
        <v>252</v>
      </c>
      <c r="K92" s="194">
        <v>95000000</v>
      </c>
      <c r="L92" s="195" t="s">
        <v>173</v>
      </c>
      <c r="M92" s="195" t="s">
        <v>14</v>
      </c>
    </row>
    <row r="93" spans="1:13" ht="28">
      <c r="A93" s="190" t="s">
        <v>10178</v>
      </c>
      <c r="B93" s="193" t="s">
        <v>9102</v>
      </c>
      <c r="C93" s="191" t="s">
        <v>9141</v>
      </c>
      <c r="D93" s="196" t="s">
        <v>9103</v>
      </c>
      <c r="E93" s="193" t="s">
        <v>9104</v>
      </c>
      <c r="F93" s="193" t="s">
        <v>21</v>
      </c>
      <c r="G93" s="193" t="s">
        <v>1437</v>
      </c>
      <c r="H93" s="193" t="s">
        <v>15</v>
      </c>
      <c r="I93" s="193" t="s">
        <v>15</v>
      </c>
      <c r="J93" s="193" t="s">
        <v>252</v>
      </c>
      <c r="K93" s="194">
        <v>220000000</v>
      </c>
      <c r="L93" s="195" t="s">
        <v>2057</v>
      </c>
      <c r="M93" s="195" t="s">
        <v>14</v>
      </c>
    </row>
    <row r="94" spans="1:13" ht="42">
      <c r="A94" s="190" t="s">
        <v>10178</v>
      </c>
      <c r="B94" s="193" t="s">
        <v>9106</v>
      </c>
      <c r="C94" s="191" t="s">
        <v>9141</v>
      </c>
      <c r="D94" s="196" t="s">
        <v>9107</v>
      </c>
      <c r="E94" s="193" t="s">
        <v>9108</v>
      </c>
      <c r="F94" s="193" t="s">
        <v>21</v>
      </c>
      <c r="G94" s="193" t="s">
        <v>17</v>
      </c>
      <c r="H94" s="193" t="s">
        <v>26</v>
      </c>
      <c r="I94" s="193" t="s">
        <v>15</v>
      </c>
      <c r="J94" s="193" t="s">
        <v>252</v>
      </c>
      <c r="K94" s="194">
        <v>103500000</v>
      </c>
      <c r="L94" s="195" t="s">
        <v>173</v>
      </c>
      <c r="M94" s="195" t="s">
        <v>14</v>
      </c>
    </row>
    <row r="95" spans="1:13" ht="42">
      <c r="A95" s="190" t="s">
        <v>10178</v>
      </c>
      <c r="B95" s="193" t="s">
        <v>9109</v>
      </c>
      <c r="C95" s="191" t="s">
        <v>9141</v>
      </c>
      <c r="D95" s="196" t="s">
        <v>9110</v>
      </c>
      <c r="E95" s="193" t="s">
        <v>9111</v>
      </c>
      <c r="F95" s="193" t="s">
        <v>21</v>
      </c>
      <c r="G95" s="193" t="s">
        <v>17</v>
      </c>
      <c r="H95" s="193" t="s">
        <v>26</v>
      </c>
      <c r="I95" s="193" t="s">
        <v>15</v>
      </c>
      <c r="J95" s="193" t="s">
        <v>252</v>
      </c>
      <c r="K95" s="194">
        <v>519000000</v>
      </c>
      <c r="L95" s="195" t="s">
        <v>173</v>
      </c>
      <c r="M95" s="195" t="s">
        <v>14</v>
      </c>
    </row>
    <row r="96" spans="1:13">
      <c r="A96" s="190" t="s">
        <v>10178</v>
      </c>
      <c r="B96" s="193" t="s">
        <v>9112</v>
      </c>
      <c r="C96" s="191" t="s">
        <v>9141</v>
      </c>
      <c r="D96" s="196" t="s">
        <v>9113</v>
      </c>
      <c r="E96" s="193" t="s">
        <v>9114</v>
      </c>
      <c r="F96" s="193" t="s">
        <v>21</v>
      </c>
      <c r="G96" s="193" t="s">
        <v>17</v>
      </c>
      <c r="H96" s="193" t="s">
        <v>26</v>
      </c>
      <c r="I96" s="193" t="s">
        <v>15</v>
      </c>
      <c r="J96" s="193" t="s">
        <v>252</v>
      </c>
      <c r="K96" s="194">
        <v>4116000</v>
      </c>
      <c r="L96" s="195" t="s">
        <v>173</v>
      </c>
      <c r="M96" s="195" t="s">
        <v>14</v>
      </c>
    </row>
    <row r="97" spans="1:13" ht="42">
      <c r="A97" s="190" t="s">
        <v>10178</v>
      </c>
      <c r="B97" s="193" t="s">
        <v>9115</v>
      </c>
      <c r="C97" s="191" t="s">
        <v>9141</v>
      </c>
      <c r="D97" s="196" t="s">
        <v>9183</v>
      </c>
      <c r="E97" s="193" t="s">
        <v>9108</v>
      </c>
      <c r="F97" s="193" t="s">
        <v>21</v>
      </c>
      <c r="G97" s="193" t="s">
        <v>17</v>
      </c>
      <c r="H97" s="193" t="s">
        <v>26</v>
      </c>
      <c r="I97" s="193" t="s">
        <v>15</v>
      </c>
      <c r="J97" s="193" t="s">
        <v>252</v>
      </c>
      <c r="K97" s="194">
        <v>69240000</v>
      </c>
      <c r="L97" s="195" t="s">
        <v>173</v>
      </c>
      <c r="M97" s="195" t="s">
        <v>14</v>
      </c>
    </row>
    <row r="98" spans="1:13" ht="42">
      <c r="A98" s="190" t="s">
        <v>10178</v>
      </c>
      <c r="B98" s="193" t="s">
        <v>9116</v>
      </c>
      <c r="C98" s="191" t="s">
        <v>9141</v>
      </c>
      <c r="D98" s="196" t="s">
        <v>9184</v>
      </c>
      <c r="E98" s="193" t="s">
        <v>9111</v>
      </c>
      <c r="F98" s="193" t="s">
        <v>21</v>
      </c>
      <c r="G98" s="193" t="s">
        <v>17</v>
      </c>
      <c r="H98" s="193" t="s">
        <v>26</v>
      </c>
      <c r="I98" s="193" t="s">
        <v>15</v>
      </c>
      <c r="J98" s="193" t="s">
        <v>252</v>
      </c>
      <c r="K98" s="194">
        <v>313440000</v>
      </c>
      <c r="L98" s="195" t="s">
        <v>173</v>
      </c>
      <c r="M98" s="195" t="s">
        <v>14</v>
      </c>
    </row>
    <row r="99" spans="1:13">
      <c r="A99" s="190" t="s">
        <v>10178</v>
      </c>
      <c r="B99" s="193" t="s">
        <v>9117</v>
      </c>
      <c r="C99" s="191" t="s">
        <v>9141</v>
      </c>
      <c r="D99" s="196" t="s">
        <v>9118</v>
      </c>
      <c r="E99" s="193" t="s">
        <v>9119</v>
      </c>
      <c r="F99" s="193" t="s">
        <v>21</v>
      </c>
      <c r="G99" s="193" t="s">
        <v>17</v>
      </c>
      <c r="H99" s="193" t="s">
        <v>26</v>
      </c>
      <c r="I99" s="193" t="s">
        <v>15</v>
      </c>
      <c r="J99" s="193" t="s">
        <v>252</v>
      </c>
      <c r="K99" s="194">
        <v>640000</v>
      </c>
      <c r="L99" s="195" t="s">
        <v>173</v>
      </c>
      <c r="M99" s="195" t="s">
        <v>14</v>
      </c>
    </row>
    <row r="100" spans="1:13">
      <c r="A100" s="190" t="s">
        <v>10178</v>
      </c>
      <c r="B100" s="193" t="s">
        <v>9120</v>
      </c>
      <c r="C100" s="191" t="s">
        <v>9141</v>
      </c>
      <c r="D100" s="196" t="s">
        <v>9121</v>
      </c>
      <c r="E100" s="193" t="s">
        <v>9122</v>
      </c>
      <c r="F100" s="193" t="s">
        <v>21</v>
      </c>
      <c r="G100" s="193" t="s">
        <v>17</v>
      </c>
      <c r="H100" s="193" t="s">
        <v>26</v>
      </c>
      <c r="I100" s="193" t="s">
        <v>15</v>
      </c>
      <c r="J100" s="193" t="s">
        <v>252</v>
      </c>
      <c r="K100" s="194">
        <v>640000</v>
      </c>
      <c r="L100" s="195" t="s">
        <v>2057</v>
      </c>
      <c r="M100" s="195" t="s">
        <v>14</v>
      </c>
    </row>
    <row r="101" spans="1:13" ht="28">
      <c r="A101" s="190" t="s">
        <v>10178</v>
      </c>
      <c r="B101" s="193" t="s">
        <v>9123</v>
      </c>
      <c r="C101" s="191" t="s">
        <v>9141</v>
      </c>
      <c r="D101" s="196" t="s">
        <v>9185</v>
      </c>
      <c r="E101" s="193" t="s">
        <v>9124</v>
      </c>
      <c r="F101" s="193" t="s">
        <v>21</v>
      </c>
      <c r="G101" s="193" t="s">
        <v>17</v>
      </c>
      <c r="H101" s="193" t="s">
        <v>26</v>
      </c>
      <c r="I101" s="193" t="s">
        <v>15</v>
      </c>
      <c r="J101" s="193" t="s">
        <v>252</v>
      </c>
      <c r="K101" s="194">
        <v>57958500</v>
      </c>
      <c r="L101" s="195" t="s">
        <v>173</v>
      </c>
      <c r="M101" s="195" t="s">
        <v>14</v>
      </c>
    </row>
    <row r="102" spans="1:13" ht="28">
      <c r="A102" s="190" t="s">
        <v>10178</v>
      </c>
      <c r="B102" s="193" t="s">
        <v>9125</v>
      </c>
      <c r="C102" s="191" t="s">
        <v>9141</v>
      </c>
      <c r="D102" s="196" t="s">
        <v>9186</v>
      </c>
      <c r="E102" s="193" t="s">
        <v>9126</v>
      </c>
      <c r="F102" s="193" t="s">
        <v>21</v>
      </c>
      <c r="G102" s="193" t="s">
        <v>17</v>
      </c>
      <c r="H102" s="193" t="s">
        <v>26</v>
      </c>
      <c r="I102" s="193" t="s">
        <v>15</v>
      </c>
      <c r="J102" s="193" t="s">
        <v>252</v>
      </c>
      <c r="K102" s="194">
        <v>245751000</v>
      </c>
      <c r="L102" s="195" t="s">
        <v>173</v>
      </c>
      <c r="M102" s="195" t="s">
        <v>14</v>
      </c>
    </row>
    <row r="103" spans="1:13">
      <c r="A103" s="190" t="s">
        <v>10178</v>
      </c>
      <c r="B103" s="193" t="s">
        <v>9127</v>
      </c>
      <c r="C103" s="191" t="s">
        <v>9141</v>
      </c>
      <c r="D103" s="196" t="s">
        <v>9128</v>
      </c>
      <c r="E103" s="193" t="s">
        <v>9129</v>
      </c>
      <c r="F103" s="193" t="s">
        <v>21</v>
      </c>
      <c r="G103" s="193" t="s">
        <v>17</v>
      </c>
      <c r="H103" s="193" t="s">
        <v>26</v>
      </c>
      <c r="I103" s="193" t="s">
        <v>15</v>
      </c>
      <c r="J103" s="193" t="s">
        <v>252</v>
      </c>
      <c r="K103" s="194">
        <v>559170</v>
      </c>
      <c r="L103" s="195" t="s">
        <v>173</v>
      </c>
      <c r="M103" s="195" t="s">
        <v>14</v>
      </c>
    </row>
    <row r="104" spans="1:13" ht="28">
      <c r="A104" s="190" t="s">
        <v>10178</v>
      </c>
      <c r="B104" s="193" t="s">
        <v>9130</v>
      </c>
      <c r="C104" s="191" t="s">
        <v>9141</v>
      </c>
      <c r="D104" s="196" t="s">
        <v>9131</v>
      </c>
      <c r="E104" s="193" t="s">
        <v>9132</v>
      </c>
      <c r="F104" s="193" t="s">
        <v>21</v>
      </c>
      <c r="G104" s="193" t="s">
        <v>17</v>
      </c>
      <c r="H104" s="193" t="s">
        <v>26</v>
      </c>
      <c r="I104" s="193" t="s">
        <v>15</v>
      </c>
      <c r="J104" s="193" t="s">
        <v>252</v>
      </c>
      <c r="K104" s="194">
        <v>170751000</v>
      </c>
      <c r="L104" s="195" t="s">
        <v>2057</v>
      </c>
      <c r="M104" s="195" t="s">
        <v>14</v>
      </c>
    </row>
    <row r="105" spans="1:13" ht="28">
      <c r="A105" s="190" t="s">
        <v>10178</v>
      </c>
      <c r="B105" s="193" t="s">
        <v>9133</v>
      </c>
      <c r="C105" s="191" t="s">
        <v>9141</v>
      </c>
      <c r="D105" s="196" t="s">
        <v>9134</v>
      </c>
      <c r="E105" s="193" t="s">
        <v>9135</v>
      </c>
      <c r="F105" s="193" t="s">
        <v>21</v>
      </c>
      <c r="G105" s="193" t="s">
        <v>17</v>
      </c>
      <c r="H105" s="193" t="s">
        <v>26</v>
      </c>
      <c r="I105" s="193" t="s">
        <v>15</v>
      </c>
      <c r="J105" s="193" t="s">
        <v>252</v>
      </c>
      <c r="K105" s="194">
        <v>559170</v>
      </c>
      <c r="L105" s="195" t="s">
        <v>2057</v>
      </c>
      <c r="M105" s="195" t="s">
        <v>14</v>
      </c>
    </row>
    <row r="106" spans="1:13" ht="28">
      <c r="A106" s="190" t="s">
        <v>10178</v>
      </c>
      <c r="B106" s="193" t="s">
        <v>9136</v>
      </c>
      <c r="C106" s="191" t="s">
        <v>9141</v>
      </c>
      <c r="D106" s="196" t="s">
        <v>9137</v>
      </c>
      <c r="E106" s="193" t="s">
        <v>9138</v>
      </c>
      <c r="F106" s="193" t="s">
        <v>21</v>
      </c>
      <c r="G106" s="193" t="s">
        <v>17</v>
      </c>
      <c r="H106" s="193" t="s">
        <v>26</v>
      </c>
      <c r="I106" s="193" t="s">
        <v>15</v>
      </c>
      <c r="J106" s="193" t="s">
        <v>252</v>
      </c>
      <c r="K106" s="194">
        <v>615000</v>
      </c>
      <c r="L106" s="195" t="s">
        <v>2057</v>
      </c>
      <c r="M106" s="195" t="s">
        <v>14</v>
      </c>
    </row>
    <row r="107" spans="1:13" ht="28">
      <c r="A107" s="190" t="s">
        <v>10178</v>
      </c>
      <c r="B107" s="193" t="s">
        <v>9139</v>
      </c>
      <c r="C107" s="191" t="s">
        <v>9141</v>
      </c>
      <c r="D107" s="196" t="s">
        <v>9140</v>
      </c>
      <c r="E107" s="193" t="s">
        <v>9138</v>
      </c>
      <c r="F107" s="193" t="s">
        <v>21</v>
      </c>
      <c r="G107" s="193" t="s">
        <v>17</v>
      </c>
      <c r="H107" s="193" t="s">
        <v>26</v>
      </c>
      <c r="I107" s="193" t="s">
        <v>15</v>
      </c>
      <c r="J107" s="193" t="s">
        <v>252</v>
      </c>
      <c r="K107" s="194">
        <v>457500</v>
      </c>
      <c r="L107" s="195" t="s">
        <v>2057</v>
      </c>
      <c r="M107" s="195" t="s">
        <v>14</v>
      </c>
    </row>
    <row r="108" spans="1:13" ht="42">
      <c r="A108" s="190" t="s">
        <v>10178</v>
      </c>
      <c r="B108" s="191" t="s">
        <v>2162</v>
      </c>
      <c r="C108" s="191" t="s">
        <v>9141</v>
      </c>
      <c r="D108" s="192" t="s">
        <v>9187</v>
      </c>
      <c r="E108" s="191" t="s">
        <v>1436</v>
      </c>
      <c r="F108" s="191" t="s">
        <v>16</v>
      </c>
      <c r="G108" s="191" t="s">
        <v>1437</v>
      </c>
      <c r="H108" s="191" t="s">
        <v>15</v>
      </c>
      <c r="I108" s="191" t="s">
        <v>15</v>
      </c>
      <c r="J108" s="193" t="s">
        <v>252</v>
      </c>
      <c r="K108" s="194">
        <v>2100000</v>
      </c>
      <c r="L108" s="195" t="s">
        <v>2057</v>
      </c>
      <c r="M108" s="195" t="s">
        <v>14</v>
      </c>
    </row>
    <row r="109" spans="1:13" ht="28">
      <c r="A109" s="190" t="s">
        <v>10178</v>
      </c>
      <c r="B109" s="191" t="s">
        <v>1438</v>
      </c>
      <c r="C109" s="191" t="s">
        <v>9141</v>
      </c>
      <c r="D109" s="192" t="s">
        <v>9188</v>
      </c>
      <c r="E109" s="191" t="s">
        <v>1436</v>
      </c>
      <c r="F109" s="191" t="s">
        <v>16</v>
      </c>
      <c r="G109" s="191" t="s">
        <v>1437</v>
      </c>
      <c r="H109" s="191" t="s">
        <v>15</v>
      </c>
      <c r="I109" s="191" t="s">
        <v>15</v>
      </c>
      <c r="J109" s="193" t="s">
        <v>252</v>
      </c>
      <c r="K109" s="194">
        <v>381500000</v>
      </c>
      <c r="L109" s="195" t="s">
        <v>2057</v>
      </c>
      <c r="M109" s="195" t="s">
        <v>14</v>
      </c>
    </row>
    <row r="110" spans="1:13" ht="28">
      <c r="A110" s="190" t="s">
        <v>10178</v>
      </c>
      <c r="B110" s="191" t="s">
        <v>1439</v>
      </c>
      <c r="C110" s="191" t="s">
        <v>9141</v>
      </c>
      <c r="D110" s="192" t="s">
        <v>9189</v>
      </c>
      <c r="E110" s="191" t="s">
        <v>1436</v>
      </c>
      <c r="F110" s="191" t="s">
        <v>16</v>
      </c>
      <c r="G110" s="191" t="s">
        <v>1437</v>
      </c>
      <c r="H110" s="191" t="s">
        <v>15</v>
      </c>
      <c r="I110" s="191" t="s">
        <v>15</v>
      </c>
      <c r="J110" s="193" t="s">
        <v>252</v>
      </c>
      <c r="K110" s="194">
        <v>2049200</v>
      </c>
      <c r="L110" s="195" t="s">
        <v>2057</v>
      </c>
      <c r="M110" s="195" t="s">
        <v>14</v>
      </c>
    </row>
    <row r="111" spans="1:13" ht="28">
      <c r="A111" s="190" t="s">
        <v>10178</v>
      </c>
      <c r="B111" s="191" t="s">
        <v>1440</v>
      </c>
      <c r="C111" s="191" t="s">
        <v>9141</v>
      </c>
      <c r="D111" s="192" t="s">
        <v>9189</v>
      </c>
      <c r="E111" s="191" t="s">
        <v>178</v>
      </c>
      <c r="F111" s="191" t="s">
        <v>21</v>
      </c>
      <c r="G111" s="191" t="s">
        <v>1437</v>
      </c>
      <c r="H111" s="191" t="s">
        <v>15</v>
      </c>
      <c r="I111" s="191" t="s">
        <v>15</v>
      </c>
      <c r="J111" s="193" t="s">
        <v>252</v>
      </c>
      <c r="K111" s="194">
        <v>43055000</v>
      </c>
      <c r="L111" s="195" t="s">
        <v>173</v>
      </c>
      <c r="M111" s="195" t="s">
        <v>14</v>
      </c>
    </row>
    <row r="112" spans="1:13" ht="42">
      <c r="A112" s="190" t="s">
        <v>10178</v>
      </c>
      <c r="B112" s="191" t="s">
        <v>1441</v>
      </c>
      <c r="C112" s="191" t="s">
        <v>9141</v>
      </c>
      <c r="D112" s="192" t="s">
        <v>9190</v>
      </c>
      <c r="E112" s="191" t="s">
        <v>178</v>
      </c>
      <c r="F112" s="191" t="s">
        <v>21</v>
      </c>
      <c r="G112" s="191" t="s">
        <v>1437</v>
      </c>
      <c r="H112" s="191" t="s">
        <v>15</v>
      </c>
      <c r="I112" s="191" t="s">
        <v>15</v>
      </c>
      <c r="J112" s="193" t="s">
        <v>252</v>
      </c>
      <c r="K112" s="194">
        <v>534100</v>
      </c>
      <c r="L112" s="195" t="s">
        <v>173</v>
      </c>
      <c r="M112" s="195" t="s">
        <v>14</v>
      </c>
    </row>
  </sheetData>
  <mergeCells count="1">
    <mergeCell ref="A1:M2"/>
  </mergeCells>
  <conditionalFormatting sqref="B3 D3 F3 H3 J3 L3:M3">
    <cfRule type="duplicateValues" dxfId="20" priority="2"/>
    <cfRule type="duplicateValues" dxfId="19" priority="3"/>
    <cfRule type="duplicateValues" dxfId="18" priority="4"/>
  </conditionalFormatting>
  <conditionalFormatting sqref="B4:B112">
    <cfRule type="duplicateValues" dxfId="17" priority="1"/>
  </conditionalFormatting>
  <dataValidations count="2">
    <dataValidation type="list" allowBlank="1" showInputMessage="1" showErrorMessage="1" sqref="M4:M112">
      <formula1>"COP,USD"</formula1>
    </dataValidation>
    <dataValidation type="list" allowBlank="1" showInputMessage="1" showErrorMessage="1" sqref="L4:L39 L41 L43 L45:L75 L78 L80 L82 L84:L85 L88:L89 L93 L100 L104:L110">
      <formula1>"Sí,No"</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8"/>
  <sheetViews>
    <sheetView showGridLines="0" zoomScaleNormal="100" workbookViewId="0">
      <selection activeCell="N6" sqref="N6"/>
    </sheetView>
  </sheetViews>
  <sheetFormatPr baseColWidth="10" defaultColWidth="14.453125" defaultRowHeight="15" customHeight="1"/>
  <cols>
    <col min="1" max="1" width="34.453125" style="8" customWidth="1"/>
    <col min="2" max="2" width="24.54296875" style="8" customWidth="1"/>
    <col min="3" max="3" width="28.54296875" style="8" customWidth="1"/>
    <col min="4" max="4" width="101.453125" style="8" customWidth="1"/>
    <col min="5" max="5" width="80.90625" style="8" customWidth="1"/>
    <col min="6" max="7" width="10.54296875" style="8" customWidth="1"/>
    <col min="8" max="8" width="12.54296875" style="8" customWidth="1"/>
    <col min="9" max="9" width="37.08984375" style="8" customWidth="1"/>
    <col min="10" max="10" width="79.54296875" style="8" customWidth="1"/>
    <col min="11" max="11" width="18.54296875" style="8" customWidth="1"/>
    <col min="12" max="12" width="15.453125" style="8" customWidth="1"/>
    <col min="13" max="13" width="10.6328125" style="8" customWidth="1"/>
    <col min="14" max="24" width="11.453125" style="8" customWidth="1"/>
    <col min="25" max="16384" width="14.453125" style="8"/>
  </cols>
  <sheetData>
    <row r="1" spans="1:24" ht="14.5">
      <c r="A1" s="326" t="s">
        <v>6527</v>
      </c>
      <c r="B1" s="326"/>
      <c r="C1" s="326"/>
      <c r="D1" s="326"/>
      <c r="E1" s="326"/>
      <c r="F1" s="326"/>
      <c r="G1" s="326"/>
      <c r="H1" s="326"/>
      <c r="I1" s="326"/>
      <c r="J1" s="326"/>
      <c r="K1" s="326"/>
      <c r="L1" s="326"/>
      <c r="M1" s="326"/>
      <c r="N1" s="137"/>
      <c r="O1" s="137"/>
      <c r="P1" s="137"/>
      <c r="Q1" s="137"/>
      <c r="R1" s="137"/>
      <c r="S1" s="137"/>
      <c r="T1" s="137"/>
      <c r="U1" s="137"/>
      <c r="V1" s="137"/>
      <c r="W1" s="137"/>
      <c r="X1" s="137"/>
    </row>
    <row r="2" spans="1:24" ht="14.5">
      <c r="A2" s="326"/>
      <c r="B2" s="326"/>
      <c r="C2" s="326"/>
      <c r="D2" s="326"/>
      <c r="E2" s="326"/>
      <c r="F2" s="326"/>
      <c r="G2" s="326"/>
      <c r="H2" s="326"/>
      <c r="I2" s="326"/>
      <c r="J2" s="326"/>
      <c r="K2" s="326"/>
      <c r="L2" s="326"/>
      <c r="M2" s="326"/>
      <c r="N2" s="137"/>
      <c r="O2" s="137"/>
      <c r="P2" s="137"/>
      <c r="Q2" s="137"/>
      <c r="R2" s="137"/>
      <c r="S2" s="137"/>
      <c r="T2" s="137"/>
      <c r="U2" s="137"/>
      <c r="V2" s="137"/>
      <c r="W2" s="137"/>
      <c r="X2" s="137"/>
    </row>
    <row r="3" spans="1:24" ht="14.5">
      <c r="A3" s="326"/>
      <c r="B3" s="326"/>
      <c r="C3" s="326"/>
      <c r="D3" s="326"/>
      <c r="E3" s="326"/>
      <c r="F3" s="326"/>
      <c r="G3" s="326"/>
      <c r="H3" s="326"/>
      <c r="I3" s="326"/>
      <c r="J3" s="326"/>
      <c r="K3" s="326"/>
      <c r="L3" s="326"/>
      <c r="M3" s="326"/>
      <c r="N3" s="137"/>
      <c r="O3" s="137"/>
      <c r="P3" s="137"/>
      <c r="Q3" s="137"/>
      <c r="R3" s="137"/>
      <c r="S3" s="137"/>
      <c r="T3" s="137"/>
      <c r="U3" s="137"/>
      <c r="V3" s="137"/>
      <c r="W3" s="137"/>
      <c r="X3" s="137"/>
    </row>
    <row r="4" spans="1:24" ht="14.5">
      <c r="A4" s="326"/>
      <c r="B4" s="326"/>
      <c r="C4" s="326"/>
      <c r="D4" s="326"/>
      <c r="E4" s="326"/>
      <c r="F4" s="326"/>
      <c r="G4" s="326"/>
      <c r="H4" s="326"/>
      <c r="I4" s="326"/>
      <c r="J4" s="326"/>
      <c r="K4" s="326"/>
      <c r="L4" s="326"/>
      <c r="M4" s="326"/>
      <c r="N4" s="137"/>
      <c r="O4" s="137"/>
      <c r="P4" s="137"/>
      <c r="Q4" s="137"/>
      <c r="R4" s="137"/>
      <c r="S4" s="137"/>
      <c r="T4" s="137"/>
      <c r="U4" s="137"/>
      <c r="V4" s="137"/>
      <c r="W4" s="137"/>
      <c r="X4" s="137"/>
    </row>
    <row r="5" spans="1:24" ht="33" customHeight="1">
      <c r="A5" s="138" t="s">
        <v>1445</v>
      </c>
      <c r="B5" s="138" t="s">
        <v>1430</v>
      </c>
      <c r="C5" s="138" t="s">
        <v>1446</v>
      </c>
      <c r="D5" s="138" t="s">
        <v>4</v>
      </c>
      <c r="E5" s="138" t="s">
        <v>5</v>
      </c>
      <c r="F5" s="138" t="s">
        <v>6</v>
      </c>
      <c r="G5" s="138" t="s">
        <v>7</v>
      </c>
      <c r="H5" s="138" t="s">
        <v>8</v>
      </c>
      <c r="I5" s="138" t="s">
        <v>9</v>
      </c>
      <c r="J5" s="138" t="s">
        <v>1434</v>
      </c>
      <c r="K5" s="138" t="s">
        <v>1432</v>
      </c>
      <c r="L5" s="138" t="s">
        <v>1433</v>
      </c>
      <c r="M5" s="138" t="s">
        <v>3</v>
      </c>
      <c r="N5" s="17"/>
      <c r="O5" s="17"/>
      <c r="P5" s="17"/>
      <c r="Q5" s="17"/>
      <c r="R5" s="17"/>
      <c r="S5" s="17"/>
      <c r="T5" s="17"/>
      <c r="U5" s="17"/>
      <c r="V5" s="17"/>
      <c r="W5" s="17"/>
      <c r="X5" s="17"/>
    </row>
    <row r="6" spans="1:24" ht="14.5">
      <c r="A6" s="267" t="s">
        <v>6527</v>
      </c>
      <c r="B6" s="251" t="s">
        <v>10289</v>
      </c>
      <c r="C6" s="267" t="s">
        <v>6528</v>
      </c>
      <c r="D6" s="267" t="s">
        <v>90</v>
      </c>
      <c r="E6" s="268" t="s">
        <v>91</v>
      </c>
      <c r="F6" s="267" t="s">
        <v>21</v>
      </c>
      <c r="G6" s="269" t="s">
        <v>70</v>
      </c>
      <c r="H6" s="269" t="s">
        <v>26</v>
      </c>
      <c r="I6" s="269" t="s">
        <v>166</v>
      </c>
      <c r="J6" s="267" t="s">
        <v>6529</v>
      </c>
      <c r="K6" s="270">
        <v>482</v>
      </c>
      <c r="L6" s="271" t="s">
        <v>2057</v>
      </c>
      <c r="M6" s="272" t="s">
        <v>175</v>
      </c>
    </row>
    <row r="7" spans="1:24" ht="14.5">
      <c r="A7" s="267" t="s">
        <v>6527</v>
      </c>
      <c r="B7" s="251" t="s">
        <v>6530</v>
      </c>
      <c r="C7" s="267" t="s">
        <v>6528</v>
      </c>
      <c r="D7" s="267" t="s">
        <v>90</v>
      </c>
      <c r="E7" s="268" t="s">
        <v>91</v>
      </c>
      <c r="F7" s="267" t="s">
        <v>21</v>
      </c>
      <c r="G7" s="269" t="s">
        <v>70</v>
      </c>
      <c r="H7" s="269" t="s">
        <v>42</v>
      </c>
      <c r="I7" s="269" t="s">
        <v>166</v>
      </c>
      <c r="J7" s="267" t="s">
        <v>6529</v>
      </c>
      <c r="K7" s="270">
        <v>502</v>
      </c>
      <c r="L7" s="271" t="s">
        <v>2057</v>
      </c>
      <c r="M7" s="272" t="s">
        <v>175</v>
      </c>
    </row>
    <row r="8" spans="1:24" ht="14.5">
      <c r="A8" s="267" t="s">
        <v>6527</v>
      </c>
      <c r="B8" s="251" t="s">
        <v>6531</v>
      </c>
      <c r="C8" s="267" t="s">
        <v>6528</v>
      </c>
      <c r="D8" s="267" t="s">
        <v>90</v>
      </c>
      <c r="E8" s="268" t="s">
        <v>91</v>
      </c>
      <c r="F8" s="267" t="s">
        <v>21</v>
      </c>
      <c r="G8" s="269" t="s">
        <v>74</v>
      </c>
      <c r="H8" s="269" t="s">
        <v>26</v>
      </c>
      <c r="I8" s="269" t="s">
        <v>166</v>
      </c>
      <c r="J8" s="267" t="s">
        <v>6529</v>
      </c>
      <c r="K8" s="270">
        <v>482</v>
      </c>
      <c r="L8" s="271" t="s">
        <v>2057</v>
      </c>
      <c r="M8" s="272" t="s">
        <v>175</v>
      </c>
    </row>
    <row r="9" spans="1:24" ht="14.5">
      <c r="A9" s="267" t="s">
        <v>6527</v>
      </c>
      <c r="B9" s="251" t="s">
        <v>6532</v>
      </c>
      <c r="C9" s="267" t="s">
        <v>6528</v>
      </c>
      <c r="D9" s="267" t="s">
        <v>90</v>
      </c>
      <c r="E9" s="268" t="s">
        <v>91</v>
      </c>
      <c r="F9" s="267" t="s">
        <v>21</v>
      </c>
      <c r="G9" s="269" t="s">
        <v>74</v>
      </c>
      <c r="H9" s="269" t="s">
        <v>42</v>
      </c>
      <c r="I9" s="269" t="s">
        <v>166</v>
      </c>
      <c r="J9" s="267" t="s">
        <v>6529</v>
      </c>
      <c r="K9" s="270">
        <v>620</v>
      </c>
      <c r="L9" s="271" t="s">
        <v>2057</v>
      </c>
      <c r="M9" s="272" t="s">
        <v>175</v>
      </c>
    </row>
    <row r="10" spans="1:24" ht="14.5">
      <c r="A10" s="267" t="s">
        <v>6527</v>
      </c>
      <c r="B10" s="251" t="s">
        <v>6533</v>
      </c>
      <c r="C10" s="267" t="s">
        <v>6528</v>
      </c>
      <c r="D10" s="267" t="s">
        <v>90</v>
      </c>
      <c r="E10" s="268" t="s">
        <v>91</v>
      </c>
      <c r="F10" s="267" t="s">
        <v>21</v>
      </c>
      <c r="G10" s="269" t="s">
        <v>72</v>
      </c>
      <c r="H10" s="269" t="s">
        <v>26</v>
      </c>
      <c r="I10" s="269" t="s">
        <v>166</v>
      </c>
      <c r="J10" s="267" t="s">
        <v>6529</v>
      </c>
      <c r="K10" s="270">
        <v>482</v>
      </c>
      <c r="L10" s="271" t="s">
        <v>2057</v>
      </c>
      <c r="M10" s="272" t="s">
        <v>175</v>
      </c>
    </row>
    <row r="11" spans="1:24" ht="14.5">
      <c r="A11" s="267" t="s">
        <v>6527</v>
      </c>
      <c r="B11" s="251" t="s">
        <v>6534</v>
      </c>
      <c r="C11" s="267" t="s">
        <v>6528</v>
      </c>
      <c r="D11" s="267" t="s">
        <v>90</v>
      </c>
      <c r="E11" s="268" t="s">
        <v>91</v>
      </c>
      <c r="F11" s="267" t="s">
        <v>21</v>
      </c>
      <c r="G11" s="269" t="s">
        <v>72</v>
      </c>
      <c r="H11" s="269" t="s">
        <v>42</v>
      </c>
      <c r="I11" s="269" t="s">
        <v>166</v>
      </c>
      <c r="J11" s="267" t="s">
        <v>6529</v>
      </c>
      <c r="K11" s="270">
        <v>920</v>
      </c>
      <c r="L11" s="271" t="s">
        <v>2057</v>
      </c>
      <c r="M11" s="272" t="s">
        <v>175</v>
      </c>
    </row>
    <row r="12" spans="1:24" ht="14.5">
      <c r="A12" s="267" t="s">
        <v>6527</v>
      </c>
      <c r="B12" s="251" t="s">
        <v>6535</v>
      </c>
      <c r="C12" s="267" t="s">
        <v>6528</v>
      </c>
      <c r="D12" s="267" t="s">
        <v>106</v>
      </c>
      <c r="E12" s="268" t="s">
        <v>91</v>
      </c>
      <c r="F12" s="267" t="s">
        <v>21</v>
      </c>
      <c r="G12" s="269" t="s">
        <v>70</v>
      </c>
      <c r="H12" s="269" t="s">
        <v>26</v>
      </c>
      <c r="I12" s="269" t="s">
        <v>166</v>
      </c>
      <c r="J12" s="267" t="s">
        <v>6529</v>
      </c>
      <c r="K12" s="270">
        <v>482</v>
      </c>
      <c r="L12" s="271" t="s">
        <v>2057</v>
      </c>
      <c r="M12" s="272" t="s">
        <v>175</v>
      </c>
    </row>
    <row r="13" spans="1:24" ht="14.5">
      <c r="A13" s="267" t="s">
        <v>6527</v>
      </c>
      <c r="B13" s="251" t="s">
        <v>6536</v>
      </c>
      <c r="C13" s="267" t="s">
        <v>6528</v>
      </c>
      <c r="D13" s="267" t="s">
        <v>106</v>
      </c>
      <c r="E13" s="268" t="s">
        <v>91</v>
      </c>
      <c r="F13" s="267" t="s">
        <v>21</v>
      </c>
      <c r="G13" s="269" t="s">
        <v>70</v>
      </c>
      <c r="H13" s="269" t="s">
        <v>42</v>
      </c>
      <c r="I13" s="269" t="s">
        <v>166</v>
      </c>
      <c r="J13" s="267" t="s">
        <v>6529</v>
      </c>
      <c r="K13" s="270">
        <v>502</v>
      </c>
      <c r="L13" s="271" t="s">
        <v>2057</v>
      </c>
      <c r="M13" s="272" t="s">
        <v>175</v>
      </c>
    </row>
    <row r="14" spans="1:24" ht="14.5">
      <c r="A14" s="267" t="s">
        <v>6527</v>
      </c>
      <c r="B14" s="251" t="s">
        <v>6537</v>
      </c>
      <c r="C14" s="267" t="s">
        <v>6528</v>
      </c>
      <c r="D14" s="267" t="s">
        <v>106</v>
      </c>
      <c r="E14" s="268" t="s">
        <v>91</v>
      </c>
      <c r="F14" s="267" t="s">
        <v>21</v>
      </c>
      <c r="G14" s="269" t="s">
        <v>74</v>
      </c>
      <c r="H14" s="269" t="s">
        <v>26</v>
      </c>
      <c r="I14" s="269" t="s">
        <v>166</v>
      </c>
      <c r="J14" s="267" t="s">
        <v>6529</v>
      </c>
      <c r="K14" s="270">
        <v>482</v>
      </c>
      <c r="L14" s="271" t="s">
        <v>2057</v>
      </c>
      <c r="M14" s="272" t="s">
        <v>175</v>
      </c>
    </row>
    <row r="15" spans="1:24" ht="14.5">
      <c r="A15" s="267" t="s">
        <v>6527</v>
      </c>
      <c r="B15" s="251" t="s">
        <v>6538</v>
      </c>
      <c r="C15" s="267" t="s">
        <v>6528</v>
      </c>
      <c r="D15" s="267" t="s">
        <v>106</v>
      </c>
      <c r="E15" s="268" t="s">
        <v>91</v>
      </c>
      <c r="F15" s="267" t="s">
        <v>21</v>
      </c>
      <c r="G15" s="269" t="s">
        <v>74</v>
      </c>
      <c r="H15" s="269" t="s">
        <v>42</v>
      </c>
      <c r="I15" s="269" t="s">
        <v>166</v>
      </c>
      <c r="J15" s="267" t="s">
        <v>6529</v>
      </c>
      <c r="K15" s="270">
        <v>620</v>
      </c>
      <c r="L15" s="271" t="s">
        <v>2057</v>
      </c>
      <c r="M15" s="272" t="s">
        <v>175</v>
      </c>
    </row>
    <row r="16" spans="1:24" ht="14.5">
      <c r="A16" s="267" t="s">
        <v>6527</v>
      </c>
      <c r="B16" s="251" t="s">
        <v>6539</v>
      </c>
      <c r="C16" s="267" t="s">
        <v>6528</v>
      </c>
      <c r="D16" s="267" t="s">
        <v>106</v>
      </c>
      <c r="E16" s="268" t="s">
        <v>91</v>
      </c>
      <c r="F16" s="267" t="s">
        <v>21</v>
      </c>
      <c r="G16" s="269" t="s">
        <v>72</v>
      </c>
      <c r="H16" s="269" t="s">
        <v>26</v>
      </c>
      <c r="I16" s="269" t="s">
        <v>166</v>
      </c>
      <c r="J16" s="267" t="s">
        <v>6529</v>
      </c>
      <c r="K16" s="270">
        <v>482</v>
      </c>
      <c r="L16" s="271" t="s">
        <v>2057</v>
      </c>
      <c r="M16" s="272" t="s">
        <v>175</v>
      </c>
    </row>
    <row r="17" spans="1:13" ht="14.5">
      <c r="A17" s="267" t="s">
        <v>6527</v>
      </c>
      <c r="B17" s="251" t="s">
        <v>6540</v>
      </c>
      <c r="C17" s="267" t="s">
        <v>6528</v>
      </c>
      <c r="D17" s="267" t="s">
        <v>106</v>
      </c>
      <c r="E17" s="268" t="s">
        <v>91</v>
      </c>
      <c r="F17" s="267" t="s">
        <v>21</v>
      </c>
      <c r="G17" s="269" t="s">
        <v>72</v>
      </c>
      <c r="H17" s="269" t="s">
        <v>42</v>
      </c>
      <c r="I17" s="269" t="s">
        <v>166</v>
      </c>
      <c r="J17" s="267" t="s">
        <v>6529</v>
      </c>
      <c r="K17" s="270">
        <v>920</v>
      </c>
      <c r="L17" s="271" t="s">
        <v>2057</v>
      </c>
      <c r="M17" s="272" t="s">
        <v>175</v>
      </c>
    </row>
    <row r="18" spans="1:13" ht="14.5">
      <c r="A18" s="267" t="s">
        <v>6527</v>
      </c>
      <c r="B18" s="251" t="s">
        <v>6541</v>
      </c>
      <c r="C18" s="267" t="s">
        <v>6528</v>
      </c>
      <c r="D18" s="267" t="s">
        <v>6542</v>
      </c>
      <c r="E18" s="268" t="s">
        <v>29</v>
      </c>
      <c r="F18" s="267" t="s">
        <v>21</v>
      </c>
      <c r="G18" s="269" t="s">
        <v>70</v>
      </c>
      <c r="H18" s="269" t="s">
        <v>26</v>
      </c>
      <c r="I18" s="269" t="s">
        <v>167</v>
      </c>
      <c r="J18" s="267" t="s">
        <v>6543</v>
      </c>
      <c r="K18" s="270">
        <v>72</v>
      </c>
      <c r="L18" s="271" t="s">
        <v>2057</v>
      </c>
      <c r="M18" s="272" t="s">
        <v>175</v>
      </c>
    </row>
    <row r="19" spans="1:13" ht="14.5">
      <c r="A19" s="267" t="s">
        <v>6527</v>
      </c>
      <c r="B19" s="251" t="s">
        <v>6544</v>
      </c>
      <c r="C19" s="267" t="s">
        <v>6528</v>
      </c>
      <c r="D19" s="267" t="s">
        <v>6542</v>
      </c>
      <c r="E19" s="268" t="s">
        <v>29</v>
      </c>
      <c r="F19" s="267" t="s">
        <v>21</v>
      </c>
      <c r="G19" s="269" t="s">
        <v>70</v>
      </c>
      <c r="H19" s="269" t="s">
        <v>42</v>
      </c>
      <c r="I19" s="269" t="s">
        <v>167</v>
      </c>
      <c r="J19" s="267" t="s">
        <v>6543</v>
      </c>
      <c r="K19" s="270">
        <v>80</v>
      </c>
      <c r="L19" s="271" t="s">
        <v>2057</v>
      </c>
      <c r="M19" s="272" t="s">
        <v>175</v>
      </c>
    </row>
    <row r="20" spans="1:13" ht="14.5">
      <c r="A20" s="267" t="s">
        <v>6527</v>
      </c>
      <c r="B20" s="251" t="s">
        <v>6545</v>
      </c>
      <c r="C20" s="267" t="s">
        <v>6528</v>
      </c>
      <c r="D20" s="267" t="s">
        <v>6542</v>
      </c>
      <c r="E20" s="268" t="s">
        <v>29</v>
      </c>
      <c r="F20" s="267" t="s">
        <v>21</v>
      </c>
      <c r="G20" s="269" t="s">
        <v>74</v>
      </c>
      <c r="H20" s="269" t="s">
        <v>26</v>
      </c>
      <c r="I20" s="269" t="s">
        <v>167</v>
      </c>
      <c r="J20" s="267" t="s">
        <v>6543</v>
      </c>
      <c r="K20" s="270">
        <v>72</v>
      </c>
      <c r="L20" s="271" t="s">
        <v>2057</v>
      </c>
      <c r="M20" s="272" t="s">
        <v>175</v>
      </c>
    </row>
    <row r="21" spans="1:13" ht="15.75" customHeight="1">
      <c r="A21" s="267" t="s">
        <v>6527</v>
      </c>
      <c r="B21" s="251" t="s">
        <v>6546</v>
      </c>
      <c r="C21" s="267" t="s">
        <v>6528</v>
      </c>
      <c r="D21" s="267" t="s">
        <v>6542</v>
      </c>
      <c r="E21" s="268" t="s">
        <v>29</v>
      </c>
      <c r="F21" s="267" t="s">
        <v>21</v>
      </c>
      <c r="G21" s="269" t="s">
        <v>74</v>
      </c>
      <c r="H21" s="269" t="s">
        <v>42</v>
      </c>
      <c r="I21" s="269" t="s">
        <v>167</v>
      </c>
      <c r="J21" s="267" t="s">
        <v>6543</v>
      </c>
      <c r="K21" s="270">
        <v>80</v>
      </c>
      <c r="L21" s="271" t="s">
        <v>2057</v>
      </c>
      <c r="M21" s="272" t="s">
        <v>175</v>
      </c>
    </row>
    <row r="22" spans="1:13" ht="15.75" customHeight="1">
      <c r="A22" s="267" t="s">
        <v>6527</v>
      </c>
      <c r="B22" s="251" t="s">
        <v>6547</v>
      </c>
      <c r="C22" s="267" t="s">
        <v>6528</v>
      </c>
      <c r="D22" s="267" t="s">
        <v>6542</v>
      </c>
      <c r="E22" s="268" t="s">
        <v>29</v>
      </c>
      <c r="F22" s="267" t="s">
        <v>21</v>
      </c>
      <c r="G22" s="269" t="s">
        <v>72</v>
      </c>
      <c r="H22" s="269" t="s">
        <v>26</v>
      </c>
      <c r="I22" s="269" t="s">
        <v>167</v>
      </c>
      <c r="J22" s="267" t="s">
        <v>6543</v>
      </c>
      <c r="K22" s="270">
        <v>72</v>
      </c>
      <c r="L22" s="271" t="s">
        <v>2057</v>
      </c>
      <c r="M22" s="272" t="s">
        <v>175</v>
      </c>
    </row>
    <row r="23" spans="1:13" ht="15.75" customHeight="1">
      <c r="A23" s="267" t="s">
        <v>6527</v>
      </c>
      <c r="B23" s="251" t="s">
        <v>6548</v>
      </c>
      <c r="C23" s="267" t="s">
        <v>6528</v>
      </c>
      <c r="D23" s="267" t="s">
        <v>6542</v>
      </c>
      <c r="E23" s="268" t="s">
        <v>29</v>
      </c>
      <c r="F23" s="267" t="s">
        <v>21</v>
      </c>
      <c r="G23" s="269" t="s">
        <v>72</v>
      </c>
      <c r="H23" s="269" t="s">
        <v>42</v>
      </c>
      <c r="I23" s="269" t="s">
        <v>167</v>
      </c>
      <c r="J23" s="267" t="s">
        <v>6543</v>
      </c>
      <c r="K23" s="270">
        <v>80</v>
      </c>
      <c r="L23" s="271" t="s">
        <v>2057</v>
      </c>
      <c r="M23" s="272" t="s">
        <v>175</v>
      </c>
    </row>
    <row r="24" spans="1:13" ht="15.75" customHeight="1">
      <c r="A24" s="267" t="s">
        <v>6527</v>
      </c>
      <c r="B24" s="251" t="s">
        <v>6549</v>
      </c>
      <c r="C24" s="267" t="s">
        <v>6528</v>
      </c>
      <c r="D24" s="267" t="s">
        <v>140</v>
      </c>
      <c r="E24" s="268" t="s">
        <v>141</v>
      </c>
      <c r="F24" s="267" t="s">
        <v>21</v>
      </c>
      <c r="G24" s="269" t="s">
        <v>70</v>
      </c>
      <c r="H24" s="269" t="s">
        <v>26</v>
      </c>
      <c r="I24" s="269" t="s">
        <v>167</v>
      </c>
      <c r="J24" s="267" t="s">
        <v>6550</v>
      </c>
      <c r="K24" s="270">
        <v>100</v>
      </c>
      <c r="L24" s="271" t="s">
        <v>173</v>
      </c>
      <c r="M24" s="272" t="s">
        <v>175</v>
      </c>
    </row>
    <row r="25" spans="1:13" ht="15.75" customHeight="1">
      <c r="A25" s="267" t="s">
        <v>6527</v>
      </c>
      <c r="B25" s="251" t="s">
        <v>6551</v>
      </c>
      <c r="C25" s="267" t="s">
        <v>6528</v>
      </c>
      <c r="D25" s="267" t="s">
        <v>140</v>
      </c>
      <c r="E25" s="268" t="s">
        <v>141</v>
      </c>
      <c r="F25" s="267" t="s">
        <v>21</v>
      </c>
      <c r="G25" s="269" t="s">
        <v>70</v>
      </c>
      <c r="H25" s="269" t="s">
        <v>42</v>
      </c>
      <c r="I25" s="269" t="s">
        <v>167</v>
      </c>
      <c r="J25" s="267" t="s">
        <v>6550</v>
      </c>
      <c r="K25" s="270">
        <v>100</v>
      </c>
      <c r="L25" s="271" t="s">
        <v>173</v>
      </c>
      <c r="M25" s="272" t="s">
        <v>175</v>
      </c>
    </row>
    <row r="26" spans="1:13" ht="15.75" customHeight="1">
      <c r="A26" s="267" t="s">
        <v>6527</v>
      </c>
      <c r="B26" s="251" t="s">
        <v>6552</v>
      </c>
      <c r="C26" s="267" t="s">
        <v>6528</v>
      </c>
      <c r="D26" s="267" t="s">
        <v>140</v>
      </c>
      <c r="E26" s="268" t="s">
        <v>141</v>
      </c>
      <c r="F26" s="267" t="s">
        <v>21</v>
      </c>
      <c r="G26" s="269" t="s">
        <v>74</v>
      </c>
      <c r="H26" s="269" t="s">
        <v>26</v>
      </c>
      <c r="I26" s="269" t="s">
        <v>167</v>
      </c>
      <c r="J26" s="267" t="s">
        <v>6550</v>
      </c>
      <c r="K26" s="270">
        <v>100</v>
      </c>
      <c r="L26" s="271" t="s">
        <v>173</v>
      </c>
      <c r="M26" s="272" t="s">
        <v>175</v>
      </c>
    </row>
    <row r="27" spans="1:13" ht="15.75" customHeight="1">
      <c r="A27" s="267" t="s">
        <v>6527</v>
      </c>
      <c r="B27" s="251" t="s">
        <v>6553</v>
      </c>
      <c r="C27" s="267" t="s">
        <v>6528</v>
      </c>
      <c r="D27" s="267" t="s">
        <v>140</v>
      </c>
      <c r="E27" s="268" t="s">
        <v>141</v>
      </c>
      <c r="F27" s="267" t="s">
        <v>21</v>
      </c>
      <c r="G27" s="269" t="s">
        <v>74</v>
      </c>
      <c r="H27" s="269" t="s">
        <v>42</v>
      </c>
      <c r="I27" s="269" t="s">
        <v>167</v>
      </c>
      <c r="J27" s="267" t="s">
        <v>6550</v>
      </c>
      <c r="K27" s="270">
        <v>100</v>
      </c>
      <c r="L27" s="271" t="s">
        <v>173</v>
      </c>
      <c r="M27" s="272" t="s">
        <v>175</v>
      </c>
    </row>
    <row r="28" spans="1:13" ht="15.75" customHeight="1">
      <c r="A28" s="267" t="s">
        <v>6527</v>
      </c>
      <c r="B28" s="251" t="s">
        <v>6554</v>
      </c>
      <c r="C28" s="267" t="s">
        <v>6528</v>
      </c>
      <c r="D28" s="267" t="s">
        <v>140</v>
      </c>
      <c r="E28" s="268" t="s">
        <v>141</v>
      </c>
      <c r="F28" s="267" t="s">
        <v>21</v>
      </c>
      <c r="G28" s="269" t="s">
        <v>72</v>
      </c>
      <c r="H28" s="269" t="s">
        <v>26</v>
      </c>
      <c r="I28" s="269" t="s">
        <v>167</v>
      </c>
      <c r="J28" s="267" t="s">
        <v>6550</v>
      </c>
      <c r="K28" s="270">
        <v>100</v>
      </c>
      <c r="L28" s="271" t="s">
        <v>173</v>
      </c>
      <c r="M28" s="272" t="s">
        <v>175</v>
      </c>
    </row>
    <row r="29" spans="1:13" ht="15.75" customHeight="1">
      <c r="A29" s="267" t="s">
        <v>6527</v>
      </c>
      <c r="B29" s="251" t="s">
        <v>6555</v>
      </c>
      <c r="C29" s="267" t="s">
        <v>6528</v>
      </c>
      <c r="D29" s="267" t="s">
        <v>140</v>
      </c>
      <c r="E29" s="268" t="s">
        <v>141</v>
      </c>
      <c r="F29" s="267" t="s">
        <v>21</v>
      </c>
      <c r="G29" s="269" t="s">
        <v>72</v>
      </c>
      <c r="H29" s="269" t="s">
        <v>42</v>
      </c>
      <c r="I29" s="269" t="s">
        <v>167</v>
      </c>
      <c r="J29" s="267" t="s">
        <v>6550</v>
      </c>
      <c r="K29" s="270">
        <v>100</v>
      </c>
      <c r="L29" s="271" t="s">
        <v>173</v>
      </c>
      <c r="M29" s="272" t="s">
        <v>175</v>
      </c>
    </row>
    <row r="30" spans="1:13" ht="15.75" customHeight="1">
      <c r="A30" s="267" t="s">
        <v>6527</v>
      </c>
      <c r="B30" s="251" t="s">
        <v>6556</v>
      </c>
      <c r="C30" s="267" t="s">
        <v>6528</v>
      </c>
      <c r="D30" s="267" t="s">
        <v>148</v>
      </c>
      <c r="E30" s="268" t="s">
        <v>128</v>
      </c>
      <c r="F30" s="267" t="s">
        <v>21</v>
      </c>
      <c r="G30" s="269" t="s">
        <v>70</v>
      </c>
      <c r="H30" s="269" t="s">
        <v>42</v>
      </c>
      <c r="I30" s="269" t="s">
        <v>436</v>
      </c>
      <c r="J30" s="267" t="s">
        <v>64</v>
      </c>
      <c r="K30" s="270">
        <v>3500</v>
      </c>
      <c r="L30" s="271" t="s">
        <v>2057</v>
      </c>
      <c r="M30" s="272" t="s">
        <v>175</v>
      </c>
    </row>
    <row r="31" spans="1:13" ht="15.75" customHeight="1">
      <c r="A31" s="267" t="s">
        <v>6527</v>
      </c>
      <c r="B31" s="251" t="s">
        <v>6557</v>
      </c>
      <c r="C31" s="267" t="s">
        <v>6528</v>
      </c>
      <c r="D31" s="267" t="s">
        <v>148</v>
      </c>
      <c r="E31" s="268" t="s">
        <v>128</v>
      </c>
      <c r="F31" s="267" t="s">
        <v>21</v>
      </c>
      <c r="G31" s="269" t="s">
        <v>74</v>
      </c>
      <c r="H31" s="269" t="s">
        <v>42</v>
      </c>
      <c r="I31" s="269" t="s">
        <v>436</v>
      </c>
      <c r="J31" s="267" t="s">
        <v>64</v>
      </c>
      <c r="K31" s="270">
        <v>6000</v>
      </c>
      <c r="L31" s="271" t="s">
        <v>2057</v>
      </c>
      <c r="M31" s="272" t="s">
        <v>175</v>
      </c>
    </row>
    <row r="32" spans="1:13" ht="15.75" customHeight="1">
      <c r="A32" s="267" t="s">
        <v>6527</v>
      </c>
      <c r="B32" s="251" t="s">
        <v>6558</v>
      </c>
      <c r="C32" s="267" t="s">
        <v>6528</v>
      </c>
      <c r="D32" s="267" t="s">
        <v>148</v>
      </c>
      <c r="E32" s="268" t="s">
        <v>128</v>
      </c>
      <c r="F32" s="267" t="s">
        <v>21</v>
      </c>
      <c r="G32" s="269" t="s">
        <v>72</v>
      </c>
      <c r="H32" s="269" t="s">
        <v>42</v>
      </c>
      <c r="I32" s="269" t="s">
        <v>436</v>
      </c>
      <c r="J32" s="267" t="s">
        <v>64</v>
      </c>
      <c r="K32" s="270">
        <v>8000</v>
      </c>
      <c r="L32" s="271" t="s">
        <v>2057</v>
      </c>
      <c r="M32" s="272" t="s">
        <v>175</v>
      </c>
    </row>
    <row r="33" spans="1:13" ht="15.75" customHeight="1">
      <c r="A33" s="267" t="s">
        <v>6527</v>
      </c>
      <c r="B33" s="251" t="s">
        <v>6559</v>
      </c>
      <c r="C33" s="267" t="s">
        <v>6528</v>
      </c>
      <c r="D33" s="267" t="s">
        <v>152</v>
      </c>
      <c r="E33" s="268" t="s">
        <v>29</v>
      </c>
      <c r="F33" s="267" t="s">
        <v>21</v>
      </c>
      <c r="G33" s="269" t="s">
        <v>74</v>
      </c>
      <c r="H33" s="269" t="s">
        <v>26</v>
      </c>
      <c r="I33" s="269" t="s">
        <v>436</v>
      </c>
      <c r="J33" s="267" t="s">
        <v>6560</v>
      </c>
      <c r="K33" s="270">
        <v>65.600000000000009</v>
      </c>
      <c r="L33" s="271" t="s">
        <v>2057</v>
      </c>
      <c r="M33" s="272" t="s">
        <v>175</v>
      </c>
    </row>
    <row r="34" spans="1:13" ht="15.75" customHeight="1">
      <c r="A34" s="267" t="s">
        <v>6527</v>
      </c>
      <c r="B34" s="251" t="s">
        <v>6561</v>
      </c>
      <c r="C34" s="267" t="s">
        <v>6528</v>
      </c>
      <c r="D34" s="267" t="s">
        <v>152</v>
      </c>
      <c r="E34" s="268" t="s">
        <v>29</v>
      </c>
      <c r="F34" s="267" t="s">
        <v>21</v>
      </c>
      <c r="G34" s="269" t="s">
        <v>74</v>
      </c>
      <c r="H34" s="269" t="s">
        <v>42</v>
      </c>
      <c r="I34" s="269" t="s">
        <v>436</v>
      </c>
      <c r="J34" s="267" t="s">
        <v>6560</v>
      </c>
      <c r="K34" s="270">
        <v>65.600000000000009</v>
      </c>
      <c r="L34" s="271" t="s">
        <v>2057</v>
      </c>
      <c r="M34" s="272" t="s">
        <v>175</v>
      </c>
    </row>
    <row r="35" spans="1:13" ht="15.75" customHeight="1">
      <c r="A35" s="267" t="s">
        <v>6527</v>
      </c>
      <c r="B35" s="251" t="s">
        <v>6562</v>
      </c>
      <c r="C35" s="267" t="s">
        <v>6528</v>
      </c>
      <c r="D35" s="267" t="s">
        <v>152</v>
      </c>
      <c r="E35" s="268" t="s">
        <v>29</v>
      </c>
      <c r="F35" s="267" t="s">
        <v>21</v>
      </c>
      <c r="G35" s="269" t="s">
        <v>70</v>
      </c>
      <c r="H35" s="269" t="s">
        <v>26</v>
      </c>
      <c r="I35" s="269" t="s">
        <v>436</v>
      </c>
      <c r="J35" s="267" t="s">
        <v>6560</v>
      </c>
      <c r="K35" s="270">
        <v>65.600000000000009</v>
      </c>
      <c r="L35" s="271" t="s">
        <v>2057</v>
      </c>
      <c r="M35" s="272" t="s">
        <v>175</v>
      </c>
    </row>
    <row r="36" spans="1:13" ht="15.75" customHeight="1">
      <c r="A36" s="267" t="s">
        <v>6527</v>
      </c>
      <c r="B36" s="251" t="s">
        <v>6563</v>
      </c>
      <c r="C36" s="267" t="s">
        <v>6528</v>
      </c>
      <c r="D36" s="267" t="s">
        <v>152</v>
      </c>
      <c r="E36" s="268" t="s">
        <v>29</v>
      </c>
      <c r="F36" s="267" t="s">
        <v>21</v>
      </c>
      <c r="G36" s="269" t="s">
        <v>72</v>
      </c>
      <c r="H36" s="269" t="s">
        <v>26</v>
      </c>
      <c r="I36" s="269" t="s">
        <v>436</v>
      </c>
      <c r="J36" s="267" t="s">
        <v>6560</v>
      </c>
      <c r="K36" s="270">
        <v>65.600000000000009</v>
      </c>
      <c r="L36" s="271" t="s">
        <v>2057</v>
      </c>
      <c r="M36" s="272" t="s">
        <v>175</v>
      </c>
    </row>
    <row r="37" spans="1:13" ht="15.75" customHeight="1">
      <c r="A37" s="267" t="s">
        <v>6527</v>
      </c>
      <c r="B37" s="251" t="s">
        <v>6564</v>
      </c>
      <c r="C37" s="267" t="s">
        <v>6528</v>
      </c>
      <c r="D37" s="267" t="s">
        <v>152</v>
      </c>
      <c r="E37" s="268" t="s">
        <v>29</v>
      </c>
      <c r="F37" s="267" t="s">
        <v>21</v>
      </c>
      <c r="G37" s="269" t="s">
        <v>72</v>
      </c>
      <c r="H37" s="269" t="s">
        <v>42</v>
      </c>
      <c r="I37" s="269" t="s">
        <v>436</v>
      </c>
      <c r="J37" s="267" t="s">
        <v>6560</v>
      </c>
      <c r="K37" s="270">
        <v>65.600000000000009</v>
      </c>
      <c r="L37" s="271" t="s">
        <v>2057</v>
      </c>
      <c r="M37" s="272" t="s">
        <v>175</v>
      </c>
    </row>
    <row r="38" spans="1:13" ht="15.75" customHeight="1">
      <c r="A38" s="267" t="s">
        <v>6527</v>
      </c>
      <c r="B38" s="251" t="s">
        <v>6565</v>
      </c>
      <c r="C38" s="267" t="s">
        <v>6528</v>
      </c>
      <c r="D38" s="267" t="s">
        <v>152</v>
      </c>
      <c r="E38" s="268" t="s">
        <v>29</v>
      </c>
      <c r="F38" s="267" t="s">
        <v>21</v>
      </c>
      <c r="G38" s="269" t="s">
        <v>70</v>
      </c>
      <c r="H38" s="269" t="s">
        <v>42</v>
      </c>
      <c r="I38" s="269" t="s">
        <v>436</v>
      </c>
      <c r="J38" s="267" t="s">
        <v>6560</v>
      </c>
      <c r="K38" s="270">
        <v>65.600000000000009</v>
      </c>
      <c r="L38" s="271" t="s">
        <v>2057</v>
      </c>
      <c r="M38" s="272" t="s">
        <v>175</v>
      </c>
    </row>
    <row r="39" spans="1:13" ht="15.75" customHeight="1">
      <c r="A39" s="267" t="s">
        <v>6527</v>
      </c>
      <c r="B39" s="251" t="s">
        <v>6566</v>
      </c>
      <c r="C39" s="267" t="s">
        <v>6528</v>
      </c>
      <c r="D39" s="267" t="s">
        <v>159</v>
      </c>
      <c r="E39" s="268" t="s">
        <v>29</v>
      </c>
      <c r="F39" s="267" t="s">
        <v>21</v>
      </c>
      <c r="G39" s="269" t="s">
        <v>70</v>
      </c>
      <c r="H39" s="269" t="s">
        <v>42</v>
      </c>
      <c r="I39" s="269" t="s">
        <v>436</v>
      </c>
      <c r="J39" s="267" t="s">
        <v>6560</v>
      </c>
      <c r="K39" s="270">
        <v>56</v>
      </c>
      <c r="L39" s="271" t="s">
        <v>2057</v>
      </c>
      <c r="M39" s="272" t="s">
        <v>175</v>
      </c>
    </row>
    <row r="40" spans="1:13" ht="15.75" customHeight="1">
      <c r="A40" s="267" t="s">
        <v>6527</v>
      </c>
      <c r="B40" s="251" t="s">
        <v>6567</v>
      </c>
      <c r="C40" s="267" t="s">
        <v>6528</v>
      </c>
      <c r="D40" s="267" t="s">
        <v>159</v>
      </c>
      <c r="E40" s="268" t="s">
        <v>29</v>
      </c>
      <c r="F40" s="267" t="s">
        <v>21</v>
      </c>
      <c r="G40" s="269" t="s">
        <v>74</v>
      </c>
      <c r="H40" s="269" t="s">
        <v>26</v>
      </c>
      <c r="I40" s="269" t="s">
        <v>436</v>
      </c>
      <c r="J40" s="267" t="s">
        <v>6560</v>
      </c>
      <c r="K40" s="270">
        <v>56</v>
      </c>
      <c r="L40" s="271" t="s">
        <v>2057</v>
      </c>
      <c r="M40" s="272" t="s">
        <v>175</v>
      </c>
    </row>
    <row r="41" spans="1:13" ht="15.75" customHeight="1">
      <c r="A41" s="267" t="s">
        <v>6527</v>
      </c>
      <c r="B41" s="251" t="s">
        <v>6568</v>
      </c>
      <c r="C41" s="267" t="s">
        <v>6528</v>
      </c>
      <c r="D41" s="267" t="s">
        <v>159</v>
      </c>
      <c r="E41" s="268" t="s">
        <v>29</v>
      </c>
      <c r="F41" s="267" t="s">
        <v>21</v>
      </c>
      <c r="G41" s="269" t="s">
        <v>74</v>
      </c>
      <c r="H41" s="269" t="s">
        <v>42</v>
      </c>
      <c r="I41" s="269" t="s">
        <v>436</v>
      </c>
      <c r="J41" s="267" t="s">
        <v>6560</v>
      </c>
      <c r="K41" s="270">
        <v>56</v>
      </c>
      <c r="L41" s="271" t="s">
        <v>2057</v>
      </c>
      <c r="M41" s="272" t="s">
        <v>175</v>
      </c>
    </row>
    <row r="42" spans="1:13" ht="15.75" customHeight="1">
      <c r="A42" s="267" t="s">
        <v>6527</v>
      </c>
      <c r="B42" s="251" t="s">
        <v>6569</v>
      </c>
      <c r="C42" s="267" t="s">
        <v>6528</v>
      </c>
      <c r="D42" s="267" t="s">
        <v>159</v>
      </c>
      <c r="E42" s="268" t="s">
        <v>29</v>
      </c>
      <c r="F42" s="267" t="s">
        <v>21</v>
      </c>
      <c r="G42" s="269" t="s">
        <v>72</v>
      </c>
      <c r="H42" s="269" t="s">
        <v>26</v>
      </c>
      <c r="I42" s="269" t="s">
        <v>436</v>
      </c>
      <c r="J42" s="267" t="s">
        <v>6560</v>
      </c>
      <c r="K42" s="270">
        <v>56</v>
      </c>
      <c r="L42" s="271" t="s">
        <v>2057</v>
      </c>
      <c r="M42" s="272" t="s">
        <v>175</v>
      </c>
    </row>
    <row r="43" spans="1:13" ht="15.75" customHeight="1">
      <c r="A43" s="267" t="s">
        <v>6527</v>
      </c>
      <c r="B43" s="251" t="s">
        <v>6570</v>
      </c>
      <c r="C43" s="267" t="s">
        <v>6528</v>
      </c>
      <c r="D43" s="267" t="s">
        <v>159</v>
      </c>
      <c r="E43" s="268" t="s">
        <v>29</v>
      </c>
      <c r="F43" s="267" t="s">
        <v>21</v>
      </c>
      <c r="G43" s="269" t="s">
        <v>72</v>
      </c>
      <c r="H43" s="269" t="s">
        <v>42</v>
      </c>
      <c r="I43" s="269" t="s">
        <v>436</v>
      </c>
      <c r="J43" s="267" t="s">
        <v>6560</v>
      </c>
      <c r="K43" s="270">
        <v>56</v>
      </c>
      <c r="L43" s="271" t="s">
        <v>2057</v>
      </c>
      <c r="M43" s="272" t="s">
        <v>175</v>
      </c>
    </row>
    <row r="44" spans="1:13" ht="15.75" customHeight="1">
      <c r="A44" s="267" t="s">
        <v>6527</v>
      </c>
      <c r="B44" s="251" t="s">
        <v>6571</v>
      </c>
      <c r="C44" s="267" t="s">
        <v>6528</v>
      </c>
      <c r="D44" s="267" t="s">
        <v>159</v>
      </c>
      <c r="E44" s="268" t="s">
        <v>29</v>
      </c>
      <c r="F44" s="267" t="s">
        <v>21</v>
      </c>
      <c r="G44" s="269" t="s">
        <v>70</v>
      </c>
      <c r="H44" s="269" t="s">
        <v>26</v>
      </c>
      <c r="I44" s="269" t="s">
        <v>436</v>
      </c>
      <c r="J44" s="267" t="s">
        <v>6560</v>
      </c>
      <c r="K44" s="270">
        <v>56</v>
      </c>
      <c r="L44" s="271" t="s">
        <v>2057</v>
      </c>
      <c r="M44" s="272" t="s">
        <v>175</v>
      </c>
    </row>
    <row r="45" spans="1:13" ht="15.75" customHeight="1">
      <c r="A45" s="267" t="s">
        <v>6527</v>
      </c>
      <c r="B45" s="251" t="s">
        <v>6572</v>
      </c>
      <c r="C45" s="267" t="s">
        <v>6528</v>
      </c>
      <c r="D45" s="267" t="s">
        <v>6573</v>
      </c>
      <c r="E45" s="268" t="s">
        <v>29</v>
      </c>
      <c r="F45" s="267" t="s">
        <v>21</v>
      </c>
      <c r="G45" s="269" t="s">
        <v>206</v>
      </c>
      <c r="H45" s="269" t="s">
        <v>26</v>
      </c>
      <c r="I45" s="269" t="s">
        <v>167</v>
      </c>
      <c r="J45" s="267" t="s">
        <v>64</v>
      </c>
      <c r="K45" s="273">
        <v>72</v>
      </c>
      <c r="L45" s="271" t="s">
        <v>2057</v>
      </c>
      <c r="M45" s="272" t="s">
        <v>175</v>
      </c>
    </row>
    <row r="46" spans="1:13" ht="15.75" customHeight="1">
      <c r="A46" s="267" t="s">
        <v>6527</v>
      </c>
      <c r="B46" s="251" t="s">
        <v>6574</v>
      </c>
      <c r="C46" s="267" t="s">
        <v>6528</v>
      </c>
      <c r="D46" s="267" t="s">
        <v>6575</v>
      </c>
      <c r="E46" s="268" t="s">
        <v>29</v>
      </c>
      <c r="F46" s="267" t="s">
        <v>21</v>
      </c>
      <c r="G46" s="269" t="s">
        <v>206</v>
      </c>
      <c r="H46" s="269" t="s">
        <v>26</v>
      </c>
      <c r="I46" s="269" t="s">
        <v>167</v>
      </c>
      <c r="J46" s="267" t="s">
        <v>64</v>
      </c>
      <c r="K46" s="273">
        <v>72</v>
      </c>
      <c r="L46" s="271" t="s">
        <v>2057</v>
      </c>
      <c r="M46" s="272" t="s">
        <v>175</v>
      </c>
    </row>
    <row r="47" spans="1:13" ht="15.75" customHeight="1">
      <c r="A47" s="267" t="s">
        <v>6527</v>
      </c>
      <c r="B47" s="251" t="s">
        <v>6576</v>
      </c>
      <c r="C47" s="267" t="s">
        <v>6528</v>
      </c>
      <c r="D47" s="267" t="s">
        <v>6577</v>
      </c>
      <c r="E47" s="268" t="s">
        <v>29</v>
      </c>
      <c r="F47" s="267" t="s">
        <v>21</v>
      </c>
      <c r="G47" s="269" t="s">
        <v>206</v>
      </c>
      <c r="H47" s="269" t="s">
        <v>26</v>
      </c>
      <c r="I47" s="269" t="s">
        <v>167</v>
      </c>
      <c r="J47" s="267" t="s">
        <v>64</v>
      </c>
      <c r="K47" s="273">
        <v>56</v>
      </c>
      <c r="L47" s="271" t="s">
        <v>2057</v>
      </c>
      <c r="M47" s="272" t="s">
        <v>175</v>
      </c>
    </row>
    <row r="48" spans="1:13" ht="15.75" customHeight="1">
      <c r="A48" s="267" t="s">
        <v>6527</v>
      </c>
      <c r="B48" s="251" t="s">
        <v>6578</v>
      </c>
      <c r="C48" s="267" t="s">
        <v>6528</v>
      </c>
      <c r="D48" s="267" t="s">
        <v>6579</v>
      </c>
      <c r="E48" s="268" t="s">
        <v>29</v>
      </c>
      <c r="F48" s="267" t="s">
        <v>21</v>
      </c>
      <c r="G48" s="269" t="s">
        <v>206</v>
      </c>
      <c r="H48" s="269" t="s">
        <v>26</v>
      </c>
      <c r="I48" s="269" t="s">
        <v>436</v>
      </c>
      <c r="J48" s="267" t="s">
        <v>64</v>
      </c>
      <c r="K48" s="273">
        <v>48</v>
      </c>
      <c r="L48" s="271" t="s">
        <v>2057</v>
      </c>
      <c r="M48" s="272" t="s">
        <v>175</v>
      </c>
    </row>
    <row r="49" spans="1:13" ht="15.75" customHeight="1">
      <c r="A49" s="267" t="s">
        <v>6527</v>
      </c>
      <c r="B49" s="251" t="s">
        <v>6580</v>
      </c>
      <c r="C49" s="267" t="s">
        <v>6528</v>
      </c>
      <c r="D49" s="267" t="s">
        <v>6581</v>
      </c>
      <c r="E49" s="268" t="s">
        <v>29</v>
      </c>
      <c r="F49" s="267" t="s">
        <v>21</v>
      </c>
      <c r="G49" s="269" t="s">
        <v>206</v>
      </c>
      <c r="H49" s="269" t="s">
        <v>26</v>
      </c>
      <c r="I49" s="269" t="s">
        <v>436</v>
      </c>
      <c r="J49" s="267" t="s">
        <v>64</v>
      </c>
      <c r="K49" s="273">
        <v>48</v>
      </c>
      <c r="L49" s="271" t="s">
        <v>2057</v>
      </c>
      <c r="M49" s="272" t="s">
        <v>175</v>
      </c>
    </row>
    <row r="50" spans="1:13" ht="15.75" customHeight="1">
      <c r="A50" s="267" t="s">
        <v>6527</v>
      </c>
      <c r="B50" s="251" t="s">
        <v>6582</v>
      </c>
      <c r="C50" s="267" t="s">
        <v>6528</v>
      </c>
      <c r="D50" s="267" t="s">
        <v>6583</v>
      </c>
      <c r="E50" s="268" t="s">
        <v>29</v>
      </c>
      <c r="F50" s="267" t="s">
        <v>21</v>
      </c>
      <c r="G50" s="269" t="s">
        <v>206</v>
      </c>
      <c r="H50" s="269" t="s">
        <v>26</v>
      </c>
      <c r="I50" s="269" t="s">
        <v>436</v>
      </c>
      <c r="J50" s="267" t="s">
        <v>64</v>
      </c>
      <c r="K50" s="273">
        <v>48</v>
      </c>
      <c r="L50" s="271" t="s">
        <v>2057</v>
      </c>
      <c r="M50" s="272" t="s">
        <v>175</v>
      </c>
    </row>
    <row r="51" spans="1:13" ht="15.75" customHeight="1">
      <c r="A51" s="267" t="s">
        <v>6527</v>
      </c>
      <c r="B51" s="251" t="s">
        <v>6584</v>
      </c>
      <c r="C51" s="267" t="s">
        <v>6528</v>
      </c>
      <c r="D51" s="267" t="s">
        <v>6585</v>
      </c>
      <c r="E51" s="268" t="s">
        <v>29</v>
      </c>
      <c r="F51" s="267" t="s">
        <v>21</v>
      </c>
      <c r="G51" s="269" t="s">
        <v>206</v>
      </c>
      <c r="H51" s="269" t="s">
        <v>26</v>
      </c>
      <c r="I51" s="269" t="s">
        <v>436</v>
      </c>
      <c r="J51" s="267" t="s">
        <v>64</v>
      </c>
      <c r="K51" s="273">
        <v>72</v>
      </c>
      <c r="L51" s="271" t="s">
        <v>2057</v>
      </c>
      <c r="M51" s="272" t="s">
        <v>175</v>
      </c>
    </row>
    <row r="52" spans="1:13" ht="15.75" customHeight="1">
      <c r="A52" s="267" t="s">
        <v>6527</v>
      </c>
      <c r="B52" s="251" t="s">
        <v>6586</v>
      </c>
      <c r="C52" s="267" t="s">
        <v>6528</v>
      </c>
      <c r="D52" s="267" t="s">
        <v>6587</v>
      </c>
      <c r="E52" s="268" t="s">
        <v>29</v>
      </c>
      <c r="F52" s="267" t="s">
        <v>21</v>
      </c>
      <c r="G52" s="269" t="s">
        <v>206</v>
      </c>
      <c r="H52" s="269" t="s">
        <v>26</v>
      </c>
      <c r="I52" s="269" t="s">
        <v>436</v>
      </c>
      <c r="J52" s="267" t="s">
        <v>64</v>
      </c>
      <c r="K52" s="273">
        <v>48</v>
      </c>
      <c r="L52" s="271" t="s">
        <v>2057</v>
      </c>
      <c r="M52" s="272" t="s">
        <v>175</v>
      </c>
    </row>
    <row r="53" spans="1:13" ht="15.75" customHeight="1">
      <c r="A53" s="267" t="s">
        <v>6527</v>
      </c>
      <c r="B53" s="251" t="s">
        <v>6588</v>
      </c>
      <c r="C53" s="267" t="s">
        <v>6528</v>
      </c>
      <c r="D53" s="267" t="s">
        <v>6589</v>
      </c>
      <c r="E53" s="268" t="s">
        <v>29</v>
      </c>
      <c r="F53" s="267" t="s">
        <v>21</v>
      </c>
      <c r="G53" s="269" t="s">
        <v>206</v>
      </c>
      <c r="H53" s="269" t="s">
        <v>26</v>
      </c>
      <c r="I53" s="269" t="s">
        <v>436</v>
      </c>
      <c r="J53" s="267" t="s">
        <v>64</v>
      </c>
      <c r="K53" s="273">
        <v>48</v>
      </c>
      <c r="L53" s="271" t="s">
        <v>2057</v>
      </c>
      <c r="M53" s="272" t="s">
        <v>175</v>
      </c>
    </row>
    <row r="54" spans="1:13" ht="15.75" customHeight="1">
      <c r="A54" s="267" t="s">
        <v>6527</v>
      </c>
      <c r="B54" s="251" t="s">
        <v>6590</v>
      </c>
      <c r="C54" s="267" t="s">
        <v>6528</v>
      </c>
      <c r="D54" s="267" t="s">
        <v>6573</v>
      </c>
      <c r="E54" s="268" t="s">
        <v>29</v>
      </c>
      <c r="F54" s="267" t="s">
        <v>21</v>
      </c>
      <c r="G54" s="269" t="s">
        <v>206</v>
      </c>
      <c r="H54" s="269" t="s">
        <v>42</v>
      </c>
      <c r="I54" s="269" t="s">
        <v>167</v>
      </c>
      <c r="J54" s="267" t="s">
        <v>64</v>
      </c>
      <c r="K54" s="273">
        <v>72.222222222222229</v>
      </c>
      <c r="L54" s="271" t="s">
        <v>2057</v>
      </c>
      <c r="M54" s="272" t="s">
        <v>175</v>
      </c>
    </row>
    <row r="55" spans="1:13" ht="15.75" customHeight="1">
      <c r="A55" s="267" t="s">
        <v>6527</v>
      </c>
      <c r="B55" s="251" t="s">
        <v>6591</v>
      </c>
      <c r="C55" s="267" t="s">
        <v>6528</v>
      </c>
      <c r="D55" s="267" t="s">
        <v>6575</v>
      </c>
      <c r="E55" s="268" t="s">
        <v>29</v>
      </c>
      <c r="F55" s="267" t="s">
        <v>21</v>
      </c>
      <c r="G55" s="269" t="s">
        <v>206</v>
      </c>
      <c r="H55" s="269" t="s">
        <v>42</v>
      </c>
      <c r="I55" s="269" t="s">
        <v>167</v>
      </c>
      <c r="J55" s="267" t="s">
        <v>64</v>
      </c>
      <c r="K55" s="273">
        <v>72.222222222222229</v>
      </c>
      <c r="L55" s="271" t="s">
        <v>2057</v>
      </c>
      <c r="M55" s="272" t="s">
        <v>175</v>
      </c>
    </row>
    <row r="56" spans="1:13" ht="15.75" customHeight="1">
      <c r="A56" s="267" t="s">
        <v>6527</v>
      </c>
      <c r="B56" s="251" t="s">
        <v>6592</v>
      </c>
      <c r="C56" s="267" t="s">
        <v>6528</v>
      </c>
      <c r="D56" s="267" t="s">
        <v>6577</v>
      </c>
      <c r="E56" s="268" t="s">
        <v>29</v>
      </c>
      <c r="F56" s="267" t="s">
        <v>21</v>
      </c>
      <c r="G56" s="269" t="s">
        <v>206</v>
      </c>
      <c r="H56" s="269" t="s">
        <v>42</v>
      </c>
      <c r="I56" s="269" t="s">
        <v>167</v>
      </c>
      <c r="J56" s="267" t="s">
        <v>64</v>
      </c>
      <c r="K56" s="273">
        <v>91.666666669999998</v>
      </c>
      <c r="L56" s="271" t="s">
        <v>2057</v>
      </c>
      <c r="M56" s="272" t="s">
        <v>175</v>
      </c>
    </row>
    <row r="57" spans="1:13" ht="15.75" customHeight="1">
      <c r="A57" s="267" t="s">
        <v>6527</v>
      </c>
      <c r="B57" s="251" t="s">
        <v>6593</v>
      </c>
      <c r="C57" s="267" t="s">
        <v>6528</v>
      </c>
      <c r="D57" s="267" t="s">
        <v>6579</v>
      </c>
      <c r="E57" s="268" t="s">
        <v>29</v>
      </c>
      <c r="F57" s="267" t="s">
        <v>21</v>
      </c>
      <c r="G57" s="269" t="s">
        <v>206</v>
      </c>
      <c r="H57" s="269" t="s">
        <v>42</v>
      </c>
      <c r="I57" s="269" t="s">
        <v>436</v>
      </c>
      <c r="J57" s="267" t="s">
        <v>64</v>
      </c>
      <c r="K57" s="273">
        <v>72.222222222222229</v>
      </c>
      <c r="L57" s="271" t="s">
        <v>2057</v>
      </c>
      <c r="M57" s="272" t="s">
        <v>175</v>
      </c>
    </row>
    <row r="58" spans="1:13" ht="15.75" customHeight="1">
      <c r="A58" s="267" t="s">
        <v>6527</v>
      </c>
      <c r="B58" s="251" t="s">
        <v>6594</v>
      </c>
      <c r="C58" s="267" t="s">
        <v>6528</v>
      </c>
      <c r="D58" s="267" t="s">
        <v>6581</v>
      </c>
      <c r="E58" s="268" t="s">
        <v>29</v>
      </c>
      <c r="F58" s="267" t="s">
        <v>21</v>
      </c>
      <c r="G58" s="269" t="s">
        <v>206</v>
      </c>
      <c r="H58" s="269" t="s">
        <v>42</v>
      </c>
      <c r="I58" s="269" t="s">
        <v>436</v>
      </c>
      <c r="J58" s="267" t="s">
        <v>64</v>
      </c>
      <c r="K58" s="273">
        <v>72.222222222222229</v>
      </c>
      <c r="L58" s="271" t="s">
        <v>2057</v>
      </c>
      <c r="M58" s="272" t="s">
        <v>175</v>
      </c>
    </row>
    <row r="59" spans="1:13" ht="15.75" customHeight="1">
      <c r="A59" s="267" t="s">
        <v>6527</v>
      </c>
      <c r="B59" s="251" t="s">
        <v>6595</v>
      </c>
      <c r="C59" s="267" t="s">
        <v>6528</v>
      </c>
      <c r="D59" s="267" t="s">
        <v>6583</v>
      </c>
      <c r="E59" s="268" t="s">
        <v>29</v>
      </c>
      <c r="F59" s="267" t="s">
        <v>21</v>
      </c>
      <c r="G59" s="269" t="s">
        <v>206</v>
      </c>
      <c r="H59" s="269" t="s">
        <v>42</v>
      </c>
      <c r="I59" s="269" t="s">
        <v>436</v>
      </c>
      <c r="J59" s="267" t="s">
        <v>64</v>
      </c>
      <c r="K59" s="273">
        <v>72.222222222222229</v>
      </c>
      <c r="L59" s="271" t="s">
        <v>2057</v>
      </c>
      <c r="M59" s="272" t="s">
        <v>175</v>
      </c>
    </row>
    <row r="60" spans="1:13" ht="15.75" customHeight="1">
      <c r="A60" s="267" t="s">
        <v>6527</v>
      </c>
      <c r="B60" s="251" t="s">
        <v>6596</v>
      </c>
      <c r="C60" s="267" t="s">
        <v>6528</v>
      </c>
      <c r="D60" s="267" t="s">
        <v>6585</v>
      </c>
      <c r="E60" s="268" t="s">
        <v>29</v>
      </c>
      <c r="F60" s="267" t="s">
        <v>21</v>
      </c>
      <c r="G60" s="269" t="s">
        <v>206</v>
      </c>
      <c r="H60" s="269" t="s">
        <v>42</v>
      </c>
      <c r="I60" s="269" t="s">
        <v>436</v>
      </c>
      <c r="J60" s="267" t="s">
        <v>64</v>
      </c>
      <c r="K60" s="273">
        <v>72.222222222222229</v>
      </c>
      <c r="L60" s="271" t="s">
        <v>2057</v>
      </c>
      <c r="M60" s="272" t="s">
        <v>175</v>
      </c>
    </row>
    <row r="61" spans="1:13" ht="15.75" customHeight="1">
      <c r="A61" s="267" t="s">
        <v>6527</v>
      </c>
      <c r="B61" s="251" t="s">
        <v>6597</v>
      </c>
      <c r="C61" s="267" t="s">
        <v>6528</v>
      </c>
      <c r="D61" s="267" t="s">
        <v>6587</v>
      </c>
      <c r="E61" s="268" t="s">
        <v>29</v>
      </c>
      <c r="F61" s="267" t="s">
        <v>21</v>
      </c>
      <c r="G61" s="269" t="s">
        <v>206</v>
      </c>
      <c r="H61" s="269" t="s">
        <v>42</v>
      </c>
      <c r="I61" s="269" t="s">
        <v>436</v>
      </c>
      <c r="J61" s="267" t="s">
        <v>64</v>
      </c>
      <c r="K61" s="273">
        <v>72.222222222222229</v>
      </c>
      <c r="L61" s="271" t="s">
        <v>2057</v>
      </c>
      <c r="M61" s="272" t="s">
        <v>175</v>
      </c>
    </row>
    <row r="62" spans="1:13" ht="15.75" customHeight="1">
      <c r="A62" s="267" t="s">
        <v>6527</v>
      </c>
      <c r="B62" s="251" t="s">
        <v>6598</v>
      </c>
      <c r="C62" s="267" t="s">
        <v>6528</v>
      </c>
      <c r="D62" s="267" t="s">
        <v>6589</v>
      </c>
      <c r="E62" s="268" t="s">
        <v>29</v>
      </c>
      <c r="F62" s="267" t="s">
        <v>21</v>
      </c>
      <c r="G62" s="269" t="s">
        <v>206</v>
      </c>
      <c r="H62" s="269" t="s">
        <v>42</v>
      </c>
      <c r="I62" s="269" t="s">
        <v>436</v>
      </c>
      <c r="J62" s="267" t="s">
        <v>64</v>
      </c>
      <c r="K62" s="273">
        <v>72.222222222222229</v>
      </c>
      <c r="L62" s="271" t="s">
        <v>2057</v>
      </c>
      <c r="M62" s="272" t="s">
        <v>175</v>
      </c>
    </row>
    <row r="63" spans="1:13" ht="15.75" customHeight="1">
      <c r="A63" s="267" t="s">
        <v>6527</v>
      </c>
      <c r="B63" s="251" t="s">
        <v>6599</v>
      </c>
      <c r="C63" s="267" t="s">
        <v>6528</v>
      </c>
      <c r="D63" s="267" t="s">
        <v>6600</v>
      </c>
      <c r="E63" s="268" t="s">
        <v>6601</v>
      </c>
      <c r="F63" s="267" t="s">
        <v>168</v>
      </c>
      <c r="G63" s="269" t="s">
        <v>2512</v>
      </c>
      <c r="H63" s="269" t="s">
        <v>2512</v>
      </c>
      <c r="I63" s="269" t="s">
        <v>2512</v>
      </c>
      <c r="J63" s="267" t="s">
        <v>918</v>
      </c>
      <c r="K63" s="270">
        <v>1000</v>
      </c>
      <c r="L63" s="271" t="s">
        <v>2057</v>
      </c>
      <c r="M63" s="272" t="s">
        <v>175</v>
      </c>
    </row>
    <row r="64" spans="1:13" ht="15.75" customHeight="1">
      <c r="A64" s="267" t="s">
        <v>6527</v>
      </c>
      <c r="B64" s="251" t="s">
        <v>6602</v>
      </c>
      <c r="C64" s="267" t="s">
        <v>6528</v>
      </c>
      <c r="D64" s="267" t="s">
        <v>6603</v>
      </c>
      <c r="E64" s="268" t="s">
        <v>6604</v>
      </c>
      <c r="F64" s="267" t="s">
        <v>168</v>
      </c>
      <c r="G64" s="269" t="s">
        <v>2512</v>
      </c>
      <c r="H64" s="269" t="s">
        <v>2512</v>
      </c>
      <c r="I64" s="269" t="s">
        <v>2512</v>
      </c>
      <c r="J64" s="267" t="s">
        <v>918</v>
      </c>
      <c r="K64" s="270">
        <v>1000</v>
      </c>
      <c r="L64" s="271" t="s">
        <v>2057</v>
      </c>
      <c r="M64" s="272" t="s">
        <v>175</v>
      </c>
    </row>
    <row r="65" spans="1:13" ht="15.75" customHeight="1">
      <c r="A65" s="267" t="s">
        <v>6527</v>
      </c>
      <c r="B65" s="251" t="s">
        <v>6605</v>
      </c>
      <c r="C65" s="267" t="s">
        <v>6528</v>
      </c>
      <c r="D65" s="267" t="s">
        <v>6606</v>
      </c>
      <c r="E65" s="268" t="s">
        <v>133</v>
      </c>
      <c r="F65" s="267" t="s">
        <v>438</v>
      </c>
      <c r="G65" s="269" t="s">
        <v>2512</v>
      </c>
      <c r="H65" s="269" t="s">
        <v>2512</v>
      </c>
      <c r="I65" s="269" t="s">
        <v>2512</v>
      </c>
      <c r="J65" s="267" t="s">
        <v>64</v>
      </c>
      <c r="K65" s="270">
        <v>18260</v>
      </c>
      <c r="L65" s="271" t="s">
        <v>173</v>
      </c>
      <c r="M65" s="272" t="s">
        <v>175</v>
      </c>
    </row>
    <row r="66" spans="1:13" ht="15.75" customHeight="1">
      <c r="A66" s="267" t="s">
        <v>6527</v>
      </c>
      <c r="B66" s="251" t="s">
        <v>6607</v>
      </c>
      <c r="C66" s="267" t="s">
        <v>6528</v>
      </c>
      <c r="D66" s="267" t="s">
        <v>6608</v>
      </c>
      <c r="E66" s="268" t="s">
        <v>133</v>
      </c>
      <c r="F66" s="267" t="s">
        <v>438</v>
      </c>
      <c r="G66" s="269" t="s">
        <v>2512</v>
      </c>
      <c r="H66" s="269" t="s">
        <v>2512</v>
      </c>
      <c r="I66" s="269" t="s">
        <v>2512</v>
      </c>
      <c r="J66" s="267" t="s">
        <v>64</v>
      </c>
      <c r="K66" s="270">
        <v>22400</v>
      </c>
      <c r="L66" s="271" t="s">
        <v>173</v>
      </c>
      <c r="M66" s="272" t="s">
        <v>175</v>
      </c>
    </row>
    <row r="67" spans="1:13" ht="15.75" customHeight="1">
      <c r="A67" s="267" t="s">
        <v>6527</v>
      </c>
      <c r="B67" s="251" t="s">
        <v>6609</v>
      </c>
      <c r="C67" s="267" t="s">
        <v>6528</v>
      </c>
      <c r="D67" s="267" t="s">
        <v>6610</v>
      </c>
      <c r="E67" s="268" t="s">
        <v>133</v>
      </c>
      <c r="F67" s="267" t="s">
        <v>438</v>
      </c>
      <c r="G67" s="269" t="s">
        <v>2512</v>
      </c>
      <c r="H67" s="269" t="s">
        <v>2512</v>
      </c>
      <c r="I67" s="269" t="s">
        <v>2512</v>
      </c>
      <c r="J67" s="267" t="s">
        <v>64</v>
      </c>
      <c r="K67" s="270">
        <v>29000</v>
      </c>
      <c r="L67" s="271" t="s">
        <v>173</v>
      </c>
      <c r="M67" s="272" t="s">
        <v>175</v>
      </c>
    </row>
    <row r="68" spans="1:13" ht="15.75" customHeight="1">
      <c r="A68" s="267" t="s">
        <v>6527</v>
      </c>
      <c r="B68" s="251" t="s">
        <v>6611</v>
      </c>
      <c r="C68" s="267" t="s">
        <v>6528</v>
      </c>
      <c r="D68" s="267" t="s">
        <v>6612</v>
      </c>
      <c r="E68" s="268" t="s">
        <v>133</v>
      </c>
      <c r="F68" s="267" t="s">
        <v>438</v>
      </c>
      <c r="G68" s="269" t="s">
        <v>2512</v>
      </c>
      <c r="H68" s="269" t="s">
        <v>2512</v>
      </c>
      <c r="I68" s="269" t="s">
        <v>2512</v>
      </c>
      <c r="J68" s="267" t="s">
        <v>64</v>
      </c>
      <c r="K68" s="270">
        <v>3640</v>
      </c>
      <c r="L68" s="271" t="s">
        <v>173</v>
      </c>
      <c r="M68" s="272" t="s">
        <v>175</v>
      </c>
    </row>
    <row r="69" spans="1:13" ht="15.75" customHeight="1">
      <c r="A69" s="267" t="s">
        <v>6527</v>
      </c>
      <c r="B69" s="251" t="s">
        <v>6613</v>
      </c>
      <c r="C69" s="267" t="s">
        <v>6528</v>
      </c>
      <c r="D69" s="267" t="s">
        <v>6614</v>
      </c>
      <c r="E69" s="268" t="s">
        <v>133</v>
      </c>
      <c r="F69" s="267" t="s">
        <v>438</v>
      </c>
      <c r="G69" s="269" t="s">
        <v>2512</v>
      </c>
      <c r="H69" s="269" t="s">
        <v>2512</v>
      </c>
      <c r="I69" s="269" t="s">
        <v>2512</v>
      </c>
      <c r="J69" s="267" t="s">
        <v>64</v>
      </c>
      <c r="K69" s="270">
        <v>12200</v>
      </c>
      <c r="L69" s="271" t="s">
        <v>173</v>
      </c>
      <c r="M69" s="272" t="s">
        <v>175</v>
      </c>
    </row>
    <row r="70" spans="1:13" ht="15.75" customHeight="1">
      <c r="A70" s="267" t="s">
        <v>6527</v>
      </c>
      <c r="B70" s="251" t="s">
        <v>6615</v>
      </c>
      <c r="C70" s="267" t="s">
        <v>6528</v>
      </c>
      <c r="D70" s="267" t="s">
        <v>6616</v>
      </c>
      <c r="E70" s="268" t="s">
        <v>133</v>
      </c>
      <c r="F70" s="267" t="s">
        <v>438</v>
      </c>
      <c r="G70" s="269" t="s">
        <v>2512</v>
      </c>
      <c r="H70" s="269" t="s">
        <v>2512</v>
      </c>
      <c r="I70" s="269" t="s">
        <v>2512</v>
      </c>
      <c r="J70" s="267" t="s">
        <v>64</v>
      </c>
      <c r="K70" s="270">
        <v>32000</v>
      </c>
      <c r="L70" s="271" t="s">
        <v>173</v>
      </c>
      <c r="M70" s="272" t="s">
        <v>175</v>
      </c>
    </row>
    <row r="71" spans="1:13" ht="15.75" customHeight="1">
      <c r="A71" s="267" t="s">
        <v>6527</v>
      </c>
      <c r="B71" s="251" t="s">
        <v>6617</v>
      </c>
      <c r="C71" s="267" t="s">
        <v>6528</v>
      </c>
      <c r="D71" s="267" t="s">
        <v>6618</v>
      </c>
      <c r="E71" s="268" t="s">
        <v>133</v>
      </c>
      <c r="F71" s="267" t="s">
        <v>6619</v>
      </c>
      <c r="G71" s="269" t="s">
        <v>2512</v>
      </c>
      <c r="H71" s="269" t="s">
        <v>2512</v>
      </c>
      <c r="I71" s="269" t="s">
        <v>2512</v>
      </c>
      <c r="J71" s="267" t="s">
        <v>64</v>
      </c>
      <c r="K71" s="270">
        <v>2600</v>
      </c>
      <c r="L71" s="271" t="s">
        <v>173</v>
      </c>
      <c r="M71" s="272" t="s">
        <v>175</v>
      </c>
    </row>
    <row r="72" spans="1:13" ht="15.75" customHeight="1">
      <c r="A72" s="267" t="s">
        <v>6527</v>
      </c>
      <c r="B72" s="251" t="s">
        <v>6620</v>
      </c>
      <c r="C72" s="267" t="s">
        <v>6528</v>
      </c>
      <c r="D72" s="267" t="s">
        <v>6621</v>
      </c>
      <c r="E72" s="268" t="s">
        <v>133</v>
      </c>
      <c r="F72" s="267" t="s">
        <v>6619</v>
      </c>
      <c r="G72" s="269" t="s">
        <v>2512</v>
      </c>
      <c r="H72" s="269" t="s">
        <v>2512</v>
      </c>
      <c r="I72" s="269" t="s">
        <v>2512</v>
      </c>
      <c r="J72" s="267" t="s">
        <v>64</v>
      </c>
      <c r="K72" s="273">
        <v>5300</v>
      </c>
      <c r="L72" s="271" t="s">
        <v>173</v>
      </c>
      <c r="M72" s="272" t="s">
        <v>175</v>
      </c>
    </row>
    <row r="73" spans="1:13" ht="15.75" customHeight="1">
      <c r="A73" s="267" t="s">
        <v>6527</v>
      </c>
      <c r="B73" s="251" t="s">
        <v>6622</v>
      </c>
      <c r="C73" s="267" t="s">
        <v>6528</v>
      </c>
      <c r="D73" s="267" t="s">
        <v>6623</v>
      </c>
      <c r="E73" s="268" t="s">
        <v>133</v>
      </c>
      <c r="F73" s="267" t="s">
        <v>6619</v>
      </c>
      <c r="G73" s="269" t="s">
        <v>2512</v>
      </c>
      <c r="H73" s="269" t="s">
        <v>2512</v>
      </c>
      <c r="I73" s="269" t="s">
        <v>2512</v>
      </c>
      <c r="J73" s="267" t="s">
        <v>64</v>
      </c>
      <c r="K73" s="273">
        <v>12100</v>
      </c>
      <c r="L73" s="271" t="s">
        <v>173</v>
      </c>
      <c r="M73" s="272" t="s">
        <v>175</v>
      </c>
    </row>
    <row r="74" spans="1:13" ht="15.75" customHeight="1">
      <c r="A74" s="267" t="s">
        <v>6527</v>
      </c>
      <c r="B74" s="251" t="s">
        <v>6624</v>
      </c>
      <c r="C74" s="267" t="s">
        <v>6528</v>
      </c>
      <c r="D74" s="267" t="s">
        <v>6625</v>
      </c>
      <c r="E74" s="268" t="s">
        <v>133</v>
      </c>
      <c r="F74" s="267" t="s">
        <v>6619</v>
      </c>
      <c r="G74" s="269" t="s">
        <v>2512</v>
      </c>
      <c r="H74" s="269" t="s">
        <v>2512</v>
      </c>
      <c r="I74" s="269" t="s">
        <v>2512</v>
      </c>
      <c r="J74" s="267" t="s">
        <v>64</v>
      </c>
      <c r="K74" s="273">
        <v>24200</v>
      </c>
      <c r="L74" s="271" t="s">
        <v>173</v>
      </c>
      <c r="M74" s="272" t="s">
        <v>175</v>
      </c>
    </row>
    <row r="75" spans="1:13" ht="15.75" customHeight="1">
      <c r="A75" s="267" t="s">
        <v>6527</v>
      </c>
      <c r="B75" s="251" t="s">
        <v>6626</v>
      </c>
      <c r="C75" s="267" t="s">
        <v>6528</v>
      </c>
      <c r="D75" s="267" t="s">
        <v>6627</v>
      </c>
      <c r="E75" s="268" t="s">
        <v>133</v>
      </c>
      <c r="F75" s="267" t="s">
        <v>6619</v>
      </c>
      <c r="G75" s="269" t="s">
        <v>2512</v>
      </c>
      <c r="H75" s="269" t="s">
        <v>2512</v>
      </c>
      <c r="I75" s="269" t="s">
        <v>2512</v>
      </c>
      <c r="J75" s="267" t="s">
        <v>64</v>
      </c>
      <c r="K75" s="273">
        <v>50300</v>
      </c>
      <c r="L75" s="271" t="s">
        <v>173</v>
      </c>
      <c r="M75" s="272" t="s">
        <v>175</v>
      </c>
    </row>
    <row r="76" spans="1:13" ht="15.75" customHeight="1">
      <c r="A76" s="267" t="s">
        <v>6527</v>
      </c>
      <c r="B76" s="251" t="s">
        <v>6628</v>
      </c>
      <c r="C76" s="267" t="s">
        <v>6528</v>
      </c>
      <c r="D76" s="267" t="s">
        <v>6629</v>
      </c>
      <c r="E76" s="268" t="s">
        <v>133</v>
      </c>
      <c r="F76" s="267" t="s">
        <v>6619</v>
      </c>
      <c r="G76" s="269" t="s">
        <v>2512</v>
      </c>
      <c r="H76" s="269" t="s">
        <v>2512</v>
      </c>
      <c r="I76" s="269" t="s">
        <v>2512</v>
      </c>
      <c r="J76" s="267" t="s">
        <v>64</v>
      </c>
      <c r="K76" s="273">
        <v>2400</v>
      </c>
      <c r="L76" s="271" t="s">
        <v>173</v>
      </c>
      <c r="M76" s="272" t="s">
        <v>175</v>
      </c>
    </row>
    <row r="77" spans="1:13" ht="15.75" customHeight="1">
      <c r="A77" s="267" t="s">
        <v>6527</v>
      </c>
      <c r="B77" s="251" t="s">
        <v>6630</v>
      </c>
      <c r="C77" s="267" t="s">
        <v>6528</v>
      </c>
      <c r="D77" s="267" t="s">
        <v>6631</v>
      </c>
      <c r="E77" s="268" t="s">
        <v>133</v>
      </c>
      <c r="F77" s="267" t="s">
        <v>6619</v>
      </c>
      <c r="G77" s="269" t="s">
        <v>2512</v>
      </c>
      <c r="H77" s="269" t="s">
        <v>2512</v>
      </c>
      <c r="I77" s="269" t="s">
        <v>2512</v>
      </c>
      <c r="J77" s="267" t="s">
        <v>64</v>
      </c>
      <c r="K77" s="273">
        <v>7000</v>
      </c>
      <c r="L77" s="271" t="s">
        <v>173</v>
      </c>
      <c r="M77" s="272" t="s">
        <v>175</v>
      </c>
    </row>
    <row r="78" spans="1:13" ht="15.75" customHeight="1">
      <c r="A78" s="267" t="s">
        <v>6527</v>
      </c>
      <c r="B78" s="251" t="s">
        <v>6632</v>
      </c>
      <c r="C78" s="267" t="s">
        <v>6528</v>
      </c>
      <c r="D78" s="267" t="s">
        <v>6633</v>
      </c>
      <c r="E78" s="268" t="s">
        <v>133</v>
      </c>
      <c r="F78" s="267" t="s">
        <v>6619</v>
      </c>
      <c r="G78" s="269" t="s">
        <v>2512</v>
      </c>
      <c r="H78" s="269" t="s">
        <v>2512</v>
      </c>
      <c r="I78" s="269" t="s">
        <v>2512</v>
      </c>
      <c r="J78" s="267" t="s">
        <v>64</v>
      </c>
      <c r="K78" s="273">
        <v>20000</v>
      </c>
      <c r="L78" s="271" t="s">
        <v>173</v>
      </c>
      <c r="M78" s="272" t="s">
        <v>175</v>
      </c>
    </row>
    <row r="79" spans="1:13" ht="15.75" customHeight="1">
      <c r="A79" s="267" t="s">
        <v>6527</v>
      </c>
      <c r="B79" s="251" t="s">
        <v>6634</v>
      </c>
      <c r="C79" s="267" t="s">
        <v>6528</v>
      </c>
      <c r="D79" s="267" t="s">
        <v>6635</v>
      </c>
      <c r="E79" s="268" t="s">
        <v>133</v>
      </c>
      <c r="F79" s="267" t="s">
        <v>6619</v>
      </c>
      <c r="G79" s="269" t="s">
        <v>2512</v>
      </c>
      <c r="H79" s="269" t="s">
        <v>2512</v>
      </c>
      <c r="I79" s="269" t="s">
        <v>2512</v>
      </c>
      <c r="J79" s="267" t="s">
        <v>64</v>
      </c>
      <c r="K79" s="273">
        <v>40000</v>
      </c>
      <c r="L79" s="271" t="s">
        <v>173</v>
      </c>
      <c r="M79" s="272" t="s">
        <v>175</v>
      </c>
    </row>
    <row r="80" spans="1:13" ht="15.75" customHeight="1">
      <c r="A80" s="267" t="s">
        <v>6527</v>
      </c>
      <c r="B80" s="251" t="s">
        <v>6636</v>
      </c>
      <c r="C80" s="267" t="s">
        <v>6528</v>
      </c>
      <c r="D80" s="267" t="s">
        <v>6637</v>
      </c>
      <c r="E80" s="268" t="s">
        <v>133</v>
      </c>
      <c r="F80" s="267" t="s">
        <v>6619</v>
      </c>
      <c r="G80" s="269" t="s">
        <v>2512</v>
      </c>
      <c r="H80" s="269" t="s">
        <v>2512</v>
      </c>
      <c r="I80" s="269" t="s">
        <v>2512</v>
      </c>
      <c r="J80" s="267" t="s">
        <v>64</v>
      </c>
      <c r="K80" s="273">
        <v>50300</v>
      </c>
      <c r="L80" s="271" t="s">
        <v>173</v>
      </c>
      <c r="M80" s="272" t="s">
        <v>175</v>
      </c>
    </row>
    <row r="81" spans="1:13" ht="15.75" customHeight="1">
      <c r="A81" s="267" t="s">
        <v>6527</v>
      </c>
      <c r="B81" s="251" t="s">
        <v>6638</v>
      </c>
      <c r="C81" s="267" t="s">
        <v>6528</v>
      </c>
      <c r="D81" s="267" t="s">
        <v>6639</v>
      </c>
      <c r="E81" s="268" t="s">
        <v>133</v>
      </c>
      <c r="F81" s="267" t="s">
        <v>6619</v>
      </c>
      <c r="G81" s="269" t="s">
        <v>2512</v>
      </c>
      <c r="H81" s="269" t="s">
        <v>2512</v>
      </c>
      <c r="I81" s="269" t="s">
        <v>2512</v>
      </c>
      <c r="J81" s="267" t="s">
        <v>64</v>
      </c>
      <c r="K81" s="273">
        <v>70400</v>
      </c>
      <c r="L81" s="271" t="s">
        <v>173</v>
      </c>
      <c r="M81" s="272" t="s">
        <v>175</v>
      </c>
    </row>
    <row r="82" spans="1:13" ht="15.75" customHeight="1">
      <c r="A82" s="267" t="s">
        <v>6527</v>
      </c>
      <c r="B82" s="251" t="s">
        <v>6640</v>
      </c>
      <c r="C82" s="267" t="s">
        <v>6528</v>
      </c>
      <c r="D82" s="267" t="s">
        <v>6641</v>
      </c>
      <c r="E82" s="268" t="s">
        <v>133</v>
      </c>
      <c r="F82" s="267" t="s">
        <v>6619</v>
      </c>
      <c r="G82" s="269" t="s">
        <v>2512</v>
      </c>
      <c r="H82" s="269" t="s">
        <v>2512</v>
      </c>
      <c r="I82" s="269" t="s">
        <v>2512</v>
      </c>
      <c r="J82" s="267" t="s">
        <v>64</v>
      </c>
      <c r="K82" s="273">
        <v>81200</v>
      </c>
      <c r="L82" s="271" t="s">
        <v>173</v>
      </c>
      <c r="M82" s="272" t="s">
        <v>175</v>
      </c>
    </row>
    <row r="83" spans="1:13" ht="15.75" customHeight="1">
      <c r="A83" s="267" t="s">
        <v>6527</v>
      </c>
      <c r="B83" s="251" t="s">
        <v>6642</v>
      </c>
      <c r="C83" s="267" t="s">
        <v>6528</v>
      </c>
      <c r="D83" s="267" t="s">
        <v>6643</v>
      </c>
      <c r="E83" s="268" t="s">
        <v>133</v>
      </c>
      <c r="F83" s="267" t="s">
        <v>6619</v>
      </c>
      <c r="G83" s="269" t="s">
        <v>2512</v>
      </c>
      <c r="H83" s="269" t="s">
        <v>2512</v>
      </c>
      <c r="I83" s="269" t="s">
        <v>2512</v>
      </c>
      <c r="J83" s="267" t="s">
        <v>64</v>
      </c>
      <c r="K83" s="273">
        <v>104000</v>
      </c>
      <c r="L83" s="271" t="s">
        <v>173</v>
      </c>
      <c r="M83" s="272" t="s">
        <v>175</v>
      </c>
    </row>
    <row r="84" spans="1:13" ht="15.75" customHeight="1">
      <c r="A84" s="267" t="s">
        <v>6527</v>
      </c>
      <c r="B84" s="251" t="s">
        <v>6644</v>
      </c>
      <c r="C84" s="267" t="s">
        <v>6528</v>
      </c>
      <c r="D84" s="267" t="s">
        <v>6645</v>
      </c>
      <c r="E84" s="268" t="s">
        <v>133</v>
      </c>
      <c r="F84" s="267" t="s">
        <v>6619</v>
      </c>
      <c r="G84" s="269" t="s">
        <v>2512</v>
      </c>
      <c r="H84" s="269" t="s">
        <v>2512</v>
      </c>
      <c r="I84" s="269" t="s">
        <v>2512</v>
      </c>
      <c r="J84" s="267" t="s">
        <v>64</v>
      </c>
      <c r="K84" s="273">
        <v>2</v>
      </c>
      <c r="L84" s="271" t="s">
        <v>173</v>
      </c>
      <c r="M84" s="272" t="s">
        <v>175</v>
      </c>
    </row>
    <row r="85" spans="1:13" ht="15.75" customHeight="1">
      <c r="A85" s="267" t="s">
        <v>6527</v>
      </c>
      <c r="B85" s="251" t="s">
        <v>6646</v>
      </c>
      <c r="C85" s="267" t="s">
        <v>6528</v>
      </c>
      <c r="D85" s="267" t="s">
        <v>6647</v>
      </c>
      <c r="E85" s="268" t="s">
        <v>133</v>
      </c>
      <c r="F85" s="267" t="s">
        <v>6619</v>
      </c>
      <c r="G85" s="269" t="s">
        <v>2512</v>
      </c>
      <c r="H85" s="269" t="s">
        <v>2512</v>
      </c>
      <c r="I85" s="269" t="s">
        <v>2512</v>
      </c>
      <c r="J85" s="267" t="s">
        <v>64</v>
      </c>
      <c r="K85" s="273">
        <v>4600</v>
      </c>
      <c r="L85" s="271" t="s">
        <v>173</v>
      </c>
      <c r="M85" s="272" t="s">
        <v>175</v>
      </c>
    </row>
    <row r="86" spans="1:13" ht="15.75" customHeight="1">
      <c r="A86" s="267" t="s">
        <v>6527</v>
      </c>
      <c r="B86" s="251" t="s">
        <v>6648</v>
      </c>
      <c r="C86" s="267" t="s">
        <v>6528</v>
      </c>
      <c r="D86" s="267" t="s">
        <v>6649</v>
      </c>
      <c r="E86" s="268" t="s">
        <v>133</v>
      </c>
      <c r="F86" s="267" t="s">
        <v>6619</v>
      </c>
      <c r="G86" s="269" t="s">
        <v>2512</v>
      </c>
      <c r="H86" s="269" t="s">
        <v>2512</v>
      </c>
      <c r="I86" s="269" t="s">
        <v>2512</v>
      </c>
      <c r="J86" s="267" t="s">
        <v>64</v>
      </c>
      <c r="K86" s="273">
        <v>9200</v>
      </c>
      <c r="L86" s="271" t="s">
        <v>173</v>
      </c>
      <c r="M86" s="272" t="s">
        <v>175</v>
      </c>
    </row>
    <row r="87" spans="1:13" ht="15.75" customHeight="1">
      <c r="A87" s="267" t="s">
        <v>6527</v>
      </c>
      <c r="B87" s="251" t="s">
        <v>6650</v>
      </c>
      <c r="C87" s="267" t="s">
        <v>6528</v>
      </c>
      <c r="D87" s="267" t="s">
        <v>6651</v>
      </c>
      <c r="E87" s="268" t="s">
        <v>133</v>
      </c>
      <c r="F87" s="267" t="s">
        <v>6619</v>
      </c>
      <c r="G87" s="269" t="s">
        <v>2512</v>
      </c>
      <c r="H87" s="269" t="s">
        <v>2512</v>
      </c>
      <c r="I87" s="269" t="s">
        <v>2512</v>
      </c>
      <c r="J87" s="267" t="s">
        <v>64</v>
      </c>
      <c r="K87" s="273">
        <v>18400</v>
      </c>
      <c r="L87" s="271" t="s">
        <v>173</v>
      </c>
      <c r="M87" s="272" t="s">
        <v>175</v>
      </c>
    </row>
    <row r="88" spans="1:13" ht="15.75" customHeight="1">
      <c r="A88" s="267" t="s">
        <v>6527</v>
      </c>
      <c r="B88" s="251" t="s">
        <v>6652</v>
      </c>
      <c r="C88" s="267" t="s">
        <v>6528</v>
      </c>
      <c r="D88" s="267" t="s">
        <v>6653</v>
      </c>
      <c r="E88" s="268" t="s">
        <v>133</v>
      </c>
      <c r="F88" s="267" t="s">
        <v>6619</v>
      </c>
      <c r="G88" s="269" t="s">
        <v>2512</v>
      </c>
      <c r="H88" s="269" t="s">
        <v>2512</v>
      </c>
      <c r="I88" s="269" t="s">
        <v>2512</v>
      </c>
      <c r="J88" s="267" t="s">
        <v>64</v>
      </c>
      <c r="K88" s="273">
        <v>9200</v>
      </c>
      <c r="L88" s="271" t="s">
        <v>173</v>
      </c>
      <c r="M88" s="272" t="s">
        <v>175</v>
      </c>
    </row>
    <row r="89" spans="1:13" ht="15.75" customHeight="1">
      <c r="A89" s="267" t="s">
        <v>6527</v>
      </c>
      <c r="B89" s="251" t="s">
        <v>6654</v>
      </c>
      <c r="C89" s="267" t="s">
        <v>6528</v>
      </c>
      <c r="D89" s="267" t="s">
        <v>6655</v>
      </c>
      <c r="E89" s="268" t="s">
        <v>133</v>
      </c>
      <c r="F89" s="267" t="s">
        <v>6619</v>
      </c>
      <c r="G89" s="269" t="s">
        <v>2512</v>
      </c>
      <c r="H89" s="269" t="s">
        <v>2512</v>
      </c>
      <c r="I89" s="269" t="s">
        <v>2512</v>
      </c>
      <c r="J89" s="267" t="s">
        <v>64</v>
      </c>
      <c r="K89" s="273">
        <v>18400</v>
      </c>
      <c r="L89" s="271" t="s">
        <v>173</v>
      </c>
      <c r="M89" s="272" t="s">
        <v>175</v>
      </c>
    </row>
    <row r="90" spans="1:13" ht="15.75" customHeight="1">
      <c r="A90" s="267" t="s">
        <v>6527</v>
      </c>
      <c r="B90" s="251" t="s">
        <v>6656</v>
      </c>
      <c r="C90" s="267" t="s">
        <v>6528</v>
      </c>
      <c r="D90" s="267" t="s">
        <v>6657</v>
      </c>
      <c r="E90" s="268" t="s">
        <v>133</v>
      </c>
      <c r="F90" s="267" t="s">
        <v>6619</v>
      </c>
      <c r="G90" s="269" t="s">
        <v>2512</v>
      </c>
      <c r="H90" s="269" t="s">
        <v>2512</v>
      </c>
      <c r="I90" s="269" t="s">
        <v>2512</v>
      </c>
      <c r="J90" s="267" t="s">
        <v>64</v>
      </c>
      <c r="K90" s="273">
        <v>40000</v>
      </c>
      <c r="L90" s="271" t="s">
        <v>173</v>
      </c>
      <c r="M90" s="272" t="s">
        <v>175</v>
      </c>
    </row>
    <row r="91" spans="1:13" ht="15.75" customHeight="1">
      <c r="A91" s="267" t="s">
        <v>6527</v>
      </c>
      <c r="B91" s="251" t="s">
        <v>6658</v>
      </c>
      <c r="C91" s="267" t="s">
        <v>6528</v>
      </c>
      <c r="D91" s="267" t="s">
        <v>6659</v>
      </c>
      <c r="E91" s="268" t="s">
        <v>6660</v>
      </c>
      <c r="F91" s="267" t="s">
        <v>6619</v>
      </c>
      <c r="G91" s="269" t="s">
        <v>2512</v>
      </c>
      <c r="H91" s="269" t="s">
        <v>2512</v>
      </c>
      <c r="I91" s="269" t="s">
        <v>2512</v>
      </c>
      <c r="J91" s="267" t="s">
        <v>64</v>
      </c>
      <c r="K91" s="273">
        <v>0.12</v>
      </c>
      <c r="L91" s="271" t="s">
        <v>173</v>
      </c>
      <c r="M91" s="272" t="s">
        <v>175</v>
      </c>
    </row>
    <row r="92" spans="1:13" ht="15.75" customHeight="1">
      <c r="A92" s="267" t="s">
        <v>6527</v>
      </c>
      <c r="B92" s="251" t="s">
        <v>6661</v>
      </c>
      <c r="C92" s="267" t="s">
        <v>6528</v>
      </c>
      <c r="D92" s="267" t="s">
        <v>6662</v>
      </c>
      <c r="E92" s="268" t="s">
        <v>6663</v>
      </c>
      <c r="F92" s="267" t="s">
        <v>6619</v>
      </c>
      <c r="G92" s="269" t="s">
        <v>2512</v>
      </c>
      <c r="H92" s="269" t="s">
        <v>2512</v>
      </c>
      <c r="I92" s="269" t="s">
        <v>2512</v>
      </c>
      <c r="J92" s="267" t="s">
        <v>64</v>
      </c>
      <c r="K92" s="273">
        <v>0.02</v>
      </c>
      <c r="L92" s="271" t="s">
        <v>173</v>
      </c>
      <c r="M92" s="272" t="s">
        <v>175</v>
      </c>
    </row>
    <row r="93" spans="1:13" ht="15.75" customHeight="1">
      <c r="A93" s="267" t="s">
        <v>6527</v>
      </c>
      <c r="B93" s="251" t="s">
        <v>6664</v>
      </c>
      <c r="C93" s="267" t="s">
        <v>6528</v>
      </c>
      <c r="D93" s="267" t="s">
        <v>6665</v>
      </c>
      <c r="E93" s="268" t="s">
        <v>6666</v>
      </c>
      <c r="F93" s="267" t="s">
        <v>6619</v>
      </c>
      <c r="G93" s="269" t="s">
        <v>2512</v>
      </c>
      <c r="H93" s="269" t="s">
        <v>2512</v>
      </c>
      <c r="I93" s="269" t="s">
        <v>2512</v>
      </c>
      <c r="J93" s="267" t="s">
        <v>64</v>
      </c>
      <c r="K93" s="274">
        <v>0.04</v>
      </c>
      <c r="L93" s="271" t="s">
        <v>173</v>
      </c>
      <c r="M93" s="272" t="s">
        <v>175</v>
      </c>
    </row>
    <row r="94" spans="1:13" ht="15.75" customHeight="1">
      <c r="A94" s="267" t="s">
        <v>6527</v>
      </c>
      <c r="B94" s="251" t="s">
        <v>6667</v>
      </c>
      <c r="C94" s="267" t="s">
        <v>6528</v>
      </c>
      <c r="D94" s="267" t="s">
        <v>6668</v>
      </c>
      <c r="E94" s="268" t="s">
        <v>6666</v>
      </c>
      <c r="F94" s="267" t="s">
        <v>6619</v>
      </c>
      <c r="G94" s="269" t="s">
        <v>2512</v>
      </c>
      <c r="H94" s="269" t="s">
        <v>2512</v>
      </c>
      <c r="I94" s="269" t="s">
        <v>2512</v>
      </c>
      <c r="J94" s="267" t="s">
        <v>64</v>
      </c>
      <c r="K94" s="274">
        <v>0.04</v>
      </c>
      <c r="L94" s="271" t="s">
        <v>173</v>
      </c>
      <c r="M94" s="272" t="s">
        <v>175</v>
      </c>
    </row>
    <row r="95" spans="1:13" ht="15.75" customHeight="1">
      <c r="A95" s="267" t="s">
        <v>6527</v>
      </c>
      <c r="B95" s="251" t="s">
        <v>6669</v>
      </c>
      <c r="C95" s="267" t="s">
        <v>6528</v>
      </c>
      <c r="D95" s="267" t="s">
        <v>6670</v>
      </c>
      <c r="E95" s="268" t="s">
        <v>6671</v>
      </c>
      <c r="F95" s="267" t="s">
        <v>6619</v>
      </c>
      <c r="G95" s="269" t="s">
        <v>2512</v>
      </c>
      <c r="H95" s="269" t="s">
        <v>2512</v>
      </c>
      <c r="I95" s="269" t="s">
        <v>2512</v>
      </c>
      <c r="J95" s="267" t="s">
        <v>64</v>
      </c>
      <c r="K95" s="274">
        <v>0.04</v>
      </c>
      <c r="L95" s="271" t="s">
        <v>173</v>
      </c>
      <c r="M95" s="272" t="s">
        <v>175</v>
      </c>
    </row>
    <row r="96" spans="1:13" ht="15.75" customHeight="1">
      <c r="A96" s="267" t="s">
        <v>6527</v>
      </c>
      <c r="B96" s="251" t="s">
        <v>6672</v>
      </c>
      <c r="C96" s="267" t="s">
        <v>6528</v>
      </c>
      <c r="D96" s="267" t="s">
        <v>6673</v>
      </c>
      <c r="E96" s="268" t="s">
        <v>6674</v>
      </c>
      <c r="F96" s="267" t="s">
        <v>6619</v>
      </c>
      <c r="G96" s="269" t="s">
        <v>2512</v>
      </c>
      <c r="H96" s="269" t="s">
        <v>2512</v>
      </c>
      <c r="I96" s="269" t="s">
        <v>2512</v>
      </c>
      <c r="J96" s="267" t="s">
        <v>64</v>
      </c>
      <c r="K96" s="274">
        <v>0.3</v>
      </c>
      <c r="L96" s="271" t="s">
        <v>173</v>
      </c>
      <c r="M96" s="272" t="s">
        <v>175</v>
      </c>
    </row>
    <row r="97" spans="1:13" ht="15.75" customHeight="1">
      <c r="A97" s="267" t="s">
        <v>6527</v>
      </c>
      <c r="B97" s="251" t="s">
        <v>6675</v>
      </c>
      <c r="C97" s="267" t="s">
        <v>6528</v>
      </c>
      <c r="D97" s="267" t="s">
        <v>6676</v>
      </c>
      <c r="E97" s="268" t="s">
        <v>6674</v>
      </c>
      <c r="F97" s="267" t="s">
        <v>6619</v>
      </c>
      <c r="G97" s="269" t="s">
        <v>2512</v>
      </c>
      <c r="H97" s="269" t="s">
        <v>2512</v>
      </c>
      <c r="I97" s="269" t="s">
        <v>2512</v>
      </c>
      <c r="J97" s="267" t="s">
        <v>64</v>
      </c>
      <c r="K97" s="274">
        <v>0.2</v>
      </c>
      <c r="L97" s="271" t="s">
        <v>173</v>
      </c>
      <c r="M97" s="272" t="s">
        <v>175</v>
      </c>
    </row>
    <row r="98" spans="1:13" ht="15.75" customHeight="1">
      <c r="A98" s="267" t="s">
        <v>6527</v>
      </c>
      <c r="B98" s="251" t="s">
        <v>6677</v>
      </c>
      <c r="C98" s="267" t="s">
        <v>6528</v>
      </c>
      <c r="D98" s="267" t="s">
        <v>6678</v>
      </c>
      <c r="E98" s="268" t="s">
        <v>6679</v>
      </c>
      <c r="F98" s="267" t="s">
        <v>6619</v>
      </c>
      <c r="G98" s="269" t="s">
        <v>2512</v>
      </c>
      <c r="H98" s="269" t="s">
        <v>2512</v>
      </c>
      <c r="I98" s="269" t="s">
        <v>2512</v>
      </c>
      <c r="J98" s="267" t="s">
        <v>64</v>
      </c>
      <c r="K98" s="274">
        <v>0.06</v>
      </c>
      <c r="L98" s="271" t="s">
        <v>173</v>
      </c>
      <c r="M98" s="272" t="s">
        <v>175</v>
      </c>
    </row>
    <row r="99" spans="1:13" ht="15.75" customHeight="1">
      <c r="A99" s="267" t="s">
        <v>6527</v>
      </c>
      <c r="B99" s="251" t="s">
        <v>6680</v>
      </c>
      <c r="C99" s="267" t="s">
        <v>6528</v>
      </c>
      <c r="D99" s="267" t="s">
        <v>6681</v>
      </c>
      <c r="E99" s="268" t="s">
        <v>6663</v>
      </c>
      <c r="F99" s="267" t="s">
        <v>6619</v>
      </c>
      <c r="G99" s="269" t="s">
        <v>2512</v>
      </c>
      <c r="H99" s="269" t="s">
        <v>2512</v>
      </c>
      <c r="I99" s="269" t="s">
        <v>2512</v>
      </c>
      <c r="J99" s="267" t="s">
        <v>64</v>
      </c>
      <c r="K99" s="274">
        <v>0.06</v>
      </c>
      <c r="L99" s="271" t="s">
        <v>173</v>
      </c>
      <c r="M99" s="272" t="s">
        <v>175</v>
      </c>
    </row>
    <row r="100" spans="1:13" ht="15.75" customHeight="1">
      <c r="A100" s="267" t="s">
        <v>6527</v>
      </c>
      <c r="B100" s="251" t="s">
        <v>6682</v>
      </c>
      <c r="C100" s="267" t="s">
        <v>6528</v>
      </c>
      <c r="D100" s="267" t="s">
        <v>6683</v>
      </c>
      <c r="E100" s="268" t="s">
        <v>133</v>
      </c>
      <c r="F100" s="267" t="s">
        <v>6619</v>
      </c>
      <c r="G100" s="269" t="s">
        <v>2512</v>
      </c>
      <c r="H100" s="269" t="s">
        <v>2512</v>
      </c>
      <c r="I100" s="269" t="s">
        <v>2512</v>
      </c>
      <c r="J100" s="267" t="s">
        <v>64</v>
      </c>
      <c r="K100" s="273">
        <v>2500</v>
      </c>
      <c r="L100" s="271" t="s">
        <v>173</v>
      </c>
      <c r="M100" s="272" t="s">
        <v>175</v>
      </c>
    </row>
    <row r="101" spans="1:13" ht="15.75" customHeight="1">
      <c r="A101" s="267" t="s">
        <v>6527</v>
      </c>
      <c r="B101" s="251" t="s">
        <v>6684</v>
      </c>
      <c r="C101" s="267" t="s">
        <v>6528</v>
      </c>
      <c r="D101" s="267" t="s">
        <v>6685</v>
      </c>
      <c r="E101" s="268" t="s">
        <v>29</v>
      </c>
      <c r="F101" s="267" t="s">
        <v>6619</v>
      </c>
      <c r="G101" s="269" t="s">
        <v>2512</v>
      </c>
      <c r="H101" s="269" t="s">
        <v>2512</v>
      </c>
      <c r="I101" s="269" t="s">
        <v>2512</v>
      </c>
      <c r="J101" s="267" t="s">
        <v>64</v>
      </c>
      <c r="K101" s="273">
        <v>2.5</v>
      </c>
      <c r="L101" s="271" t="s">
        <v>173</v>
      </c>
      <c r="M101" s="272" t="s">
        <v>175</v>
      </c>
    </row>
    <row r="102" spans="1:13" ht="15.75" customHeight="1">
      <c r="A102" s="267" t="s">
        <v>6527</v>
      </c>
      <c r="B102" s="251" t="s">
        <v>6686</v>
      </c>
      <c r="C102" s="267" t="s">
        <v>6528</v>
      </c>
      <c r="D102" s="267" t="s">
        <v>6687</v>
      </c>
      <c r="E102" s="268" t="s">
        <v>133</v>
      </c>
      <c r="F102" s="267" t="s">
        <v>6619</v>
      </c>
      <c r="G102" s="269" t="s">
        <v>2512</v>
      </c>
      <c r="H102" s="269" t="s">
        <v>2512</v>
      </c>
      <c r="I102" s="269" t="s">
        <v>2512</v>
      </c>
      <c r="J102" s="267" t="s">
        <v>64</v>
      </c>
      <c r="K102" s="273">
        <v>1200</v>
      </c>
      <c r="L102" s="271" t="s">
        <v>173</v>
      </c>
      <c r="M102" s="272" t="s">
        <v>175</v>
      </c>
    </row>
    <row r="103" spans="1:13" ht="15.75" customHeight="1">
      <c r="A103" s="267" t="s">
        <v>6527</v>
      </c>
      <c r="B103" s="251" t="s">
        <v>6688</v>
      </c>
      <c r="C103" s="267" t="s">
        <v>6528</v>
      </c>
      <c r="D103" s="267" t="s">
        <v>6689</v>
      </c>
      <c r="E103" s="268" t="s">
        <v>133</v>
      </c>
      <c r="F103" s="267" t="s">
        <v>6619</v>
      </c>
      <c r="G103" s="269" t="s">
        <v>2512</v>
      </c>
      <c r="H103" s="269" t="s">
        <v>2512</v>
      </c>
      <c r="I103" s="269" t="s">
        <v>2512</v>
      </c>
      <c r="J103" s="267" t="s">
        <v>64</v>
      </c>
      <c r="K103" s="273">
        <v>300</v>
      </c>
      <c r="L103" s="271" t="s">
        <v>173</v>
      </c>
      <c r="M103" s="272" t="s">
        <v>175</v>
      </c>
    </row>
    <row r="104" spans="1:13" ht="15.75" customHeight="1">
      <c r="A104" s="267" t="s">
        <v>6527</v>
      </c>
      <c r="B104" s="251" t="s">
        <v>6690</v>
      </c>
      <c r="C104" s="267" t="s">
        <v>6528</v>
      </c>
      <c r="D104" s="267" t="s">
        <v>6691</v>
      </c>
      <c r="E104" s="268" t="s">
        <v>133</v>
      </c>
      <c r="F104" s="267" t="s">
        <v>6619</v>
      </c>
      <c r="G104" s="269" t="s">
        <v>2512</v>
      </c>
      <c r="H104" s="269" t="s">
        <v>2512</v>
      </c>
      <c r="I104" s="269" t="s">
        <v>2512</v>
      </c>
      <c r="J104" s="267" t="s">
        <v>64</v>
      </c>
      <c r="K104" s="273">
        <v>1200</v>
      </c>
      <c r="L104" s="271" t="s">
        <v>173</v>
      </c>
      <c r="M104" s="272" t="s">
        <v>175</v>
      </c>
    </row>
    <row r="105" spans="1:13" ht="15.75" customHeight="1">
      <c r="A105" s="267" t="s">
        <v>6527</v>
      </c>
      <c r="B105" s="251" t="s">
        <v>6692</v>
      </c>
      <c r="C105" s="267" t="s">
        <v>6528</v>
      </c>
      <c r="D105" s="267" t="s">
        <v>6693</v>
      </c>
      <c r="E105" s="268" t="s">
        <v>6694</v>
      </c>
      <c r="F105" s="267" t="s">
        <v>6619</v>
      </c>
      <c r="G105" s="269" t="s">
        <v>2512</v>
      </c>
      <c r="H105" s="269" t="s">
        <v>2512</v>
      </c>
      <c r="I105" s="269" t="s">
        <v>2512</v>
      </c>
      <c r="J105" s="267" t="s">
        <v>64</v>
      </c>
      <c r="K105" s="275">
        <v>0.1</v>
      </c>
      <c r="L105" s="271" t="s">
        <v>173</v>
      </c>
      <c r="M105" s="272" t="s">
        <v>175</v>
      </c>
    </row>
    <row r="106" spans="1:13" ht="15.75" customHeight="1">
      <c r="A106" s="267" t="s">
        <v>6527</v>
      </c>
      <c r="B106" s="251" t="s">
        <v>6695</v>
      </c>
      <c r="C106" s="267" t="s">
        <v>6528</v>
      </c>
      <c r="D106" s="267" t="s">
        <v>6696</v>
      </c>
      <c r="E106" s="268" t="s">
        <v>6697</v>
      </c>
      <c r="F106" s="267" t="s">
        <v>6619</v>
      </c>
      <c r="G106" s="269" t="s">
        <v>2512</v>
      </c>
      <c r="H106" s="269" t="s">
        <v>2512</v>
      </c>
      <c r="I106" s="269" t="s">
        <v>2512</v>
      </c>
      <c r="J106" s="267" t="s">
        <v>64</v>
      </c>
      <c r="K106" s="275">
        <v>0.8</v>
      </c>
      <c r="L106" s="271" t="s">
        <v>173</v>
      </c>
      <c r="M106" s="272" t="s">
        <v>175</v>
      </c>
    </row>
    <row r="107" spans="1:13" ht="15.75" customHeight="1">
      <c r="A107" s="267" t="s">
        <v>6527</v>
      </c>
      <c r="B107" s="251" t="s">
        <v>6698</v>
      </c>
      <c r="C107" s="267" t="s">
        <v>6528</v>
      </c>
      <c r="D107" s="267" t="s">
        <v>6699</v>
      </c>
      <c r="E107" s="268" t="s">
        <v>6700</v>
      </c>
      <c r="F107" s="267" t="s">
        <v>1097</v>
      </c>
      <c r="G107" s="269" t="s">
        <v>2512</v>
      </c>
      <c r="H107" s="269" t="s">
        <v>2512</v>
      </c>
      <c r="I107" s="269" t="s">
        <v>2512</v>
      </c>
      <c r="J107" s="267" t="s">
        <v>64</v>
      </c>
      <c r="K107" s="275">
        <v>1</v>
      </c>
      <c r="L107" s="271" t="s">
        <v>173</v>
      </c>
      <c r="M107" s="272" t="s">
        <v>175</v>
      </c>
    </row>
    <row r="108" spans="1:13" ht="15.75" customHeight="1">
      <c r="A108" s="267" t="s">
        <v>6527</v>
      </c>
      <c r="B108" s="251" t="s">
        <v>6701</v>
      </c>
      <c r="C108" s="267" t="s">
        <v>6528</v>
      </c>
      <c r="D108" s="267" t="s">
        <v>6702</v>
      </c>
      <c r="E108" s="268" t="s">
        <v>6700</v>
      </c>
      <c r="F108" s="267" t="s">
        <v>1097</v>
      </c>
      <c r="G108" s="269" t="s">
        <v>2512</v>
      </c>
      <c r="H108" s="269" t="s">
        <v>2512</v>
      </c>
      <c r="I108" s="269" t="s">
        <v>2512</v>
      </c>
      <c r="J108" s="267" t="s">
        <v>64</v>
      </c>
      <c r="K108" s="275">
        <v>1</v>
      </c>
      <c r="L108" s="271" t="s">
        <v>173</v>
      </c>
      <c r="M108" s="272" t="s">
        <v>175</v>
      </c>
    </row>
    <row r="109" spans="1:13" ht="15.75" customHeight="1">
      <c r="A109" s="267" t="s">
        <v>6527</v>
      </c>
      <c r="B109" s="251" t="s">
        <v>6703</v>
      </c>
      <c r="C109" s="267" t="s">
        <v>6528</v>
      </c>
      <c r="D109" s="267" t="s">
        <v>6704</v>
      </c>
      <c r="E109" s="268" t="s">
        <v>6700</v>
      </c>
      <c r="F109" s="267" t="s">
        <v>6619</v>
      </c>
      <c r="G109" s="269" t="s">
        <v>2512</v>
      </c>
      <c r="H109" s="269" t="s">
        <v>2512</v>
      </c>
      <c r="I109" s="269" t="s">
        <v>2512</v>
      </c>
      <c r="J109" s="267" t="s">
        <v>64</v>
      </c>
      <c r="K109" s="275">
        <v>1</v>
      </c>
      <c r="L109" s="271" t="s">
        <v>173</v>
      </c>
      <c r="M109" s="272" t="s">
        <v>175</v>
      </c>
    </row>
    <row r="110" spans="1:13" ht="15.75" customHeight="1">
      <c r="A110" s="267" t="s">
        <v>6527</v>
      </c>
      <c r="B110" s="251" t="s">
        <v>10290</v>
      </c>
      <c r="C110" s="267" t="s">
        <v>6528</v>
      </c>
      <c r="D110" s="267" t="s">
        <v>10291</v>
      </c>
      <c r="E110" s="268" t="s">
        <v>133</v>
      </c>
      <c r="F110" s="267" t="s">
        <v>6619</v>
      </c>
      <c r="G110" s="269" t="s">
        <v>2512</v>
      </c>
      <c r="H110" s="269" t="s">
        <v>2512</v>
      </c>
      <c r="I110" s="269" t="s">
        <v>2512</v>
      </c>
      <c r="J110" s="267" t="s">
        <v>76</v>
      </c>
      <c r="K110" s="276">
        <v>720000</v>
      </c>
      <c r="L110" s="271" t="s">
        <v>173</v>
      </c>
      <c r="M110" s="272" t="s">
        <v>175</v>
      </c>
    </row>
    <row r="111" spans="1:13" ht="15.75" customHeight="1">
      <c r="A111" s="267" t="s">
        <v>6527</v>
      </c>
      <c r="B111" s="251" t="s">
        <v>10292</v>
      </c>
      <c r="C111" s="267" t="s">
        <v>6528</v>
      </c>
      <c r="D111" s="267" t="s">
        <v>10293</v>
      </c>
      <c r="E111" s="268" t="s">
        <v>133</v>
      </c>
      <c r="F111" s="267" t="s">
        <v>6619</v>
      </c>
      <c r="G111" s="269" t="s">
        <v>2512</v>
      </c>
      <c r="H111" s="269" t="s">
        <v>2512</v>
      </c>
      <c r="I111" s="269" t="s">
        <v>2512</v>
      </c>
      <c r="J111" s="267" t="s">
        <v>76</v>
      </c>
      <c r="K111" s="276">
        <v>300000</v>
      </c>
      <c r="L111" s="271" t="s">
        <v>173</v>
      </c>
      <c r="M111" s="272" t="s">
        <v>175</v>
      </c>
    </row>
    <row r="112" spans="1:13" ht="15.75" customHeight="1">
      <c r="A112" s="267" t="s">
        <v>6527</v>
      </c>
      <c r="B112" s="251" t="s">
        <v>10294</v>
      </c>
      <c r="C112" s="267" t="s">
        <v>6528</v>
      </c>
      <c r="D112" s="267" t="s">
        <v>10295</v>
      </c>
      <c r="E112" s="268" t="s">
        <v>133</v>
      </c>
      <c r="F112" s="267" t="s">
        <v>6619</v>
      </c>
      <c r="G112" s="269" t="s">
        <v>2512</v>
      </c>
      <c r="H112" s="269" t="s">
        <v>2512</v>
      </c>
      <c r="I112" s="269" t="s">
        <v>2512</v>
      </c>
      <c r="J112" s="267" t="s">
        <v>76</v>
      </c>
      <c r="K112" s="276">
        <v>588000</v>
      </c>
      <c r="L112" s="271" t="s">
        <v>173</v>
      </c>
      <c r="M112" s="272" t="s">
        <v>175</v>
      </c>
    </row>
    <row r="113" spans="1:13" ht="15.75" customHeight="1">
      <c r="A113" s="267" t="s">
        <v>6527</v>
      </c>
      <c r="B113" s="251" t="s">
        <v>10296</v>
      </c>
      <c r="C113" s="267" t="s">
        <v>6528</v>
      </c>
      <c r="D113" s="267" t="s">
        <v>10297</v>
      </c>
      <c r="E113" s="268" t="s">
        <v>133</v>
      </c>
      <c r="F113" s="267" t="s">
        <v>6619</v>
      </c>
      <c r="G113" s="269" t="s">
        <v>2512</v>
      </c>
      <c r="H113" s="269" t="s">
        <v>2512</v>
      </c>
      <c r="I113" s="269" t="s">
        <v>2512</v>
      </c>
      <c r="J113" s="267" t="s">
        <v>76</v>
      </c>
      <c r="K113" s="276">
        <v>855000</v>
      </c>
      <c r="L113" s="271" t="s">
        <v>173</v>
      </c>
      <c r="M113" s="272" t="s">
        <v>175</v>
      </c>
    </row>
    <row r="114" spans="1:13" ht="15.75" customHeight="1">
      <c r="A114" s="267" t="s">
        <v>6527</v>
      </c>
      <c r="B114" s="251" t="s">
        <v>10298</v>
      </c>
      <c r="C114" s="267" t="s">
        <v>6528</v>
      </c>
      <c r="D114" s="267" t="s">
        <v>10299</v>
      </c>
      <c r="E114" s="268" t="s">
        <v>133</v>
      </c>
      <c r="F114" s="267" t="s">
        <v>6619</v>
      </c>
      <c r="G114" s="269" t="s">
        <v>2512</v>
      </c>
      <c r="H114" s="269" t="s">
        <v>2512</v>
      </c>
      <c r="I114" s="269" t="s">
        <v>2512</v>
      </c>
      <c r="J114" s="267" t="s">
        <v>76</v>
      </c>
      <c r="K114" s="276">
        <v>1080000</v>
      </c>
      <c r="L114" s="271" t="s">
        <v>173</v>
      </c>
      <c r="M114" s="272" t="s">
        <v>175</v>
      </c>
    </row>
    <row r="115" spans="1:13" ht="15.75" customHeight="1">
      <c r="A115" s="267" t="s">
        <v>6527</v>
      </c>
      <c r="B115" s="251" t="s">
        <v>10300</v>
      </c>
      <c r="C115" s="267" t="s">
        <v>6528</v>
      </c>
      <c r="D115" s="267" t="s">
        <v>10301</v>
      </c>
      <c r="E115" s="268" t="s">
        <v>133</v>
      </c>
      <c r="F115" s="267" t="s">
        <v>6619</v>
      </c>
      <c r="G115" s="269" t="s">
        <v>2512</v>
      </c>
      <c r="H115" s="269" t="s">
        <v>2512</v>
      </c>
      <c r="I115" s="269" t="s">
        <v>2512</v>
      </c>
      <c r="J115" s="267" t="s">
        <v>76</v>
      </c>
      <c r="K115" s="276">
        <v>180000</v>
      </c>
      <c r="L115" s="271" t="s">
        <v>173</v>
      </c>
      <c r="M115" s="272" t="s">
        <v>175</v>
      </c>
    </row>
    <row r="116" spans="1:13" ht="15.75" customHeight="1">
      <c r="A116" s="267" t="s">
        <v>6527</v>
      </c>
      <c r="B116" s="251" t="s">
        <v>10302</v>
      </c>
      <c r="C116" s="267" t="s">
        <v>6528</v>
      </c>
      <c r="D116" s="267" t="s">
        <v>10303</v>
      </c>
      <c r="E116" s="268" t="s">
        <v>133</v>
      </c>
      <c r="F116" s="267" t="s">
        <v>6619</v>
      </c>
      <c r="G116" s="269" t="s">
        <v>2512</v>
      </c>
      <c r="H116" s="269" t="s">
        <v>2512</v>
      </c>
      <c r="I116" s="269" t="s">
        <v>2512</v>
      </c>
      <c r="J116" s="267" t="s">
        <v>76</v>
      </c>
      <c r="K116" s="276">
        <v>320000</v>
      </c>
      <c r="L116" s="271" t="s">
        <v>173</v>
      </c>
      <c r="M116" s="272" t="s">
        <v>175</v>
      </c>
    </row>
    <row r="117" spans="1:13" ht="15.75" customHeight="1">
      <c r="A117" s="267" t="s">
        <v>6527</v>
      </c>
      <c r="B117" s="251" t="s">
        <v>10304</v>
      </c>
      <c r="C117" s="267" t="s">
        <v>6528</v>
      </c>
      <c r="D117" s="267" t="s">
        <v>10305</v>
      </c>
      <c r="E117" s="268" t="s">
        <v>133</v>
      </c>
      <c r="F117" s="267" t="s">
        <v>6619</v>
      </c>
      <c r="G117" s="269" t="s">
        <v>2512</v>
      </c>
      <c r="H117" s="269" t="s">
        <v>2512</v>
      </c>
      <c r="I117" s="269" t="s">
        <v>2512</v>
      </c>
      <c r="J117" s="267" t="s">
        <v>76</v>
      </c>
      <c r="K117" s="276">
        <v>150000</v>
      </c>
      <c r="L117" s="271" t="s">
        <v>173</v>
      </c>
      <c r="M117" s="272" t="s">
        <v>175</v>
      </c>
    </row>
    <row r="118" spans="1:13" ht="15.75" customHeight="1">
      <c r="A118" s="267" t="s">
        <v>6527</v>
      </c>
      <c r="B118" s="251" t="s">
        <v>10306</v>
      </c>
      <c r="C118" s="267" t="s">
        <v>6528</v>
      </c>
      <c r="D118" s="267" t="s">
        <v>10307</v>
      </c>
      <c r="E118" s="268" t="s">
        <v>133</v>
      </c>
      <c r="F118" s="267" t="s">
        <v>6619</v>
      </c>
      <c r="G118" s="269" t="s">
        <v>2512</v>
      </c>
      <c r="H118" s="269" t="s">
        <v>2512</v>
      </c>
      <c r="I118" s="269" t="s">
        <v>2512</v>
      </c>
      <c r="J118" s="267" t="s">
        <v>76</v>
      </c>
      <c r="K118" s="276">
        <v>1200</v>
      </c>
      <c r="L118" s="271" t="s">
        <v>173</v>
      </c>
      <c r="M118" s="272" t="s">
        <v>175</v>
      </c>
    </row>
    <row r="119" spans="1:13" ht="15.75" customHeight="1">
      <c r="A119" s="267" t="s">
        <v>6527</v>
      </c>
      <c r="B119" s="251" t="s">
        <v>10308</v>
      </c>
      <c r="C119" s="267" t="s">
        <v>6528</v>
      </c>
      <c r="D119" s="267" t="s">
        <v>10309</v>
      </c>
      <c r="E119" s="268" t="s">
        <v>133</v>
      </c>
      <c r="F119" s="267" t="s">
        <v>6619</v>
      </c>
      <c r="G119" s="269" t="s">
        <v>2512</v>
      </c>
      <c r="H119" s="269" t="s">
        <v>2512</v>
      </c>
      <c r="I119" s="269" t="s">
        <v>2512</v>
      </c>
      <c r="J119" s="267" t="s">
        <v>76</v>
      </c>
      <c r="K119" s="276">
        <v>3500</v>
      </c>
      <c r="L119" s="271" t="s">
        <v>173</v>
      </c>
      <c r="M119" s="272" t="s">
        <v>175</v>
      </c>
    </row>
    <row r="120" spans="1:13" ht="15.75" customHeight="1">
      <c r="A120" s="267" t="s">
        <v>6527</v>
      </c>
      <c r="B120" s="251" t="s">
        <v>10310</v>
      </c>
      <c r="C120" s="267" t="s">
        <v>6528</v>
      </c>
      <c r="D120" s="267" t="s">
        <v>10311</v>
      </c>
      <c r="E120" s="268" t="s">
        <v>133</v>
      </c>
      <c r="F120" s="267" t="s">
        <v>6619</v>
      </c>
      <c r="G120" s="269" t="s">
        <v>2512</v>
      </c>
      <c r="H120" s="269" t="s">
        <v>2512</v>
      </c>
      <c r="I120" s="269" t="s">
        <v>2512</v>
      </c>
      <c r="J120" s="267" t="s">
        <v>76</v>
      </c>
      <c r="K120" s="276">
        <v>10000</v>
      </c>
      <c r="L120" s="271" t="s">
        <v>173</v>
      </c>
      <c r="M120" s="272" t="s">
        <v>175</v>
      </c>
    </row>
    <row r="121" spans="1:13" ht="15.75" customHeight="1">
      <c r="A121" s="267" t="s">
        <v>6527</v>
      </c>
      <c r="B121" s="251" t="s">
        <v>10312</v>
      </c>
      <c r="C121" s="267" t="s">
        <v>6528</v>
      </c>
      <c r="D121" s="267" t="s">
        <v>10313</v>
      </c>
      <c r="E121" s="268" t="s">
        <v>133</v>
      </c>
      <c r="F121" s="267" t="s">
        <v>6619</v>
      </c>
      <c r="G121" s="269" t="s">
        <v>2512</v>
      </c>
      <c r="H121" s="269" t="s">
        <v>2512</v>
      </c>
      <c r="I121" s="269" t="s">
        <v>2512</v>
      </c>
      <c r="J121" s="267" t="s">
        <v>76</v>
      </c>
      <c r="K121" s="276">
        <v>20000</v>
      </c>
      <c r="L121" s="271" t="s">
        <v>173</v>
      </c>
      <c r="M121" s="272" t="s">
        <v>175</v>
      </c>
    </row>
    <row r="122" spans="1:13" ht="15.75" customHeight="1">
      <c r="A122" s="267" t="s">
        <v>6527</v>
      </c>
      <c r="B122" s="251" t="s">
        <v>10314</v>
      </c>
      <c r="C122" s="267" t="s">
        <v>6528</v>
      </c>
      <c r="D122" s="267" t="s">
        <v>10315</v>
      </c>
      <c r="E122" s="268" t="s">
        <v>133</v>
      </c>
      <c r="F122" s="267" t="s">
        <v>6619</v>
      </c>
      <c r="G122" s="269" t="s">
        <v>2512</v>
      </c>
      <c r="H122" s="269" t="s">
        <v>2512</v>
      </c>
      <c r="I122" s="269" t="s">
        <v>2512</v>
      </c>
      <c r="J122" s="267" t="s">
        <v>76</v>
      </c>
      <c r="K122" s="276">
        <v>25150</v>
      </c>
      <c r="L122" s="271" t="s">
        <v>173</v>
      </c>
      <c r="M122" s="272" t="s">
        <v>175</v>
      </c>
    </row>
    <row r="123" spans="1:13" ht="15.75" customHeight="1">
      <c r="A123" s="267" t="s">
        <v>6527</v>
      </c>
      <c r="B123" s="251" t="s">
        <v>10316</v>
      </c>
      <c r="C123" s="267" t="s">
        <v>6528</v>
      </c>
      <c r="D123" s="267" t="s">
        <v>10317</v>
      </c>
      <c r="E123" s="268" t="s">
        <v>133</v>
      </c>
      <c r="F123" s="267" t="s">
        <v>6619</v>
      </c>
      <c r="G123" s="269" t="s">
        <v>2512</v>
      </c>
      <c r="H123" s="269" t="s">
        <v>2512</v>
      </c>
      <c r="I123" s="269" t="s">
        <v>2512</v>
      </c>
      <c r="J123" s="267" t="s">
        <v>76</v>
      </c>
      <c r="K123" s="276">
        <v>35200</v>
      </c>
      <c r="L123" s="271" t="s">
        <v>173</v>
      </c>
      <c r="M123" s="272" t="s">
        <v>175</v>
      </c>
    </row>
    <row r="124" spans="1:13" ht="15.75" customHeight="1">
      <c r="A124" s="267" t="s">
        <v>6527</v>
      </c>
      <c r="B124" s="251" t="s">
        <v>10318</v>
      </c>
      <c r="C124" s="267" t="s">
        <v>6528</v>
      </c>
      <c r="D124" s="267" t="s">
        <v>10319</v>
      </c>
      <c r="E124" s="268" t="s">
        <v>133</v>
      </c>
      <c r="F124" s="267" t="s">
        <v>6619</v>
      </c>
      <c r="G124" s="269" t="s">
        <v>2512</v>
      </c>
      <c r="H124" s="269" t="s">
        <v>2512</v>
      </c>
      <c r="I124" s="269" t="s">
        <v>2512</v>
      </c>
      <c r="J124" s="267" t="s">
        <v>76</v>
      </c>
      <c r="K124" s="276">
        <v>40600</v>
      </c>
      <c r="L124" s="271" t="s">
        <v>173</v>
      </c>
      <c r="M124" s="272" t="s">
        <v>175</v>
      </c>
    </row>
    <row r="125" spans="1:13" ht="15.75" customHeight="1">
      <c r="A125" s="267" t="s">
        <v>6527</v>
      </c>
      <c r="B125" s="251" t="s">
        <v>10320</v>
      </c>
      <c r="C125" s="267" t="s">
        <v>6528</v>
      </c>
      <c r="D125" s="267" t="s">
        <v>10321</v>
      </c>
      <c r="E125" s="268" t="s">
        <v>133</v>
      </c>
      <c r="F125" s="267" t="s">
        <v>6619</v>
      </c>
      <c r="G125" s="269" t="s">
        <v>2512</v>
      </c>
      <c r="H125" s="269" t="s">
        <v>2512</v>
      </c>
      <c r="I125" s="269" t="s">
        <v>2512</v>
      </c>
      <c r="J125" s="267" t="s">
        <v>76</v>
      </c>
      <c r="K125" s="276">
        <v>52000</v>
      </c>
      <c r="L125" s="271" t="s">
        <v>173</v>
      </c>
      <c r="M125" s="272" t="s">
        <v>175</v>
      </c>
    </row>
    <row r="126" spans="1:13" ht="15.75" customHeight="1">
      <c r="A126" s="267" t="s">
        <v>6527</v>
      </c>
      <c r="B126" s="251" t="s">
        <v>10322</v>
      </c>
      <c r="C126" s="267" t="s">
        <v>6528</v>
      </c>
      <c r="D126" s="267" t="s">
        <v>10323</v>
      </c>
      <c r="E126" s="277" t="s">
        <v>10324</v>
      </c>
      <c r="F126" s="278" t="s">
        <v>6619</v>
      </c>
      <c r="G126" s="279" t="s">
        <v>2512</v>
      </c>
      <c r="H126" s="279" t="s">
        <v>2512</v>
      </c>
      <c r="I126" s="279" t="s">
        <v>2512</v>
      </c>
      <c r="J126" s="278" t="s">
        <v>76</v>
      </c>
      <c r="K126" s="280">
        <v>99.75</v>
      </c>
      <c r="L126" s="281" t="s">
        <v>2057</v>
      </c>
      <c r="M126" s="272" t="s">
        <v>175</v>
      </c>
    </row>
    <row r="127" spans="1:13" ht="15.75" customHeight="1">
      <c r="A127" s="267" t="s">
        <v>6527</v>
      </c>
      <c r="B127" s="251" t="s">
        <v>10325</v>
      </c>
      <c r="C127" s="267" t="s">
        <v>6528</v>
      </c>
      <c r="D127" s="267" t="s">
        <v>10326</v>
      </c>
      <c r="E127" s="277" t="s">
        <v>10324</v>
      </c>
      <c r="F127" s="278" t="s">
        <v>6619</v>
      </c>
      <c r="G127" s="279" t="s">
        <v>2512</v>
      </c>
      <c r="H127" s="279" t="s">
        <v>2512</v>
      </c>
      <c r="I127" s="279" t="s">
        <v>2512</v>
      </c>
      <c r="J127" s="278" t="s">
        <v>76</v>
      </c>
      <c r="K127" s="280">
        <v>82.95</v>
      </c>
      <c r="L127" s="281" t="s">
        <v>2057</v>
      </c>
      <c r="M127" s="272" t="s">
        <v>175</v>
      </c>
    </row>
    <row r="128" spans="1:13" ht="15.75" customHeight="1">
      <c r="A128" s="267" t="s">
        <v>6527</v>
      </c>
      <c r="B128" s="251" t="s">
        <v>10327</v>
      </c>
      <c r="C128" s="267" t="s">
        <v>6528</v>
      </c>
      <c r="D128" s="267" t="s">
        <v>10328</v>
      </c>
      <c r="E128" s="277" t="s">
        <v>10324</v>
      </c>
      <c r="F128" s="278" t="s">
        <v>6619</v>
      </c>
      <c r="G128" s="279" t="s">
        <v>2512</v>
      </c>
      <c r="H128" s="279" t="s">
        <v>2512</v>
      </c>
      <c r="I128" s="279" t="s">
        <v>2512</v>
      </c>
      <c r="J128" s="278" t="s">
        <v>76</v>
      </c>
      <c r="K128" s="280">
        <v>82.95</v>
      </c>
      <c r="L128" s="281" t="s">
        <v>2057</v>
      </c>
      <c r="M128" s="272" t="s">
        <v>175</v>
      </c>
    </row>
    <row r="129" spans="1:13" ht="15.75" customHeight="1">
      <c r="A129" s="267" t="s">
        <v>6527</v>
      </c>
      <c r="B129" s="251" t="s">
        <v>10329</v>
      </c>
      <c r="C129" s="267" t="s">
        <v>6528</v>
      </c>
      <c r="D129" s="267" t="s">
        <v>10330</v>
      </c>
      <c r="E129" s="277" t="s">
        <v>10324</v>
      </c>
      <c r="F129" s="278" t="s">
        <v>6619</v>
      </c>
      <c r="G129" s="279" t="s">
        <v>2512</v>
      </c>
      <c r="H129" s="279" t="s">
        <v>2512</v>
      </c>
      <c r="I129" s="279" t="s">
        <v>2512</v>
      </c>
      <c r="J129" s="278" t="s">
        <v>76</v>
      </c>
      <c r="K129" s="280">
        <v>82.95</v>
      </c>
      <c r="L129" s="281" t="s">
        <v>2057</v>
      </c>
      <c r="M129" s="272" t="s">
        <v>175</v>
      </c>
    </row>
    <row r="130" spans="1:13" ht="15.75" customHeight="1">
      <c r="A130" s="267" t="s">
        <v>6527</v>
      </c>
      <c r="B130" s="251" t="s">
        <v>10331</v>
      </c>
      <c r="C130" s="267" t="s">
        <v>6528</v>
      </c>
      <c r="D130" s="267" t="s">
        <v>10332</v>
      </c>
      <c r="E130" s="277" t="s">
        <v>10324</v>
      </c>
      <c r="F130" s="278" t="s">
        <v>6619</v>
      </c>
      <c r="G130" s="279" t="s">
        <v>2512</v>
      </c>
      <c r="H130" s="279" t="s">
        <v>2512</v>
      </c>
      <c r="I130" s="279" t="s">
        <v>2512</v>
      </c>
      <c r="J130" s="278" t="s">
        <v>76</v>
      </c>
      <c r="K130" s="280">
        <v>69.3</v>
      </c>
      <c r="L130" s="281" t="s">
        <v>2057</v>
      </c>
      <c r="M130" s="272" t="s">
        <v>175</v>
      </c>
    </row>
    <row r="131" spans="1:13" ht="15.75" customHeight="1">
      <c r="A131" s="267" t="s">
        <v>6527</v>
      </c>
      <c r="B131" s="251" t="s">
        <v>10333</v>
      </c>
      <c r="C131" s="267" t="s">
        <v>6528</v>
      </c>
      <c r="D131" s="267" t="s">
        <v>10334</v>
      </c>
      <c r="E131" s="277" t="s">
        <v>10324</v>
      </c>
      <c r="F131" s="278" t="s">
        <v>6619</v>
      </c>
      <c r="G131" s="279" t="s">
        <v>2512</v>
      </c>
      <c r="H131" s="279" t="s">
        <v>2512</v>
      </c>
      <c r="I131" s="279" t="s">
        <v>2512</v>
      </c>
      <c r="J131" s="278" t="s">
        <v>76</v>
      </c>
      <c r="K131" s="280">
        <v>69.3</v>
      </c>
      <c r="L131" s="281" t="s">
        <v>2057</v>
      </c>
      <c r="M131" s="272" t="s">
        <v>175</v>
      </c>
    </row>
    <row r="132" spans="1:13" ht="15.75" customHeight="1">
      <c r="A132" s="267" t="s">
        <v>6527</v>
      </c>
      <c r="B132" s="251" t="s">
        <v>10335</v>
      </c>
      <c r="C132" s="267" t="s">
        <v>6528</v>
      </c>
      <c r="D132" s="267" t="s">
        <v>10336</v>
      </c>
      <c r="E132" s="277" t="s">
        <v>10324</v>
      </c>
      <c r="F132" s="278" t="s">
        <v>6619</v>
      </c>
      <c r="G132" s="279" t="s">
        <v>2512</v>
      </c>
      <c r="H132" s="279" t="s">
        <v>2512</v>
      </c>
      <c r="I132" s="279" t="s">
        <v>2512</v>
      </c>
      <c r="J132" s="278" t="s">
        <v>76</v>
      </c>
      <c r="K132" s="280">
        <v>56.7</v>
      </c>
      <c r="L132" s="281" t="s">
        <v>2057</v>
      </c>
      <c r="M132" s="272" t="s">
        <v>175</v>
      </c>
    </row>
    <row r="133" spans="1:13" ht="15.75" customHeight="1">
      <c r="A133" s="267" t="s">
        <v>6527</v>
      </c>
      <c r="B133" s="251" t="s">
        <v>10337</v>
      </c>
      <c r="C133" s="267" t="s">
        <v>6528</v>
      </c>
      <c r="D133" s="267" t="s">
        <v>10338</v>
      </c>
      <c r="E133" s="277" t="s">
        <v>10324</v>
      </c>
      <c r="F133" s="278" t="s">
        <v>6619</v>
      </c>
      <c r="G133" s="279" t="s">
        <v>2512</v>
      </c>
      <c r="H133" s="279" t="s">
        <v>2512</v>
      </c>
      <c r="I133" s="279" t="s">
        <v>2512</v>
      </c>
      <c r="J133" s="278" t="s">
        <v>76</v>
      </c>
      <c r="K133" s="280">
        <v>56.7</v>
      </c>
      <c r="L133" s="281" t="s">
        <v>2057</v>
      </c>
      <c r="M133" s="272" t="s">
        <v>175</v>
      </c>
    </row>
    <row r="134" spans="1:13" ht="15.75" customHeight="1">
      <c r="A134" s="267" t="s">
        <v>6527</v>
      </c>
      <c r="B134" s="251" t="s">
        <v>10339</v>
      </c>
      <c r="C134" s="267" t="s">
        <v>6528</v>
      </c>
      <c r="D134" s="267" t="s">
        <v>10340</v>
      </c>
      <c r="E134" s="277" t="s">
        <v>10324</v>
      </c>
      <c r="F134" s="278" t="s">
        <v>6619</v>
      </c>
      <c r="G134" s="279" t="s">
        <v>2512</v>
      </c>
      <c r="H134" s="279" t="s">
        <v>2512</v>
      </c>
      <c r="I134" s="279" t="s">
        <v>2512</v>
      </c>
      <c r="J134" s="278" t="s">
        <v>76</v>
      </c>
      <c r="K134" s="280">
        <v>47.25</v>
      </c>
      <c r="L134" s="281" t="s">
        <v>2057</v>
      </c>
      <c r="M134" s="272" t="s">
        <v>175</v>
      </c>
    </row>
    <row r="135" spans="1:13" ht="15.75" customHeight="1">
      <c r="A135" s="267" t="s">
        <v>6527</v>
      </c>
      <c r="B135" s="251" t="s">
        <v>10341</v>
      </c>
      <c r="C135" s="267" t="s">
        <v>6528</v>
      </c>
      <c r="D135" s="267" t="s">
        <v>10342</v>
      </c>
      <c r="E135" s="277" t="s">
        <v>133</v>
      </c>
      <c r="F135" s="278" t="s">
        <v>6619</v>
      </c>
      <c r="G135" s="279" t="s">
        <v>2512</v>
      </c>
      <c r="H135" s="279" t="s">
        <v>2512</v>
      </c>
      <c r="I135" s="279" t="s">
        <v>2512</v>
      </c>
      <c r="J135" s="278" t="s">
        <v>76</v>
      </c>
      <c r="K135" s="280">
        <v>0.79</v>
      </c>
      <c r="L135" s="281" t="s">
        <v>173</v>
      </c>
      <c r="M135" s="272" t="s">
        <v>175</v>
      </c>
    </row>
    <row r="136" spans="1:13" ht="15.75" customHeight="1">
      <c r="A136" s="267" t="s">
        <v>6527</v>
      </c>
      <c r="B136" s="251" t="s">
        <v>10343</v>
      </c>
      <c r="C136" s="267" t="s">
        <v>6528</v>
      </c>
      <c r="D136" s="267" t="s">
        <v>10344</v>
      </c>
      <c r="E136" s="277" t="s">
        <v>10324</v>
      </c>
      <c r="F136" s="278" t="s">
        <v>6619</v>
      </c>
      <c r="G136" s="279" t="s">
        <v>2512</v>
      </c>
      <c r="H136" s="279" t="s">
        <v>2512</v>
      </c>
      <c r="I136" s="279" t="s">
        <v>2512</v>
      </c>
      <c r="J136" s="278" t="s">
        <v>76</v>
      </c>
      <c r="K136" s="280">
        <v>62.98</v>
      </c>
      <c r="L136" s="281" t="s">
        <v>173</v>
      </c>
      <c r="M136" s="272" t="s">
        <v>175</v>
      </c>
    </row>
    <row r="137" spans="1:13" ht="15.75" customHeight="1">
      <c r="A137" s="267" t="s">
        <v>6527</v>
      </c>
      <c r="B137" s="251" t="s">
        <v>10345</v>
      </c>
      <c r="C137" s="267" t="s">
        <v>6528</v>
      </c>
      <c r="D137" s="267" t="s">
        <v>10346</v>
      </c>
      <c r="E137" s="277" t="s">
        <v>10347</v>
      </c>
      <c r="F137" s="278" t="s">
        <v>6619</v>
      </c>
      <c r="G137" s="279" t="s">
        <v>2512</v>
      </c>
      <c r="H137" s="279" t="s">
        <v>2512</v>
      </c>
      <c r="I137" s="279" t="s">
        <v>2512</v>
      </c>
      <c r="J137" s="278" t="s">
        <v>76</v>
      </c>
      <c r="K137" s="280">
        <v>29.77</v>
      </c>
      <c r="L137" s="281" t="s">
        <v>173</v>
      </c>
      <c r="M137" s="272" t="s">
        <v>175</v>
      </c>
    </row>
    <row r="138" spans="1:13" ht="15.75" customHeight="1">
      <c r="A138" s="267" t="s">
        <v>6527</v>
      </c>
      <c r="B138" s="251" t="s">
        <v>10348</v>
      </c>
      <c r="C138" s="267" t="s">
        <v>6528</v>
      </c>
      <c r="D138" s="267" t="s">
        <v>10349</v>
      </c>
      <c r="E138" s="277" t="s">
        <v>10347</v>
      </c>
      <c r="F138" s="278" t="s">
        <v>6619</v>
      </c>
      <c r="G138" s="279" t="s">
        <v>2512</v>
      </c>
      <c r="H138" s="279" t="s">
        <v>2512</v>
      </c>
      <c r="I138" s="279" t="s">
        <v>2512</v>
      </c>
      <c r="J138" s="278" t="s">
        <v>76</v>
      </c>
      <c r="K138" s="280">
        <v>29.77</v>
      </c>
      <c r="L138" s="281" t="s">
        <v>173</v>
      </c>
      <c r="M138" s="272" t="s">
        <v>175</v>
      </c>
    </row>
    <row r="139" spans="1:13" ht="15.75" customHeight="1">
      <c r="A139" s="267" t="s">
        <v>6527</v>
      </c>
      <c r="B139" s="251" t="s">
        <v>10350</v>
      </c>
      <c r="C139" s="267" t="s">
        <v>6528</v>
      </c>
      <c r="D139" s="267" t="s">
        <v>10351</v>
      </c>
      <c r="E139" s="277" t="s">
        <v>10347</v>
      </c>
      <c r="F139" s="278" t="s">
        <v>6619</v>
      </c>
      <c r="G139" s="279" t="s">
        <v>2512</v>
      </c>
      <c r="H139" s="279" t="s">
        <v>2512</v>
      </c>
      <c r="I139" s="279" t="s">
        <v>2512</v>
      </c>
      <c r="J139" s="278" t="s">
        <v>76</v>
      </c>
      <c r="K139" s="280">
        <v>26.7</v>
      </c>
      <c r="L139" s="281" t="s">
        <v>173</v>
      </c>
      <c r="M139" s="272" t="s">
        <v>175</v>
      </c>
    </row>
    <row r="140" spans="1:13" ht="15.75" customHeight="1">
      <c r="A140" s="267" t="s">
        <v>6527</v>
      </c>
      <c r="B140" s="251" t="s">
        <v>10352</v>
      </c>
      <c r="C140" s="267" t="s">
        <v>6528</v>
      </c>
      <c r="D140" s="267" t="s">
        <v>10353</v>
      </c>
      <c r="E140" s="277" t="s">
        <v>10347</v>
      </c>
      <c r="F140" s="278" t="s">
        <v>6619</v>
      </c>
      <c r="G140" s="279" t="s">
        <v>2512</v>
      </c>
      <c r="H140" s="279" t="s">
        <v>2512</v>
      </c>
      <c r="I140" s="279" t="s">
        <v>2512</v>
      </c>
      <c r="J140" s="278" t="s">
        <v>76</v>
      </c>
      <c r="K140" s="280">
        <v>26.7</v>
      </c>
      <c r="L140" s="281" t="s">
        <v>173</v>
      </c>
      <c r="M140" s="272" t="s">
        <v>175</v>
      </c>
    </row>
    <row r="141" spans="1:13" ht="15.75" customHeight="1">
      <c r="A141" s="267" t="s">
        <v>6527</v>
      </c>
      <c r="B141" s="251" t="s">
        <v>10354</v>
      </c>
      <c r="C141" s="267" t="s">
        <v>6528</v>
      </c>
      <c r="D141" s="267" t="s">
        <v>10355</v>
      </c>
      <c r="E141" s="277" t="s">
        <v>10347</v>
      </c>
      <c r="F141" s="278" t="s">
        <v>6619</v>
      </c>
      <c r="G141" s="279" t="s">
        <v>2512</v>
      </c>
      <c r="H141" s="279" t="s">
        <v>2512</v>
      </c>
      <c r="I141" s="279" t="s">
        <v>2512</v>
      </c>
      <c r="J141" s="278" t="s">
        <v>76</v>
      </c>
      <c r="K141" s="280">
        <v>23.63</v>
      </c>
      <c r="L141" s="281" t="s">
        <v>173</v>
      </c>
      <c r="M141" s="272" t="s">
        <v>175</v>
      </c>
    </row>
    <row r="142" spans="1:13" ht="15.75" customHeight="1">
      <c r="A142" s="267" t="s">
        <v>6527</v>
      </c>
      <c r="B142" s="251" t="s">
        <v>10356</v>
      </c>
      <c r="C142" s="267" t="s">
        <v>6528</v>
      </c>
      <c r="D142" s="267" t="s">
        <v>10357</v>
      </c>
      <c r="E142" s="277" t="s">
        <v>10347</v>
      </c>
      <c r="F142" s="278" t="s">
        <v>6619</v>
      </c>
      <c r="G142" s="279" t="s">
        <v>2512</v>
      </c>
      <c r="H142" s="279" t="s">
        <v>2512</v>
      </c>
      <c r="I142" s="279" t="s">
        <v>2512</v>
      </c>
      <c r="J142" s="278" t="s">
        <v>76</v>
      </c>
      <c r="K142" s="280">
        <v>20.78</v>
      </c>
      <c r="L142" s="281" t="s">
        <v>173</v>
      </c>
      <c r="M142" s="272" t="s">
        <v>175</v>
      </c>
    </row>
    <row r="143" spans="1:13" ht="15.75" customHeight="1">
      <c r="A143" s="267" t="s">
        <v>6527</v>
      </c>
      <c r="B143" s="251" t="s">
        <v>10358</v>
      </c>
      <c r="C143" s="267" t="s">
        <v>6528</v>
      </c>
      <c r="D143" s="267" t="s">
        <v>10359</v>
      </c>
      <c r="E143" s="277" t="s">
        <v>10347</v>
      </c>
      <c r="F143" s="278" t="s">
        <v>6619</v>
      </c>
      <c r="G143" s="279" t="s">
        <v>2512</v>
      </c>
      <c r="H143" s="279" t="s">
        <v>2512</v>
      </c>
      <c r="I143" s="279" t="s">
        <v>2512</v>
      </c>
      <c r="J143" s="278" t="s">
        <v>76</v>
      </c>
      <c r="K143" s="280">
        <v>18.86</v>
      </c>
      <c r="L143" s="281" t="s">
        <v>173</v>
      </c>
      <c r="M143" s="272" t="s">
        <v>175</v>
      </c>
    </row>
    <row r="144" spans="1:13" ht="15.75" customHeight="1">
      <c r="A144" s="267" t="s">
        <v>6527</v>
      </c>
      <c r="B144" s="251" t="s">
        <v>10360</v>
      </c>
      <c r="C144" s="267" t="s">
        <v>6528</v>
      </c>
      <c r="D144" s="267" t="s">
        <v>10361</v>
      </c>
      <c r="E144" s="277" t="s">
        <v>10347</v>
      </c>
      <c r="F144" s="278" t="s">
        <v>6619</v>
      </c>
      <c r="G144" s="279" t="s">
        <v>2512</v>
      </c>
      <c r="H144" s="279" t="s">
        <v>2512</v>
      </c>
      <c r="I144" s="279" t="s">
        <v>2512</v>
      </c>
      <c r="J144" s="278" t="s">
        <v>76</v>
      </c>
      <c r="K144" s="280">
        <v>16.18</v>
      </c>
      <c r="L144" s="281" t="s">
        <v>173</v>
      </c>
      <c r="M144" s="272" t="s">
        <v>175</v>
      </c>
    </row>
    <row r="145" spans="1:13" ht="15.75" customHeight="1">
      <c r="A145" s="267" t="s">
        <v>6527</v>
      </c>
      <c r="B145" s="251" t="s">
        <v>10362</v>
      </c>
      <c r="C145" s="267" t="s">
        <v>6528</v>
      </c>
      <c r="D145" s="267" t="s">
        <v>10363</v>
      </c>
      <c r="E145" s="277" t="s">
        <v>10347</v>
      </c>
      <c r="F145" s="278" t="s">
        <v>6619</v>
      </c>
      <c r="G145" s="279" t="s">
        <v>2512</v>
      </c>
      <c r="H145" s="279" t="s">
        <v>2512</v>
      </c>
      <c r="I145" s="279" t="s">
        <v>2512</v>
      </c>
      <c r="J145" s="278" t="s">
        <v>76</v>
      </c>
      <c r="K145" s="280">
        <v>14.67</v>
      </c>
      <c r="L145" s="281" t="s">
        <v>173</v>
      </c>
      <c r="M145" s="272" t="s">
        <v>175</v>
      </c>
    </row>
    <row r="146" spans="1:13" ht="15.75" customHeight="1">
      <c r="A146" s="267" t="s">
        <v>6527</v>
      </c>
      <c r="B146" s="251" t="s">
        <v>10364</v>
      </c>
      <c r="C146" s="267" t="s">
        <v>6528</v>
      </c>
      <c r="D146" s="267" t="s">
        <v>10365</v>
      </c>
      <c r="E146" s="277" t="s">
        <v>10347</v>
      </c>
      <c r="F146" s="278" t="s">
        <v>6619</v>
      </c>
      <c r="G146" s="279" t="s">
        <v>2512</v>
      </c>
      <c r="H146" s="279" t="s">
        <v>2512</v>
      </c>
      <c r="I146" s="279" t="s">
        <v>2512</v>
      </c>
      <c r="J146" s="278" t="s">
        <v>76</v>
      </c>
      <c r="K146" s="280">
        <v>14.67</v>
      </c>
      <c r="L146" s="281" t="s">
        <v>173</v>
      </c>
      <c r="M146" s="272" t="s">
        <v>175</v>
      </c>
    </row>
    <row r="147" spans="1:13" ht="15.75" customHeight="1">
      <c r="A147" s="267" t="s">
        <v>6527</v>
      </c>
      <c r="B147" s="251" t="s">
        <v>10366</v>
      </c>
      <c r="C147" s="267" t="s">
        <v>6528</v>
      </c>
      <c r="D147" s="267" t="s">
        <v>10367</v>
      </c>
      <c r="E147" s="277" t="s">
        <v>10347</v>
      </c>
      <c r="F147" s="278" t="s">
        <v>6619</v>
      </c>
      <c r="G147" s="279" t="s">
        <v>2512</v>
      </c>
      <c r="H147" s="279" t="s">
        <v>2512</v>
      </c>
      <c r="I147" s="279" t="s">
        <v>2512</v>
      </c>
      <c r="J147" s="278" t="s">
        <v>76</v>
      </c>
      <c r="K147" s="280">
        <v>41.12</v>
      </c>
      <c r="L147" s="281" t="s">
        <v>173</v>
      </c>
      <c r="M147" s="272" t="s">
        <v>175</v>
      </c>
    </row>
    <row r="148" spans="1:13" ht="15.75" customHeight="1">
      <c r="A148" s="267" t="s">
        <v>6527</v>
      </c>
      <c r="B148" s="251" t="s">
        <v>10368</v>
      </c>
      <c r="C148" s="267" t="s">
        <v>6528</v>
      </c>
      <c r="D148" s="267" t="s">
        <v>10369</v>
      </c>
      <c r="E148" s="277" t="s">
        <v>10347</v>
      </c>
      <c r="F148" s="278" t="s">
        <v>6619</v>
      </c>
      <c r="G148" s="279" t="s">
        <v>2512</v>
      </c>
      <c r="H148" s="279" t="s">
        <v>2512</v>
      </c>
      <c r="I148" s="279" t="s">
        <v>2512</v>
      </c>
      <c r="J148" s="278" t="s">
        <v>76</v>
      </c>
      <c r="K148" s="280">
        <v>41.12</v>
      </c>
      <c r="L148" s="281" t="s">
        <v>173</v>
      </c>
      <c r="M148" s="272" t="s">
        <v>175</v>
      </c>
    </row>
    <row r="149" spans="1:13" ht="15.75" customHeight="1">
      <c r="A149" s="267" t="s">
        <v>6527</v>
      </c>
      <c r="B149" s="251" t="s">
        <v>10370</v>
      </c>
      <c r="C149" s="267" t="s">
        <v>6528</v>
      </c>
      <c r="D149" s="267" t="s">
        <v>10371</v>
      </c>
      <c r="E149" s="277" t="s">
        <v>10347</v>
      </c>
      <c r="F149" s="278" t="s">
        <v>6619</v>
      </c>
      <c r="G149" s="279" t="s">
        <v>2512</v>
      </c>
      <c r="H149" s="279" t="s">
        <v>2512</v>
      </c>
      <c r="I149" s="279" t="s">
        <v>2512</v>
      </c>
      <c r="J149" s="278" t="s">
        <v>76</v>
      </c>
      <c r="K149" s="280">
        <v>36.880000000000003</v>
      </c>
      <c r="L149" s="281" t="s">
        <v>173</v>
      </c>
      <c r="M149" s="272" t="s">
        <v>175</v>
      </c>
    </row>
    <row r="150" spans="1:13" ht="15.75" customHeight="1">
      <c r="A150" s="267" t="s">
        <v>6527</v>
      </c>
      <c r="B150" s="251" t="s">
        <v>10372</v>
      </c>
      <c r="C150" s="267" t="s">
        <v>6528</v>
      </c>
      <c r="D150" s="267" t="s">
        <v>10373</v>
      </c>
      <c r="E150" s="277" t="s">
        <v>10347</v>
      </c>
      <c r="F150" s="278" t="s">
        <v>6619</v>
      </c>
      <c r="G150" s="279" t="s">
        <v>2512</v>
      </c>
      <c r="H150" s="279" t="s">
        <v>2512</v>
      </c>
      <c r="I150" s="279" t="s">
        <v>2512</v>
      </c>
      <c r="J150" s="278" t="s">
        <v>76</v>
      </c>
      <c r="K150" s="280">
        <v>36.880000000000003</v>
      </c>
      <c r="L150" s="281" t="s">
        <v>173</v>
      </c>
      <c r="M150" s="272" t="s">
        <v>175</v>
      </c>
    </row>
    <row r="151" spans="1:13" ht="15.75" customHeight="1">
      <c r="A151" s="267" t="s">
        <v>6527</v>
      </c>
      <c r="B151" s="251" t="s">
        <v>10374</v>
      </c>
      <c r="C151" s="267" t="s">
        <v>6528</v>
      </c>
      <c r="D151" s="267" t="s">
        <v>10375</v>
      </c>
      <c r="E151" s="277" t="s">
        <v>10347</v>
      </c>
      <c r="F151" s="278" t="s">
        <v>6619</v>
      </c>
      <c r="G151" s="279" t="s">
        <v>2512</v>
      </c>
      <c r="H151" s="279" t="s">
        <v>2512</v>
      </c>
      <c r="I151" s="279" t="s">
        <v>2512</v>
      </c>
      <c r="J151" s="278" t="s">
        <v>76</v>
      </c>
      <c r="K151" s="280">
        <v>33.08</v>
      </c>
      <c r="L151" s="281" t="s">
        <v>173</v>
      </c>
      <c r="M151" s="272" t="s">
        <v>175</v>
      </c>
    </row>
    <row r="152" spans="1:13" ht="15.75" customHeight="1">
      <c r="A152" s="267" t="s">
        <v>6527</v>
      </c>
      <c r="B152" s="251" t="s">
        <v>10376</v>
      </c>
      <c r="C152" s="267" t="s">
        <v>6528</v>
      </c>
      <c r="D152" s="267" t="s">
        <v>10377</v>
      </c>
      <c r="E152" s="277" t="s">
        <v>10347</v>
      </c>
      <c r="F152" s="278" t="s">
        <v>6619</v>
      </c>
      <c r="G152" s="279" t="s">
        <v>2512</v>
      </c>
      <c r="H152" s="279" t="s">
        <v>2512</v>
      </c>
      <c r="I152" s="279" t="s">
        <v>2512</v>
      </c>
      <c r="J152" s="278" t="s">
        <v>76</v>
      </c>
      <c r="K152" s="280">
        <v>29.07</v>
      </c>
      <c r="L152" s="281" t="s">
        <v>173</v>
      </c>
      <c r="M152" s="272" t="s">
        <v>175</v>
      </c>
    </row>
    <row r="153" spans="1:13" ht="15.75" customHeight="1">
      <c r="A153" s="267" t="s">
        <v>6527</v>
      </c>
      <c r="B153" s="251" t="s">
        <v>10378</v>
      </c>
      <c r="C153" s="267" t="s">
        <v>6528</v>
      </c>
      <c r="D153" s="267" t="s">
        <v>10379</v>
      </c>
      <c r="E153" s="277" t="s">
        <v>10347</v>
      </c>
      <c r="F153" s="278" t="s">
        <v>6619</v>
      </c>
      <c r="G153" s="279" t="s">
        <v>2512</v>
      </c>
      <c r="H153" s="279" t="s">
        <v>2512</v>
      </c>
      <c r="I153" s="279" t="s">
        <v>2512</v>
      </c>
      <c r="J153" s="278" t="s">
        <v>76</v>
      </c>
      <c r="K153" s="280">
        <v>26.4</v>
      </c>
      <c r="L153" s="281" t="s">
        <v>173</v>
      </c>
      <c r="M153" s="272" t="s">
        <v>175</v>
      </c>
    </row>
    <row r="154" spans="1:13" ht="15.75" customHeight="1">
      <c r="A154" s="267" t="s">
        <v>6527</v>
      </c>
      <c r="B154" s="251" t="s">
        <v>10380</v>
      </c>
      <c r="C154" s="267" t="s">
        <v>6528</v>
      </c>
      <c r="D154" s="267" t="s">
        <v>10381</v>
      </c>
      <c r="E154" s="277" t="s">
        <v>10347</v>
      </c>
      <c r="F154" s="278" t="s">
        <v>6619</v>
      </c>
      <c r="G154" s="279" t="s">
        <v>2512</v>
      </c>
      <c r="H154" s="279" t="s">
        <v>2512</v>
      </c>
      <c r="I154" s="279" t="s">
        <v>2512</v>
      </c>
      <c r="J154" s="278" t="s">
        <v>76</v>
      </c>
      <c r="K154" s="280">
        <v>22.67</v>
      </c>
      <c r="L154" s="281" t="s">
        <v>173</v>
      </c>
      <c r="M154" s="272" t="s">
        <v>175</v>
      </c>
    </row>
    <row r="155" spans="1:13" ht="15.75" customHeight="1">
      <c r="A155" s="267" t="s">
        <v>6527</v>
      </c>
      <c r="B155" s="251" t="s">
        <v>10382</v>
      </c>
      <c r="C155" s="267" t="s">
        <v>6528</v>
      </c>
      <c r="D155" s="267" t="s">
        <v>10383</v>
      </c>
      <c r="E155" s="277" t="s">
        <v>10347</v>
      </c>
      <c r="F155" s="278" t="s">
        <v>6619</v>
      </c>
      <c r="G155" s="279" t="s">
        <v>2512</v>
      </c>
      <c r="H155" s="279" t="s">
        <v>2512</v>
      </c>
      <c r="I155" s="279" t="s">
        <v>2512</v>
      </c>
      <c r="J155" s="278" t="s">
        <v>76</v>
      </c>
      <c r="K155" s="280">
        <v>20.54</v>
      </c>
      <c r="L155" s="281" t="s">
        <v>173</v>
      </c>
      <c r="M155" s="272" t="s">
        <v>175</v>
      </c>
    </row>
    <row r="156" spans="1:13" ht="15.75" customHeight="1">
      <c r="A156" s="267" t="s">
        <v>6527</v>
      </c>
      <c r="B156" s="251" t="s">
        <v>10384</v>
      </c>
      <c r="C156" s="267" t="s">
        <v>6528</v>
      </c>
      <c r="D156" s="267" t="s">
        <v>10385</v>
      </c>
      <c r="E156" s="277" t="s">
        <v>10347</v>
      </c>
      <c r="F156" s="278" t="s">
        <v>6619</v>
      </c>
      <c r="G156" s="279" t="s">
        <v>2512</v>
      </c>
      <c r="H156" s="279" t="s">
        <v>2512</v>
      </c>
      <c r="I156" s="279" t="s">
        <v>2512</v>
      </c>
      <c r="J156" s="278" t="s">
        <v>76</v>
      </c>
      <c r="K156" s="280">
        <v>20.54</v>
      </c>
      <c r="L156" s="281" t="s">
        <v>173</v>
      </c>
      <c r="M156" s="272" t="s">
        <v>175</v>
      </c>
    </row>
    <row r="157" spans="1:13" ht="15.75" customHeight="1">
      <c r="A157" s="267" t="s">
        <v>6527</v>
      </c>
      <c r="B157" s="251" t="s">
        <v>10386</v>
      </c>
      <c r="C157" s="267" t="s">
        <v>6528</v>
      </c>
      <c r="D157" s="267" t="s">
        <v>10387</v>
      </c>
      <c r="E157" s="277" t="s">
        <v>10347</v>
      </c>
      <c r="F157" s="278" t="s">
        <v>6619</v>
      </c>
      <c r="G157" s="279" t="s">
        <v>2512</v>
      </c>
      <c r="H157" s="279" t="s">
        <v>2512</v>
      </c>
      <c r="I157" s="279" t="s">
        <v>2512</v>
      </c>
      <c r="J157" s="278" t="s">
        <v>76</v>
      </c>
      <c r="K157" s="280">
        <v>52.87</v>
      </c>
      <c r="L157" s="281" t="s">
        <v>173</v>
      </c>
      <c r="M157" s="272" t="s">
        <v>175</v>
      </c>
    </row>
    <row r="158" spans="1:13" ht="15.75" customHeight="1">
      <c r="A158" s="267" t="s">
        <v>6527</v>
      </c>
      <c r="B158" s="251" t="s">
        <v>10388</v>
      </c>
      <c r="C158" s="267" t="s">
        <v>6528</v>
      </c>
      <c r="D158" s="267" t="s">
        <v>10389</v>
      </c>
      <c r="E158" s="277" t="s">
        <v>10347</v>
      </c>
      <c r="F158" s="278" t="s">
        <v>6619</v>
      </c>
      <c r="G158" s="279" t="s">
        <v>2512</v>
      </c>
      <c r="H158" s="279" t="s">
        <v>2512</v>
      </c>
      <c r="I158" s="279" t="s">
        <v>2512</v>
      </c>
      <c r="J158" s="278" t="s">
        <v>76</v>
      </c>
      <c r="K158" s="280">
        <v>52.87</v>
      </c>
      <c r="L158" s="281" t="s">
        <v>173</v>
      </c>
      <c r="M158" s="272" t="s">
        <v>175</v>
      </c>
    </row>
    <row r="159" spans="1:13" ht="15.75" customHeight="1">
      <c r="A159" s="267" t="s">
        <v>6527</v>
      </c>
      <c r="B159" s="251" t="s">
        <v>10390</v>
      </c>
      <c r="C159" s="267" t="s">
        <v>6528</v>
      </c>
      <c r="D159" s="267" t="s">
        <v>10391</v>
      </c>
      <c r="E159" s="277" t="s">
        <v>10347</v>
      </c>
      <c r="F159" s="278" t="s">
        <v>6619</v>
      </c>
      <c r="G159" s="279" t="s">
        <v>2512</v>
      </c>
      <c r="H159" s="279" t="s">
        <v>2512</v>
      </c>
      <c r="I159" s="279" t="s">
        <v>2512</v>
      </c>
      <c r="J159" s="278" t="s">
        <v>76</v>
      </c>
      <c r="K159" s="280">
        <v>47.42</v>
      </c>
      <c r="L159" s="281" t="s">
        <v>173</v>
      </c>
      <c r="M159" s="272" t="s">
        <v>175</v>
      </c>
    </row>
    <row r="160" spans="1:13" ht="15.75" customHeight="1">
      <c r="A160" s="267" t="s">
        <v>6527</v>
      </c>
      <c r="B160" s="251" t="s">
        <v>10392</v>
      </c>
      <c r="C160" s="267" t="s">
        <v>6528</v>
      </c>
      <c r="D160" s="267" t="s">
        <v>10393</v>
      </c>
      <c r="E160" s="277" t="s">
        <v>10347</v>
      </c>
      <c r="F160" s="278" t="s">
        <v>6619</v>
      </c>
      <c r="G160" s="279" t="s">
        <v>2512</v>
      </c>
      <c r="H160" s="279" t="s">
        <v>2512</v>
      </c>
      <c r="I160" s="279" t="s">
        <v>2512</v>
      </c>
      <c r="J160" s="278" t="s">
        <v>76</v>
      </c>
      <c r="K160" s="280">
        <v>47.42</v>
      </c>
      <c r="L160" s="281" t="s">
        <v>173</v>
      </c>
      <c r="M160" s="272" t="s">
        <v>175</v>
      </c>
    </row>
    <row r="161" spans="1:13" ht="15.75" customHeight="1">
      <c r="A161" s="267" t="s">
        <v>6527</v>
      </c>
      <c r="B161" s="251" t="s">
        <v>10394</v>
      </c>
      <c r="C161" s="267" t="s">
        <v>6528</v>
      </c>
      <c r="D161" s="267" t="s">
        <v>10395</v>
      </c>
      <c r="E161" s="277" t="s">
        <v>10347</v>
      </c>
      <c r="F161" s="278" t="s">
        <v>6619</v>
      </c>
      <c r="G161" s="279" t="s">
        <v>2512</v>
      </c>
      <c r="H161" s="279" t="s">
        <v>2512</v>
      </c>
      <c r="I161" s="279" t="s">
        <v>2512</v>
      </c>
      <c r="J161" s="278" t="s">
        <v>76</v>
      </c>
      <c r="K161" s="280">
        <v>42.53</v>
      </c>
      <c r="L161" s="281" t="s">
        <v>173</v>
      </c>
      <c r="M161" s="272" t="s">
        <v>175</v>
      </c>
    </row>
    <row r="162" spans="1:13" ht="15.75" customHeight="1">
      <c r="A162" s="267" t="s">
        <v>6527</v>
      </c>
      <c r="B162" s="251" t="s">
        <v>10396</v>
      </c>
      <c r="C162" s="267" t="s">
        <v>6528</v>
      </c>
      <c r="D162" s="267" t="s">
        <v>10397</v>
      </c>
      <c r="E162" s="277" t="s">
        <v>10347</v>
      </c>
      <c r="F162" s="278" t="s">
        <v>6619</v>
      </c>
      <c r="G162" s="279" t="s">
        <v>2512</v>
      </c>
      <c r="H162" s="279" t="s">
        <v>2512</v>
      </c>
      <c r="I162" s="279" t="s">
        <v>2512</v>
      </c>
      <c r="J162" s="278" t="s">
        <v>76</v>
      </c>
      <c r="K162" s="280">
        <v>37.35</v>
      </c>
      <c r="L162" s="281" t="s">
        <v>173</v>
      </c>
      <c r="M162" s="272" t="s">
        <v>175</v>
      </c>
    </row>
    <row r="163" spans="1:13" ht="15.75" customHeight="1">
      <c r="A163" s="267" t="s">
        <v>6527</v>
      </c>
      <c r="B163" s="251" t="s">
        <v>10398</v>
      </c>
      <c r="C163" s="267" t="s">
        <v>6528</v>
      </c>
      <c r="D163" s="267" t="s">
        <v>10399</v>
      </c>
      <c r="E163" s="277" t="s">
        <v>10347</v>
      </c>
      <c r="F163" s="278" t="s">
        <v>6619</v>
      </c>
      <c r="G163" s="279" t="s">
        <v>2512</v>
      </c>
      <c r="H163" s="279" t="s">
        <v>2512</v>
      </c>
      <c r="I163" s="279" t="s">
        <v>2512</v>
      </c>
      <c r="J163" s="278" t="s">
        <v>76</v>
      </c>
      <c r="K163" s="280">
        <v>33.94</v>
      </c>
      <c r="L163" s="281" t="s">
        <v>173</v>
      </c>
      <c r="M163" s="272" t="s">
        <v>175</v>
      </c>
    </row>
    <row r="164" spans="1:13" ht="15.75" customHeight="1">
      <c r="A164" s="267" t="s">
        <v>6527</v>
      </c>
      <c r="B164" s="251" t="s">
        <v>10400</v>
      </c>
      <c r="C164" s="267" t="s">
        <v>6528</v>
      </c>
      <c r="D164" s="267" t="s">
        <v>10401</v>
      </c>
      <c r="E164" s="277" t="s">
        <v>10347</v>
      </c>
      <c r="F164" s="278" t="s">
        <v>6619</v>
      </c>
      <c r="G164" s="279" t="s">
        <v>2512</v>
      </c>
      <c r="H164" s="279" t="s">
        <v>2512</v>
      </c>
      <c r="I164" s="279" t="s">
        <v>2512</v>
      </c>
      <c r="J164" s="278" t="s">
        <v>76</v>
      </c>
      <c r="K164" s="280">
        <v>29.14</v>
      </c>
      <c r="L164" s="281" t="s">
        <v>173</v>
      </c>
      <c r="M164" s="272" t="s">
        <v>175</v>
      </c>
    </row>
    <row r="165" spans="1:13" ht="15.75" customHeight="1">
      <c r="A165" s="267" t="s">
        <v>6527</v>
      </c>
      <c r="B165" s="251" t="s">
        <v>10402</v>
      </c>
      <c r="C165" s="267" t="s">
        <v>6528</v>
      </c>
      <c r="D165" s="267" t="s">
        <v>10403</v>
      </c>
      <c r="E165" s="277" t="s">
        <v>10347</v>
      </c>
      <c r="F165" s="278" t="s">
        <v>6619</v>
      </c>
      <c r="G165" s="279" t="s">
        <v>2512</v>
      </c>
      <c r="H165" s="279" t="s">
        <v>2512</v>
      </c>
      <c r="I165" s="279" t="s">
        <v>2512</v>
      </c>
      <c r="J165" s="278" t="s">
        <v>76</v>
      </c>
      <c r="K165" s="280">
        <v>26.41</v>
      </c>
      <c r="L165" s="281" t="s">
        <v>173</v>
      </c>
      <c r="M165" s="272" t="s">
        <v>175</v>
      </c>
    </row>
    <row r="166" spans="1:13" ht="15.75" customHeight="1">
      <c r="A166" s="267" t="s">
        <v>6527</v>
      </c>
      <c r="B166" s="251" t="s">
        <v>10404</v>
      </c>
      <c r="C166" s="267" t="s">
        <v>6528</v>
      </c>
      <c r="D166" s="267" t="s">
        <v>10405</v>
      </c>
      <c r="E166" s="277" t="s">
        <v>10347</v>
      </c>
      <c r="F166" s="278" t="s">
        <v>6619</v>
      </c>
      <c r="G166" s="279" t="s">
        <v>2512</v>
      </c>
      <c r="H166" s="279" t="s">
        <v>2512</v>
      </c>
      <c r="I166" s="279" t="s">
        <v>2512</v>
      </c>
      <c r="J166" s="278" t="s">
        <v>76</v>
      </c>
      <c r="K166" s="280">
        <v>26.41</v>
      </c>
      <c r="L166" s="281" t="s">
        <v>173</v>
      </c>
      <c r="M166" s="272" t="s">
        <v>175</v>
      </c>
    </row>
    <row r="167" spans="1:13" ht="15.75" customHeight="1">
      <c r="A167" s="267" t="s">
        <v>6527</v>
      </c>
      <c r="B167" s="251" t="s">
        <v>10406</v>
      </c>
      <c r="C167" s="267" t="s">
        <v>6528</v>
      </c>
      <c r="D167" s="267" t="s">
        <v>10407</v>
      </c>
      <c r="E167" s="277" t="s">
        <v>10324</v>
      </c>
      <c r="F167" s="278" t="s">
        <v>6619</v>
      </c>
      <c r="G167" s="279" t="s">
        <v>2512</v>
      </c>
      <c r="H167" s="279" t="s">
        <v>2512</v>
      </c>
      <c r="I167" s="279" t="s">
        <v>2512</v>
      </c>
      <c r="J167" s="278" t="s">
        <v>76</v>
      </c>
      <c r="K167" s="280">
        <v>25.48</v>
      </c>
      <c r="L167" s="281" t="s">
        <v>173</v>
      </c>
      <c r="M167" s="272" t="s">
        <v>175</v>
      </c>
    </row>
    <row r="168" spans="1:13" ht="15.75" customHeight="1">
      <c r="A168" s="267" t="s">
        <v>6527</v>
      </c>
      <c r="B168" s="251" t="s">
        <v>10408</v>
      </c>
      <c r="C168" s="267" t="s">
        <v>6528</v>
      </c>
      <c r="D168" s="267" t="s">
        <v>10409</v>
      </c>
      <c r="E168" s="277" t="s">
        <v>10324</v>
      </c>
      <c r="F168" s="278" t="s">
        <v>6619</v>
      </c>
      <c r="G168" s="279" t="s">
        <v>2512</v>
      </c>
      <c r="H168" s="279" t="s">
        <v>2512</v>
      </c>
      <c r="I168" s="279" t="s">
        <v>2512</v>
      </c>
      <c r="J168" s="278" t="s">
        <v>76</v>
      </c>
      <c r="K168" s="280">
        <v>25.48</v>
      </c>
      <c r="L168" s="281" t="s">
        <v>173</v>
      </c>
      <c r="M168" s="272" t="s">
        <v>175</v>
      </c>
    </row>
    <row r="169" spans="1:13" ht="15.75" customHeight="1">
      <c r="A169" s="267" t="s">
        <v>6527</v>
      </c>
      <c r="B169" s="251" t="s">
        <v>10410</v>
      </c>
      <c r="C169" s="267" t="s">
        <v>6528</v>
      </c>
      <c r="D169" s="267" t="s">
        <v>10411</v>
      </c>
      <c r="E169" s="277" t="s">
        <v>10324</v>
      </c>
      <c r="F169" s="278" t="s">
        <v>6619</v>
      </c>
      <c r="G169" s="279" t="s">
        <v>2512</v>
      </c>
      <c r="H169" s="279" t="s">
        <v>2512</v>
      </c>
      <c r="I169" s="279" t="s">
        <v>2512</v>
      </c>
      <c r="J169" s="278" t="s">
        <v>76</v>
      </c>
      <c r="K169" s="280">
        <v>25.48</v>
      </c>
      <c r="L169" s="281" t="s">
        <v>173</v>
      </c>
      <c r="M169" s="272" t="s">
        <v>175</v>
      </c>
    </row>
    <row r="170" spans="1:13" ht="15.75" customHeight="1">
      <c r="A170" s="267" t="s">
        <v>6527</v>
      </c>
      <c r="B170" s="251" t="s">
        <v>10412</v>
      </c>
      <c r="C170" s="267" t="s">
        <v>6528</v>
      </c>
      <c r="D170" s="267" t="s">
        <v>10413</v>
      </c>
      <c r="E170" s="277" t="s">
        <v>10324</v>
      </c>
      <c r="F170" s="278" t="s">
        <v>6619</v>
      </c>
      <c r="G170" s="279" t="s">
        <v>2512</v>
      </c>
      <c r="H170" s="279" t="s">
        <v>2512</v>
      </c>
      <c r="I170" s="279" t="s">
        <v>2512</v>
      </c>
      <c r="J170" s="278" t="s">
        <v>76</v>
      </c>
      <c r="K170" s="280">
        <v>21.96</v>
      </c>
      <c r="L170" s="281" t="s">
        <v>173</v>
      </c>
      <c r="M170" s="272" t="s">
        <v>175</v>
      </c>
    </row>
    <row r="171" spans="1:13" ht="15.75" customHeight="1">
      <c r="A171" s="267" t="s">
        <v>6527</v>
      </c>
      <c r="B171" s="251" t="s">
        <v>10414</v>
      </c>
      <c r="C171" s="267" t="s">
        <v>6528</v>
      </c>
      <c r="D171" s="267" t="s">
        <v>10415</v>
      </c>
      <c r="E171" s="277" t="s">
        <v>10324</v>
      </c>
      <c r="F171" s="278" t="s">
        <v>6619</v>
      </c>
      <c r="G171" s="279" t="s">
        <v>2512</v>
      </c>
      <c r="H171" s="279" t="s">
        <v>2512</v>
      </c>
      <c r="I171" s="279" t="s">
        <v>2512</v>
      </c>
      <c r="J171" s="278" t="s">
        <v>76</v>
      </c>
      <c r="K171" s="280">
        <v>19.3</v>
      </c>
      <c r="L171" s="281" t="s">
        <v>173</v>
      </c>
      <c r="M171" s="272" t="s">
        <v>175</v>
      </c>
    </row>
    <row r="172" spans="1:13" ht="15.75" customHeight="1">
      <c r="A172" s="267" t="s">
        <v>6527</v>
      </c>
      <c r="B172" s="251" t="s">
        <v>10416</v>
      </c>
      <c r="C172" s="267" t="s">
        <v>6528</v>
      </c>
      <c r="D172" s="267" t="s">
        <v>10417</v>
      </c>
      <c r="E172" s="277" t="s">
        <v>10324</v>
      </c>
      <c r="F172" s="278" t="s">
        <v>6619</v>
      </c>
      <c r="G172" s="279" t="s">
        <v>2512</v>
      </c>
      <c r="H172" s="279" t="s">
        <v>2512</v>
      </c>
      <c r="I172" s="279" t="s">
        <v>2512</v>
      </c>
      <c r="J172" s="278" t="s">
        <v>76</v>
      </c>
      <c r="K172" s="280">
        <v>17.52</v>
      </c>
      <c r="L172" s="281" t="s">
        <v>173</v>
      </c>
      <c r="M172" s="272" t="s">
        <v>175</v>
      </c>
    </row>
    <row r="173" spans="1:13" ht="15.75" customHeight="1">
      <c r="A173" s="267" t="s">
        <v>6527</v>
      </c>
      <c r="B173" s="251" t="s">
        <v>10418</v>
      </c>
      <c r="C173" s="267" t="s">
        <v>6528</v>
      </c>
      <c r="D173" s="267" t="s">
        <v>10419</v>
      </c>
      <c r="E173" s="277" t="s">
        <v>10324</v>
      </c>
      <c r="F173" s="278" t="s">
        <v>6619</v>
      </c>
      <c r="G173" s="279" t="s">
        <v>2512</v>
      </c>
      <c r="H173" s="279" t="s">
        <v>2512</v>
      </c>
      <c r="I173" s="279" t="s">
        <v>2512</v>
      </c>
      <c r="J173" s="278" t="s">
        <v>76</v>
      </c>
      <c r="K173" s="280">
        <v>15.05</v>
      </c>
      <c r="L173" s="281" t="s">
        <v>173</v>
      </c>
      <c r="M173" s="272" t="s">
        <v>175</v>
      </c>
    </row>
    <row r="174" spans="1:13" ht="15.75" customHeight="1">
      <c r="A174" s="267" t="s">
        <v>6527</v>
      </c>
      <c r="B174" s="251" t="s">
        <v>10420</v>
      </c>
      <c r="C174" s="267" t="s">
        <v>6528</v>
      </c>
      <c r="D174" s="267" t="s">
        <v>10421</v>
      </c>
      <c r="E174" s="277" t="s">
        <v>10324</v>
      </c>
      <c r="F174" s="278" t="s">
        <v>6619</v>
      </c>
      <c r="G174" s="279" t="s">
        <v>2512</v>
      </c>
      <c r="H174" s="279" t="s">
        <v>2512</v>
      </c>
      <c r="I174" s="279" t="s">
        <v>2512</v>
      </c>
      <c r="J174" s="278" t="s">
        <v>76</v>
      </c>
      <c r="K174" s="280">
        <v>13.63</v>
      </c>
      <c r="L174" s="281" t="s">
        <v>173</v>
      </c>
      <c r="M174" s="272" t="s">
        <v>175</v>
      </c>
    </row>
    <row r="175" spans="1:13" ht="15.75" customHeight="1">
      <c r="A175" s="267" t="s">
        <v>6527</v>
      </c>
      <c r="B175" s="251" t="s">
        <v>10422</v>
      </c>
      <c r="C175" s="267" t="s">
        <v>6528</v>
      </c>
      <c r="D175" s="267" t="s">
        <v>10423</v>
      </c>
      <c r="E175" s="277" t="s">
        <v>10324</v>
      </c>
      <c r="F175" s="278" t="s">
        <v>6619</v>
      </c>
      <c r="G175" s="279" t="s">
        <v>2512</v>
      </c>
      <c r="H175" s="279" t="s">
        <v>2512</v>
      </c>
      <c r="I175" s="279" t="s">
        <v>2512</v>
      </c>
      <c r="J175" s="278" t="s">
        <v>76</v>
      </c>
      <c r="K175" s="280">
        <v>13.63</v>
      </c>
      <c r="L175" s="281" t="s">
        <v>173</v>
      </c>
      <c r="M175" s="272" t="s">
        <v>175</v>
      </c>
    </row>
    <row r="176" spans="1:13" ht="15.75" customHeight="1">
      <c r="A176" s="267" t="s">
        <v>6527</v>
      </c>
      <c r="B176" s="251" t="s">
        <v>10424</v>
      </c>
      <c r="C176" s="267" t="s">
        <v>6528</v>
      </c>
      <c r="D176" s="267" t="s">
        <v>10425</v>
      </c>
      <c r="E176" s="277" t="s">
        <v>10324</v>
      </c>
      <c r="F176" s="278" t="s">
        <v>6619</v>
      </c>
      <c r="G176" s="279" t="s">
        <v>2512</v>
      </c>
      <c r="H176" s="279" t="s">
        <v>2512</v>
      </c>
      <c r="I176" s="279" t="s">
        <v>2512</v>
      </c>
      <c r="J176" s="278" t="s">
        <v>76</v>
      </c>
      <c r="K176" s="280">
        <v>3.94</v>
      </c>
      <c r="L176" s="281" t="s">
        <v>173</v>
      </c>
      <c r="M176" s="272" t="s">
        <v>175</v>
      </c>
    </row>
    <row r="177" spans="1:13" ht="15.75" customHeight="1">
      <c r="A177" s="267" t="s">
        <v>6527</v>
      </c>
      <c r="B177" s="251" t="s">
        <v>10426</v>
      </c>
      <c r="C177" s="267" t="s">
        <v>6528</v>
      </c>
      <c r="D177" s="267" t="s">
        <v>10427</v>
      </c>
      <c r="E177" s="277" t="s">
        <v>10324</v>
      </c>
      <c r="F177" s="278" t="s">
        <v>6619</v>
      </c>
      <c r="G177" s="279" t="s">
        <v>2512</v>
      </c>
      <c r="H177" s="279" t="s">
        <v>2512</v>
      </c>
      <c r="I177" s="279" t="s">
        <v>2512</v>
      </c>
      <c r="J177" s="278" t="s">
        <v>76</v>
      </c>
      <c r="K177" s="280">
        <v>3.71</v>
      </c>
      <c r="L177" s="281" t="s">
        <v>173</v>
      </c>
      <c r="M177" s="272" t="s">
        <v>175</v>
      </c>
    </row>
    <row r="178" spans="1:13" ht="15.75" customHeight="1">
      <c r="A178" s="267" t="s">
        <v>6527</v>
      </c>
      <c r="B178" s="251" t="s">
        <v>10428</v>
      </c>
      <c r="C178" s="267" t="s">
        <v>6528</v>
      </c>
      <c r="D178" s="267" t="s">
        <v>10429</v>
      </c>
      <c r="E178" s="277" t="s">
        <v>10324</v>
      </c>
      <c r="F178" s="278" t="s">
        <v>6619</v>
      </c>
      <c r="G178" s="279" t="s">
        <v>2512</v>
      </c>
      <c r="H178" s="279" t="s">
        <v>2512</v>
      </c>
      <c r="I178" s="279" t="s">
        <v>2512</v>
      </c>
      <c r="J178" s="278" t="s">
        <v>76</v>
      </c>
      <c r="K178" s="280">
        <v>3.47</v>
      </c>
      <c r="L178" s="281" t="s">
        <v>173</v>
      </c>
      <c r="M178" s="272" t="s">
        <v>175</v>
      </c>
    </row>
    <row r="179" spans="1:13" ht="15.75" customHeight="1">
      <c r="A179" s="267" t="s">
        <v>6527</v>
      </c>
      <c r="B179" s="251" t="s">
        <v>10430</v>
      </c>
      <c r="C179" s="267" t="s">
        <v>6528</v>
      </c>
      <c r="D179" s="267" t="s">
        <v>10431</v>
      </c>
      <c r="E179" s="277" t="s">
        <v>10324</v>
      </c>
      <c r="F179" s="278" t="s">
        <v>6619</v>
      </c>
      <c r="G179" s="279" t="s">
        <v>2512</v>
      </c>
      <c r="H179" s="279" t="s">
        <v>2512</v>
      </c>
      <c r="I179" s="279" t="s">
        <v>2512</v>
      </c>
      <c r="J179" s="278" t="s">
        <v>76</v>
      </c>
      <c r="K179" s="280">
        <v>3.23</v>
      </c>
      <c r="L179" s="281" t="s">
        <v>173</v>
      </c>
      <c r="M179" s="272" t="s">
        <v>175</v>
      </c>
    </row>
    <row r="180" spans="1:13" ht="15.75" customHeight="1">
      <c r="A180" s="267" t="s">
        <v>6527</v>
      </c>
      <c r="B180" s="251" t="s">
        <v>10432</v>
      </c>
      <c r="C180" s="267" t="s">
        <v>6528</v>
      </c>
      <c r="D180" s="267" t="s">
        <v>10433</v>
      </c>
      <c r="E180" s="277" t="s">
        <v>10324</v>
      </c>
      <c r="F180" s="278" t="s">
        <v>6619</v>
      </c>
      <c r="G180" s="279" t="s">
        <v>2512</v>
      </c>
      <c r="H180" s="279" t="s">
        <v>2512</v>
      </c>
      <c r="I180" s="279" t="s">
        <v>2512</v>
      </c>
      <c r="J180" s="278" t="s">
        <v>76</v>
      </c>
      <c r="K180" s="280">
        <v>2.99</v>
      </c>
      <c r="L180" s="281" t="s">
        <v>173</v>
      </c>
      <c r="M180" s="272" t="s">
        <v>175</v>
      </c>
    </row>
    <row r="181" spans="1:13" ht="15.75" customHeight="1">
      <c r="A181" s="267" t="s">
        <v>6527</v>
      </c>
      <c r="B181" s="251" t="s">
        <v>10434</v>
      </c>
      <c r="C181" s="267" t="s">
        <v>6528</v>
      </c>
      <c r="D181" s="267" t="s">
        <v>10435</v>
      </c>
      <c r="E181" s="277" t="s">
        <v>10324</v>
      </c>
      <c r="F181" s="278" t="s">
        <v>6619</v>
      </c>
      <c r="G181" s="279" t="s">
        <v>2512</v>
      </c>
      <c r="H181" s="279" t="s">
        <v>2512</v>
      </c>
      <c r="I181" s="279" t="s">
        <v>2512</v>
      </c>
      <c r="J181" s="278" t="s">
        <v>76</v>
      </c>
      <c r="K181" s="280">
        <v>2.76</v>
      </c>
      <c r="L181" s="281" t="s">
        <v>173</v>
      </c>
      <c r="M181" s="272" t="s">
        <v>175</v>
      </c>
    </row>
    <row r="182" spans="1:13" ht="15.75" customHeight="1">
      <c r="A182" s="267" t="s">
        <v>6527</v>
      </c>
      <c r="B182" s="251" t="s">
        <v>10436</v>
      </c>
      <c r="C182" s="267" t="s">
        <v>6528</v>
      </c>
      <c r="D182" s="267" t="s">
        <v>10437</v>
      </c>
      <c r="E182" s="277" t="s">
        <v>10324</v>
      </c>
      <c r="F182" s="278" t="s">
        <v>6619</v>
      </c>
      <c r="G182" s="279" t="s">
        <v>2512</v>
      </c>
      <c r="H182" s="279" t="s">
        <v>2512</v>
      </c>
      <c r="I182" s="279" t="s">
        <v>2512</v>
      </c>
      <c r="J182" s="278" t="s">
        <v>76</v>
      </c>
      <c r="K182" s="280">
        <v>2.52</v>
      </c>
      <c r="L182" s="281" t="s">
        <v>173</v>
      </c>
      <c r="M182" s="272" t="s">
        <v>175</v>
      </c>
    </row>
    <row r="183" spans="1:13" ht="15.75" customHeight="1">
      <c r="A183" s="267" t="s">
        <v>6527</v>
      </c>
      <c r="B183" s="251" t="s">
        <v>10438</v>
      </c>
      <c r="C183" s="267" t="s">
        <v>6528</v>
      </c>
      <c r="D183" s="267" t="s">
        <v>10439</v>
      </c>
      <c r="E183" s="277" t="s">
        <v>10324</v>
      </c>
      <c r="F183" s="278" t="s">
        <v>6619</v>
      </c>
      <c r="G183" s="279" t="s">
        <v>2512</v>
      </c>
      <c r="H183" s="279" t="s">
        <v>2512</v>
      </c>
      <c r="I183" s="279" t="s">
        <v>2512</v>
      </c>
      <c r="J183" s="278" t="s">
        <v>76</v>
      </c>
      <c r="K183" s="280">
        <v>2.29</v>
      </c>
      <c r="L183" s="281" t="s">
        <v>173</v>
      </c>
      <c r="M183" s="272" t="s">
        <v>175</v>
      </c>
    </row>
    <row r="184" spans="1:13" ht="15.75" customHeight="1">
      <c r="A184" s="267" t="s">
        <v>6527</v>
      </c>
      <c r="B184" s="251" t="s">
        <v>10440</v>
      </c>
      <c r="C184" s="267" t="s">
        <v>6528</v>
      </c>
      <c r="D184" s="267" t="s">
        <v>10441</v>
      </c>
      <c r="E184" s="277" t="s">
        <v>10324</v>
      </c>
      <c r="F184" s="278" t="s">
        <v>6619</v>
      </c>
      <c r="G184" s="279" t="s">
        <v>2512</v>
      </c>
      <c r="H184" s="279" t="s">
        <v>2512</v>
      </c>
      <c r="I184" s="279" t="s">
        <v>2512</v>
      </c>
      <c r="J184" s="278" t="s">
        <v>76</v>
      </c>
      <c r="K184" s="280">
        <v>2.0499999999999998</v>
      </c>
      <c r="L184" s="281" t="s">
        <v>173</v>
      </c>
      <c r="M184" s="272" t="s">
        <v>175</v>
      </c>
    </row>
    <row r="185" spans="1:13" ht="15.75" customHeight="1">
      <c r="A185" s="267" t="s">
        <v>6527</v>
      </c>
      <c r="B185" s="251" t="s">
        <v>10442</v>
      </c>
      <c r="C185" s="267" t="s">
        <v>6528</v>
      </c>
      <c r="D185" s="267" t="s">
        <v>10443</v>
      </c>
      <c r="E185" s="277" t="s">
        <v>133</v>
      </c>
      <c r="F185" s="278" t="s">
        <v>6619</v>
      </c>
      <c r="G185" s="279" t="s">
        <v>2512</v>
      </c>
      <c r="H185" s="279" t="s">
        <v>2512</v>
      </c>
      <c r="I185" s="279" t="s">
        <v>2512</v>
      </c>
      <c r="J185" s="278" t="s">
        <v>76</v>
      </c>
      <c r="K185" s="280">
        <v>19687.5</v>
      </c>
      <c r="L185" s="281" t="s">
        <v>173</v>
      </c>
      <c r="M185" s="272" t="s">
        <v>175</v>
      </c>
    </row>
    <row r="186" spans="1:13" ht="15.75" customHeight="1">
      <c r="A186" s="267" t="s">
        <v>6527</v>
      </c>
      <c r="B186" s="251" t="s">
        <v>10444</v>
      </c>
      <c r="C186" s="267" t="s">
        <v>6528</v>
      </c>
      <c r="D186" s="267" t="s">
        <v>10445</v>
      </c>
      <c r="E186" s="277" t="s">
        <v>133</v>
      </c>
      <c r="F186" s="278" t="s">
        <v>6619</v>
      </c>
      <c r="G186" s="279" t="s">
        <v>2512</v>
      </c>
      <c r="H186" s="279" t="s">
        <v>2512</v>
      </c>
      <c r="I186" s="279" t="s">
        <v>2512</v>
      </c>
      <c r="J186" s="278" t="s">
        <v>76</v>
      </c>
      <c r="K186" s="280">
        <v>17718.75</v>
      </c>
      <c r="L186" s="281" t="s">
        <v>173</v>
      </c>
      <c r="M186" s="272" t="s">
        <v>175</v>
      </c>
    </row>
    <row r="187" spans="1:13" ht="15.75" customHeight="1">
      <c r="A187" s="267" t="s">
        <v>6527</v>
      </c>
      <c r="B187" s="251" t="s">
        <v>10446</v>
      </c>
      <c r="C187" s="267" t="s">
        <v>6528</v>
      </c>
      <c r="D187" s="267" t="s">
        <v>10447</v>
      </c>
      <c r="E187" s="277" t="s">
        <v>133</v>
      </c>
      <c r="F187" s="278" t="s">
        <v>6619</v>
      </c>
      <c r="G187" s="279" t="s">
        <v>2512</v>
      </c>
      <c r="H187" s="279" t="s">
        <v>2512</v>
      </c>
      <c r="I187" s="279" t="s">
        <v>2512</v>
      </c>
      <c r="J187" s="278" t="s">
        <v>76</v>
      </c>
      <c r="K187" s="280">
        <v>16931.25</v>
      </c>
      <c r="L187" s="281" t="s">
        <v>173</v>
      </c>
      <c r="M187" s="272" t="s">
        <v>175</v>
      </c>
    </row>
    <row r="188" spans="1:13" ht="15.75" customHeight="1">
      <c r="A188" s="267" t="s">
        <v>6527</v>
      </c>
      <c r="B188" s="251" t="s">
        <v>10448</v>
      </c>
      <c r="C188" s="267" t="s">
        <v>6528</v>
      </c>
      <c r="D188" s="267" t="s">
        <v>10449</v>
      </c>
      <c r="E188" s="277" t="s">
        <v>133</v>
      </c>
      <c r="F188" s="278" t="s">
        <v>6619</v>
      </c>
      <c r="G188" s="279" t="s">
        <v>2512</v>
      </c>
      <c r="H188" s="279" t="s">
        <v>2512</v>
      </c>
      <c r="I188" s="279" t="s">
        <v>2512</v>
      </c>
      <c r="J188" s="278" t="s">
        <v>76</v>
      </c>
      <c r="K188" s="280">
        <v>16143.75</v>
      </c>
      <c r="L188" s="281" t="s">
        <v>173</v>
      </c>
      <c r="M188" s="272" t="s">
        <v>175</v>
      </c>
    </row>
    <row r="189" spans="1:13" ht="15.75" customHeight="1">
      <c r="A189" s="267" t="s">
        <v>6527</v>
      </c>
      <c r="B189" s="251" t="s">
        <v>10450</v>
      </c>
      <c r="C189" s="267" t="s">
        <v>6528</v>
      </c>
      <c r="D189" s="267" t="s">
        <v>10451</v>
      </c>
      <c r="E189" s="277" t="s">
        <v>133</v>
      </c>
      <c r="F189" s="278" t="s">
        <v>6619</v>
      </c>
      <c r="G189" s="279" t="s">
        <v>2512</v>
      </c>
      <c r="H189" s="279" t="s">
        <v>2512</v>
      </c>
      <c r="I189" s="279" t="s">
        <v>2512</v>
      </c>
      <c r="J189" s="278" t="s">
        <v>76</v>
      </c>
      <c r="K189" s="280">
        <v>15750</v>
      </c>
      <c r="L189" s="281" t="s">
        <v>173</v>
      </c>
      <c r="M189" s="272" t="s">
        <v>175</v>
      </c>
    </row>
    <row r="190" spans="1:13" ht="15.75" customHeight="1">
      <c r="A190" s="267" t="s">
        <v>6527</v>
      </c>
      <c r="B190" s="251" t="s">
        <v>10452</v>
      </c>
      <c r="C190" s="267" t="s">
        <v>6528</v>
      </c>
      <c r="D190" s="267" t="s">
        <v>10453</v>
      </c>
      <c r="E190" s="277" t="s">
        <v>133</v>
      </c>
      <c r="F190" s="278" t="s">
        <v>6619</v>
      </c>
      <c r="G190" s="279" t="s">
        <v>2512</v>
      </c>
      <c r="H190" s="279" t="s">
        <v>2512</v>
      </c>
      <c r="I190" s="279" t="s">
        <v>2512</v>
      </c>
      <c r="J190" s="278" t="s">
        <v>76</v>
      </c>
      <c r="K190" s="280">
        <v>15356.25</v>
      </c>
      <c r="L190" s="281" t="s">
        <v>173</v>
      </c>
      <c r="M190" s="272" t="s">
        <v>175</v>
      </c>
    </row>
    <row r="191" spans="1:13" ht="15.75" customHeight="1">
      <c r="A191" s="267" t="s">
        <v>6527</v>
      </c>
      <c r="B191" s="251" t="s">
        <v>10454</v>
      </c>
      <c r="C191" s="267" t="s">
        <v>6528</v>
      </c>
      <c r="D191" s="267" t="s">
        <v>10455</v>
      </c>
      <c r="E191" s="277" t="s">
        <v>133</v>
      </c>
      <c r="F191" s="278" t="s">
        <v>6619</v>
      </c>
      <c r="G191" s="279" t="s">
        <v>2512</v>
      </c>
      <c r="H191" s="279" t="s">
        <v>2512</v>
      </c>
      <c r="I191" s="279" t="s">
        <v>2512</v>
      </c>
      <c r="J191" s="278" t="s">
        <v>76</v>
      </c>
      <c r="K191" s="280">
        <v>9843.75</v>
      </c>
      <c r="L191" s="281" t="s">
        <v>173</v>
      </c>
      <c r="M191" s="272" t="s">
        <v>175</v>
      </c>
    </row>
    <row r="192" spans="1:13" ht="15.75" customHeight="1">
      <c r="A192" s="267" t="s">
        <v>6527</v>
      </c>
      <c r="B192" s="251" t="s">
        <v>10456</v>
      </c>
      <c r="C192" s="267" t="s">
        <v>6528</v>
      </c>
      <c r="D192" s="267" t="s">
        <v>10457</v>
      </c>
      <c r="E192" s="277" t="s">
        <v>133</v>
      </c>
      <c r="F192" s="278" t="s">
        <v>6619</v>
      </c>
      <c r="G192" s="279" t="s">
        <v>2512</v>
      </c>
      <c r="H192" s="279" t="s">
        <v>2512</v>
      </c>
      <c r="I192" s="279" t="s">
        <v>2512</v>
      </c>
      <c r="J192" s="278" t="s">
        <v>76</v>
      </c>
      <c r="K192" s="280">
        <v>9056.25</v>
      </c>
      <c r="L192" s="281" t="s">
        <v>173</v>
      </c>
      <c r="M192" s="272" t="s">
        <v>175</v>
      </c>
    </row>
    <row r="193" spans="1:13" ht="15.75" customHeight="1">
      <c r="A193" s="267" t="s">
        <v>6527</v>
      </c>
      <c r="B193" s="251" t="s">
        <v>10458</v>
      </c>
      <c r="C193" s="267" t="s">
        <v>6528</v>
      </c>
      <c r="D193" s="267" t="s">
        <v>10459</v>
      </c>
      <c r="E193" s="277" t="s">
        <v>133</v>
      </c>
      <c r="F193" s="278" t="s">
        <v>6619</v>
      </c>
      <c r="G193" s="279" t="s">
        <v>2512</v>
      </c>
      <c r="H193" s="279" t="s">
        <v>2512</v>
      </c>
      <c r="I193" s="279" t="s">
        <v>2512</v>
      </c>
      <c r="J193" s="278" t="s">
        <v>76</v>
      </c>
      <c r="K193" s="280">
        <v>8268.75</v>
      </c>
      <c r="L193" s="281" t="s">
        <v>173</v>
      </c>
      <c r="M193" s="272" t="s">
        <v>175</v>
      </c>
    </row>
    <row r="194" spans="1:13" ht="15.75" customHeight="1">
      <c r="A194" s="267" t="s">
        <v>6527</v>
      </c>
      <c r="B194" s="251" t="s">
        <v>10460</v>
      </c>
      <c r="C194" s="267" t="s">
        <v>6528</v>
      </c>
      <c r="D194" s="267" t="s">
        <v>10461</v>
      </c>
      <c r="E194" s="277" t="s">
        <v>133</v>
      </c>
      <c r="F194" s="278" t="s">
        <v>6619</v>
      </c>
      <c r="G194" s="279" t="s">
        <v>2512</v>
      </c>
      <c r="H194" s="279" t="s">
        <v>2512</v>
      </c>
      <c r="I194" s="279" t="s">
        <v>2512</v>
      </c>
      <c r="J194" s="278" t="s">
        <v>76</v>
      </c>
      <c r="K194" s="280">
        <v>7087.5</v>
      </c>
      <c r="L194" s="281" t="s">
        <v>173</v>
      </c>
      <c r="M194" s="272" t="s">
        <v>175</v>
      </c>
    </row>
    <row r="195" spans="1:13" ht="15.75" customHeight="1">
      <c r="A195" s="267" t="s">
        <v>6527</v>
      </c>
      <c r="B195" s="251" t="s">
        <v>10462</v>
      </c>
      <c r="C195" s="267" t="s">
        <v>6528</v>
      </c>
      <c r="D195" s="267" t="s">
        <v>10463</v>
      </c>
      <c r="E195" s="277" t="s">
        <v>133</v>
      </c>
      <c r="F195" s="278" t="s">
        <v>6619</v>
      </c>
      <c r="G195" s="279" t="s">
        <v>2512</v>
      </c>
      <c r="H195" s="279" t="s">
        <v>2512</v>
      </c>
      <c r="I195" s="279" t="s">
        <v>2512</v>
      </c>
      <c r="J195" s="278" t="s">
        <v>76</v>
      </c>
      <c r="K195" s="280">
        <v>750</v>
      </c>
      <c r="L195" s="281" t="s">
        <v>173</v>
      </c>
      <c r="M195" s="272" t="s">
        <v>175</v>
      </c>
    </row>
    <row r="196" spans="1:13" ht="15.75" customHeight="1">
      <c r="A196" s="267" t="s">
        <v>6527</v>
      </c>
      <c r="B196" s="251" t="s">
        <v>10464</v>
      </c>
      <c r="C196" s="267" t="s">
        <v>6528</v>
      </c>
      <c r="D196" s="267" t="s">
        <v>10465</v>
      </c>
      <c r="E196" s="277" t="s">
        <v>133</v>
      </c>
      <c r="F196" s="278" t="s">
        <v>6619</v>
      </c>
      <c r="G196" s="279" t="s">
        <v>2512</v>
      </c>
      <c r="H196" s="279" t="s">
        <v>2512</v>
      </c>
      <c r="I196" s="279" t="s">
        <v>2512</v>
      </c>
      <c r="J196" s="278" t="s">
        <v>76</v>
      </c>
      <c r="K196" s="280">
        <v>1500</v>
      </c>
      <c r="L196" s="281" t="s">
        <v>173</v>
      </c>
      <c r="M196" s="272" t="s">
        <v>175</v>
      </c>
    </row>
    <row r="197" spans="1:13" ht="15.75" customHeight="1">
      <c r="A197" s="267" t="s">
        <v>6527</v>
      </c>
      <c r="B197" s="251" t="s">
        <v>10466</v>
      </c>
      <c r="C197" s="267" t="s">
        <v>6528</v>
      </c>
      <c r="D197" s="267" t="s">
        <v>10467</v>
      </c>
      <c r="E197" s="277" t="s">
        <v>133</v>
      </c>
      <c r="F197" s="278" t="s">
        <v>6619</v>
      </c>
      <c r="G197" s="279" t="s">
        <v>2512</v>
      </c>
      <c r="H197" s="279" t="s">
        <v>2512</v>
      </c>
      <c r="I197" s="279" t="s">
        <v>2512</v>
      </c>
      <c r="J197" s="278" t="s">
        <v>76</v>
      </c>
      <c r="K197" s="280">
        <v>3000</v>
      </c>
      <c r="L197" s="281" t="s">
        <v>173</v>
      </c>
      <c r="M197" s="272" t="s">
        <v>175</v>
      </c>
    </row>
    <row r="198" spans="1:13" ht="15.75" customHeight="1">
      <c r="A198" s="267" t="s">
        <v>6527</v>
      </c>
      <c r="B198" s="251" t="s">
        <v>10468</v>
      </c>
      <c r="C198" s="267" t="s">
        <v>6528</v>
      </c>
      <c r="D198" s="267" t="s">
        <v>10469</v>
      </c>
      <c r="E198" s="277" t="s">
        <v>133</v>
      </c>
      <c r="F198" s="278" t="s">
        <v>6619</v>
      </c>
      <c r="G198" s="279" t="s">
        <v>2512</v>
      </c>
      <c r="H198" s="279" t="s">
        <v>2512</v>
      </c>
      <c r="I198" s="279" t="s">
        <v>2512</v>
      </c>
      <c r="J198" s="278" t="s">
        <v>76</v>
      </c>
      <c r="K198" s="280">
        <v>866.25</v>
      </c>
      <c r="L198" s="281" t="s">
        <v>173</v>
      </c>
      <c r="M198" s="272" t="s">
        <v>175</v>
      </c>
    </row>
    <row r="199" spans="1:13" ht="15.75" customHeight="1">
      <c r="A199" s="267" t="s">
        <v>6527</v>
      </c>
      <c r="B199" s="251" t="s">
        <v>10470</v>
      </c>
      <c r="C199" s="267" t="s">
        <v>6528</v>
      </c>
      <c r="D199" s="267" t="s">
        <v>10471</v>
      </c>
      <c r="E199" s="277" t="s">
        <v>133</v>
      </c>
      <c r="F199" s="278" t="s">
        <v>6619</v>
      </c>
      <c r="G199" s="279" t="s">
        <v>2512</v>
      </c>
      <c r="H199" s="279" t="s">
        <v>2512</v>
      </c>
      <c r="I199" s="279" t="s">
        <v>2512</v>
      </c>
      <c r="J199" s="278" t="s">
        <v>76</v>
      </c>
      <c r="K199" s="280">
        <v>86.63</v>
      </c>
      <c r="L199" s="281" t="s">
        <v>173</v>
      </c>
      <c r="M199" s="272" t="s">
        <v>175</v>
      </c>
    </row>
    <row r="200" spans="1:13" ht="15.75" customHeight="1">
      <c r="A200" s="267" t="s">
        <v>6527</v>
      </c>
      <c r="B200" s="251" t="s">
        <v>10472</v>
      </c>
      <c r="C200" s="267" t="s">
        <v>6528</v>
      </c>
      <c r="D200" s="267" t="s">
        <v>10473</v>
      </c>
      <c r="E200" s="277" t="s">
        <v>133</v>
      </c>
      <c r="F200" s="278" t="s">
        <v>6619</v>
      </c>
      <c r="G200" s="279" t="s">
        <v>2512</v>
      </c>
      <c r="H200" s="279" t="s">
        <v>2512</v>
      </c>
      <c r="I200" s="279" t="s">
        <v>2512</v>
      </c>
      <c r="J200" s="278" t="s">
        <v>76</v>
      </c>
      <c r="K200" s="280">
        <v>630</v>
      </c>
      <c r="L200" s="281" t="s">
        <v>173</v>
      </c>
      <c r="M200" s="272" t="s">
        <v>175</v>
      </c>
    </row>
    <row r="201" spans="1:13" ht="15.75" customHeight="1">
      <c r="A201" s="267" t="s">
        <v>6527</v>
      </c>
      <c r="B201" s="251" t="s">
        <v>10474</v>
      </c>
      <c r="C201" s="267" t="s">
        <v>6528</v>
      </c>
      <c r="D201" s="267" t="s">
        <v>10475</v>
      </c>
      <c r="E201" s="277" t="s">
        <v>10324</v>
      </c>
      <c r="F201" s="278" t="s">
        <v>6619</v>
      </c>
      <c r="G201" s="279" t="s">
        <v>2512</v>
      </c>
      <c r="H201" s="279" t="s">
        <v>2512</v>
      </c>
      <c r="I201" s="279" t="s">
        <v>2512</v>
      </c>
      <c r="J201" s="278" t="s">
        <v>76</v>
      </c>
      <c r="K201" s="280">
        <v>15.75</v>
      </c>
      <c r="L201" s="281" t="s">
        <v>173</v>
      </c>
      <c r="M201" s="272" t="s">
        <v>175</v>
      </c>
    </row>
    <row r="202" spans="1:13" ht="15.75" customHeight="1">
      <c r="A202" s="267" t="s">
        <v>6527</v>
      </c>
      <c r="B202" s="251" t="s">
        <v>10476</v>
      </c>
      <c r="C202" s="267" t="s">
        <v>6528</v>
      </c>
      <c r="D202" s="267" t="s">
        <v>10477</v>
      </c>
      <c r="E202" s="277" t="s">
        <v>10324</v>
      </c>
      <c r="F202" s="278" t="s">
        <v>6619</v>
      </c>
      <c r="G202" s="279" t="s">
        <v>2512</v>
      </c>
      <c r="H202" s="279" t="s">
        <v>2512</v>
      </c>
      <c r="I202" s="279" t="s">
        <v>2512</v>
      </c>
      <c r="J202" s="278" t="s">
        <v>76</v>
      </c>
      <c r="K202" s="280">
        <v>14.96</v>
      </c>
      <c r="L202" s="281" t="s">
        <v>173</v>
      </c>
      <c r="M202" s="272" t="s">
        <v>175</v>
      </c>
    </row>
    <row r="203" spans="1:13" ht="15.75" customHeight="1">
      <c r="A203" s="267" t="s">
        <v>6527</v>
      </c>
      <c r="B203" s="251" t="s">
        <v>10478</v>
      </c>
      <c r="C203" s="267" t="s">
        <v>6528</v>
      </c>
      <c r="D203" s="267" t="s">
        <v>10479</v>
      </c>
      <c r="E203" s="277" t="s">
        <v>10324</v>
      </c>
      <c r="F203" s="278" t="s">
        <v>6619</v>
      </c>
      <c r="G203" s="279" t="s">
        <v>2512</v>
      </c>
      <c r="H203" s="279" t="s">
        <v>2512</v>
      </c>
      <c r="I203" s="279" t="s">
        <v>2512</v>
      </c>
      <c r="J203" s="278" t="s">
        <v>76</v>
      </c>
      <c r="K203" s="280">
        <v>14.21</v>
      </c>
      <c r="L203" s="281" t="s">
        <v>173</v>
      </c>
      <c r="M203" s="272" t="s">
        <v>175</v>
      </c>
    </row>
    <row r="204" spans="1:13" ht="15.75" customHeight="1">
      <c r="A204" s="267" t="s">
        <v>6527</v>
      </c>
      <c r="B204" s="251" t="s">
        <v>10480</v>
      </c>
      <c r="C204" s="267" t="s">
        <v>6528</v>
      </c>
      <c r="D204" s="267" t="s">
        <v>10481</v>
      </c>
      <c r="E204" s="277" t="s">
        <v>10324</v>
      </c>
      <c r="F204" s="278" t="s">
        <v>6619</v>
      </c>
      <c r="G204" s="279" t="s">
        <v>2512</v>
      </c>
      <c r="H204" s="279" t="s">
        <v>2512</v>
      </c>
      <c r="I204" s="279" t="s">
        <v>2512</v>
      </c>
      <c r="J204" s="278" t="s">
        <v>76</v>
      </c>
      <c r="K204" s="280">
        <v>13.5</v>
      </c>
      <c r="L204" s="281" t="s">
        <v>173</v>
      </c>
      <c r="M204" s="272" t="s">
        <v>175</v>
      </c>
    </row>
    <row r="205" spans="1:13" ht="15.75" customHeight="1">
      <c r="A205" s="267" t="s">
        <v>6527</v>
      </c>
      <c r="B205" s="251" t="s">
        <v>10482</v>
      </c>
      <c r="C205" s="267" t="s">
        <v>6528</v>
      </c>
      <c r="D205" s="267" t="s">
        <v>10483</v>
      </c>
      <c r="E205" s="277" t="s">
        <v>10324</v>
      </c>
      <c r="F205" s="278" t="s">
        <v>6619</v>
      </c>
      <c r="G205" s="279" t="s">
        <v>2512</v>
      </c>
      <c r="H205" s="279" t="s">
        <v>2512</v>
      </c>
      <c r="I205" s="279" t="s">
        <v>2512</v>
      </c>
      <c r="J205" s="278" t="s">
        <v>76</v>
      </c>
      <c r="K205" s="280">
        <v>12.82</v>
      </c>
      <c r="L205" s="281" t="s">
        <v>173</v>
      </c>
      <c r="M205" s="272" t="s">
        <v>175</v>
      </c>
    </row>
    <row r="206" spans="1:13" ht="15.75" customHeight="1">
      <c r="A206" s="267" t="s">
        <v>6527</v>
      </c>
      <c r="B206" s="251" t="s">
        <v>10484</v>
      </c>
      <c r="C206" s="267" t="s">
        <v>6528</v>
      </c>
      <c r="D206" s="267" t="s">
        <v>10485</v>
      </c>
      <c r="E206" s="277" t="s">
        <v>10324</v>
      </c>
      <c r="F206" s="278" t="s">
        <v>6619</v>
      </c>
      <c r="G206" s="279" t="s">
        <v>2512</v>
      </c>
      <c r="H206" s="279" t="s">
        <v>2512</v>
      </c>
      <c r="I206" s="279" t="s">
        <v>2512</v>
      </c>
      <c r="J206" s="278" t="s">
        <v>76</v>
      </c>
      <c r="K206" s="280">
        <v>12.19</v>
      </c>
      <c r="L206" s="281" t="s">
        <v>173</v>
      </c>
      <c r="M206" s="272" t="s">
        <v>175</v>
      </c>
    </row>
    <row r="207" spans="1:13" ht="15.75" customHeight="1">
      <c r="A207" s="267" t="s">
        <v>6527</v>
      </c>
      <c r="B207" s="251" t="s">
        <v>10486</v>
      </c>
      <c r="C207" s="267" t="s">
        <v>6528</v>
      </c>
      <c r="D207" s="267" t="s">
        <v>10487</v>
      </c>
      <c r="E207" s="277" t="s">
        <v>10324</v>
      </c>
      <c r="F207" s="278" t="s">
        <v>6619</v>
      </c>
      <c r="G207" s="279" t="s">
        <v>2512</v>
      </c>
      <c r="H207" s="279" t="s">
        <v>2512</v>
      </c>
      <c r="I207" s="279" t="s">
        <v>2512</v>
      </c>
      <c r="J207" s="278" t="s">
        <v>76</v>
      </c>
      <c r="K207" s="280">
        <v>12.19</v>
      </c>
      <c r="L207" s="281" t="s">
        <v>173</v>
      </c>
      <c r="M207" s="272" t="s">
        <v>175</v>
      </c>
    </row>
    <row r="208" spans="1:13" ht="15.75" customHeight="1">
      <c r="A208" s="267" t="s">
        <v>6527</v>
      </c>
      <c r="B208" s="251" t="s">
        <v>10488</v>
      </c>
      <c r="C208" s="267" t="s">
        <v>6528</v>
      </c>
      <c r="D208" s="267" t="s">
        <v>10489</v>
      </c>
      <c r="E208" s="277" t="s">
        <v>10324</v>
      </c>
      <c r="F208" s="278" t="s">
        <v>6619</v>
      </c>
      <c r="G208" s="279" t="s">
        <v>2512</v>
      </c>
      <c r="H208" s="279" t="s">
        <v>2512</v>
      </c>
      <c r="I208" s="279" t="s">
        <v>2512</v>
      </c>
      <c r="J208" s="278" t="s">
        <v>76</v>
      </c>
      <c r="K208" s="280">
        <v>11.58</v>
      </c>
      <c r="L208" s="281" t="s">
        <v>173</v>
      </c>
      <c r="M208" s="272" t="s">
        <v>175</v>
      </c>
    </row>
    <row r="209" spans="1:13" ht="15.75" customHeight="1">
      <c r="A209" s="267" t="s">
        <v>6527</v>
      </c>
      <c r="B209" s="251" t="s">
        <v>10490</v>
      </c>
      <c r="C209" s="267" t="s">
        <v>6528</v>
      </c>
      <c r="D209" s="267" t="s">
        <v>10491</v>
      </c>
      <c r="E209" s="277" t="s">
        <v>10324</v>
      </c>
      <c r="F209" s="278" t="s">
        <v>6619</v>
      </c>
      <c r="G209" s="279" t="s">
        <v>2512</v>
      </c>
      <c r="H209" s="279" t="s">
        <v>2512</v>
      </c>
      <c r="I209" s="279" t="s">
        <v>2512</v>
      </c>
      <c r="J209" s="278" t="s">
        <v>76</v>
      </c>
      <c r="K209" s="280">
        <v>11</v>
      </c>
      <c r="L209" s="281" t="s">
        <v>173</v>
      </c>
      <c r="M209" s="272" t="s">
        <v>175</v>
      </c>
    </row>
    <row r="210" spans="1:13" ht="15.75" customHeight="1">
      <c r="A210" s="267" t="s">
        <v>6527</v>
      </c>
      <c r="B210" s="251" t="s">
        <v>10492</v>
      </c>
      <c r="C210" s="267" t="s">
        <v>6528</v>
      </c>
      <c r="D210" s="267" t="s">
        <v>10493</v>
      </c>
      <c r="E210" s="277" t="s">
        <v>10324</v>
      </c>
      <c r="F210" s="278" t="s">
        <v>6619</v>
      </c>
      <c r="G210" s="279" t="s">
        <v>2512</v>
      </c>
      <c r="H210" s="279" t="s">
        <v>2512</v>
      </c>
      <c r="I210" s="279" t="s">
        <v>2512</v>
      </c>
      <c r="J210" s="278" t="s">
        <v>76</v>
      </c>
      <c r="K210" s="280">
        <v>10.45</v>
      </c>
      <c r="L210" s="281" t="s">
        <v>173</v>
      </c>
      <c r="M210" s="272" t="s">
        <v>175</v>
      </c>
    </row>
    <row r="211" spans="1:13" ht="15.75" customHeight="1">
      <c r="A211" s="267" t="s">
        <v>6527</v>
      </c>
      <c r="B211" s="251" t="s">
        <v>10494</v>
      </c>
      <c r="C211" s="267" t="s">
        <v>6528</v>
      </c>
      <c r="D211" s="267" t="s">
        <v>10495</v>
      </c>
      <c r="E211" s="277" t="s">
        <v>10324</v>
      </c>
      <c r="F211" s="278" t="s">
        <v>6619</v>
      </c>
      <c r="G211" s="279" t="s">
        <v>2512</v>
      </c>
      <c r="H211" s="279" t="s">
        <v>2512</v>
      </c>
      <c r="I211" s="279" t="s">
        <v>2512</v>
      </c>
      <c r="J211" s="278" t="s">
        <v>76</v>
      </c>
      <c r="K211" s="280">
        <v>9.93</v>
      </c>
      <c r="L211" s="281" t="s">
        <v>173</v>
      </c>
      <c r="M211" s="272" t="s">
        <v>175</v>
      </c>
    </row>
    <row r="212" spans="1:13" ht="15.75" customHeight="1">
      <c r="A212" s="267" t="s">
        <v>6527</v>
      </c>
      <c r="B212" s="251" t="s">
        <v>10496</v>
      </c>
      <c r="C212" s="267" t="s">
        <v>6528</v>
      </c>
      <c r="D212" s="267" t="s">
        <v>10497</v>
      </c>
      <c r="E212" s="277" t="s">
        <v>10324</v>
      </c>
      <c r="F212" s="278" t="s">
        <v>6619</v>
      </c>
      <c r="G212" s="279" t="s">
        <v>2512</v>
      </c>
      <c r="H212" s="279" t="s">
        <v>2512</v>
      </c>
      <c r="I212" s="279" t="s">
        <v>2512</v>
      </c>
      <c r="J212" s="278" t="s">
        <v>76</v>
      </c>
      <c r="K212" s="280">
        <v>9.43</v>
      </c>
      <c r="L212" s="281" t="s">
        <v>173</v>
      </c>
      <c r="M212" s="272" t="s">
        <v>175</v>
      </c>
    </row>
    <row r="213" spans="1:13" ht="15.75" customHeight="1">
      <c r="A213" s="267" t="s">
        <v>6527</v>
      </c>
      <c r="B213" s="251" t="s">
        <v>10498</v>
      </c>
      <c r="C213" s="267" t="s">
        <v>6528</v>
      </c>
      <c r="D213" s="267" t="s">
        <v>10499</v>
      </c>
      <c r="E213" s="277" t="s">
        <v>10324</v>
      </c>
      <c r="F213" s="278" t="s">
        <v>6619</v>
      </c>
      <c r="G213" s="279" t="s">
        <v>2512</v>
      </c>
      <c r="H213" s="279" t="s">
        <v>2512</v>
      </c>
      <c r="I213" s="279" t="s">
        <v>2512</v>
      </c>
      <c r="J213" s="278" t="s">
        <v>76</v>
      </c>
      <c r="K213" s="280">
        <v>6300</v>
      </c>
      <c r="L213" s="281" t="s">
        <v>173</v>
      </c>
      <c r="M213" s="272" t="s">
        <v>175</v>
      </c>
    </row>
    <row r="214" spans="1:13" ht="15.75" customHeight="1">
      <c r="A214" s="267" t="s">
        <v>6527</v>
      </c>
      <c r="B214" s="251" t="s">
        <v>10500</v>
      </c>
      <c r="C214" s="267" t="s">
        <v>6528</v>
      </c>
      <c r="D214" s="267" t="s">
        <v>10501</v>
      </c>
      <c r="E214" s="277" t="s">
        <v>10324</v>
      </c>
      <c r="F214" s="278" t="s">
        <v>6619</v>
      </c>
      <c r="G214" s="279" t="s">
        <v>2512</v>
      </c>
      <c r="H214" s="279" t="s">
        <v>2512</v>
      </c>
      <c r="I214" s="279" t="s">
        <v>2512</v>
      </c>
      <c r="J214" s="278" t="s">
        <v>76</v>
      </c>
      <c r="K214" s="280">
        <v>5670</v>
      </c>
      <c r="L214" s="281" t="s">
        <v>173</v>
      </c>
      <c r="M214" s="272" t="s">
        <v>175</v>
      </c>
    </row>
    <row r="215" spans="1:13" ht="15.75" customHeight="1">
      <c r="A215" s="267" t="s">
        <v>6527</v>
      </c>
      <c r="B215" s="251" t="s">
        <v>10502</v>
      </c>
      <c r="C215" s="267" t="s">
        <v>6528</v>
      </c>
      <c r="D215" s="267" t="s">
        <v>10503</v>
      </c>
      <c r="E215" s="277" t="s">
        <v>10324</v>
      </c>
      <c r="F215" s="278" t="s">
        <v>6619</v>
      </c>
      <c r="G215" s="279" t="s">
        <v>2512</v>
      </c>
      <c r="H215" s="279" t="s">
        <v>2512</v>
      </c>
      <c r="I215" s="279" t="s">
        <v>2512</v>
      </c>
      <c r="J215" s="278" t="s">
        <v>76</v>
      </c>
      <c r="K215" s="280">
        <v>5040</v>
      </c>
      <c r="L215" s="281" t="s">
        <v>173</v>
      </c>
      <c r="M215" s="272" t="s">
        <v>175</v>
      </c>
    </row>
    <row r="216" spans="1:13" ht="15.75" customHeight="1">
      <c r="A216" s="267" t="s">
        <v>6527</v>
      </c>
      <c r="B216" s="251" t="s">
        <v>10504</v>
      </c>
      <c r="C216" s="267" t="s">
        <v>6528</v>
      </c>
      <c r="D216" s="267" t="s">
        <v>10505</v>
      </c>
      <c r="E216" s="277" t="s">
        <v>10324</v>
      </c>
      <c r="F216" s="278" t="s">
        <v>6619</v>
      </c>
      <c r="G216" s="279" t="s">
        <v>2512</v>
      </c>
      <c r="H216" s="279" t="s">
        <v>2512</v>
      </c>
      <c r="I216" s="279" t="s">
        <v>2512</v>
      </c>
      <c r="J216" s="278" t="s">
        <v>76</v>
      </c>
      <c r="K216" s="280">
        <v>4567.5</v>
      </c>
      <c r="L216" s="281" t="s">
        <v>173</v>
      </c>
      <c r="M216" s="272" t="s">
        <v>175</v>
      </c>
    </row>
    <row r="217" spans="1:13" ht="15.75" customHeight="1">
      <c r="A217" s="267" t="s">
        <v>6527</v>
      </c>
      <c r="B217" s="251" t="s">
        <v>10506</v>
      </c>
      <c r="C217" s="267" t="s">
        <v>6528</v>
      </c>
      <c r="D217" s="267" t="s">
        <v>10507</v>
      </c>
      <c r="E217" s="277" t="s">
        <v>10324</v>
      </c>
      <c r="F217" s="278" t="s">
        <v>6619</v>
      </c>
      <c r="G217" s="279" t="s">
        <v>2512</v>
      </c>
      <c r="H217" s="279" t="s">
        <v>2512</v>
      </c>
      <c r="I217" s="279" t="s">
        <v>2512</v>
      </c>
      <c r="J217" s="278" t="s">
        <v>76</v>
      </c>
      <c r="K217" s="280">
        <v>4065</v>
      </c>
      <c r="L217" s="281" t="s">
        <v>173</v>
      </c>
      <c r="M217" s="272" t="s">
        <v>175</v>
      </c>
    </row>
    <row r="218" spans="1:13" ht="15.75" customHeight="1">
      <c r="A218" s="267" t="s">
        <v>6527</v>
      </c>
      <c r="B218" s="251" t="s">
        <v>10508</v>
      </c>
      <c r="C218" s="267" t="s">
        <v>6528</v>
      </c>
      <c r="D218" s="267" t="s">
        <v>10509</v>
      </c>
      <c r="E218" s="277" t="s">
        <v>10324</v>
      </c>
      <c r="F218" s="278" t="s">
        <v>6619</v>
      </c>
      <c r="G218" s="279" t="s">
        <v>2512</v>
      </c>
      <c r="H218" s="279" t="s">
        <v>2512</v>
      </c>
      <c r="I218" s="279" t="s">
        <v>2512</v>
      </c>
      <c r="J218" s="278" t="s">
        <v>76</v>
      </c>
      <c r="K218" s="280">
        <v>3660</v>
      </c>
      <c r="L218" s="281" t="s">
        <v>173</v>
      </c>
      <c r="M218" s="272" t="s">
        <v>175</v>
      </c>
    </row>
    <row r="219" spans="1:13" ht="15.75" customHeight="1">
      <c r="A219" s="267" t="s">
        <v>6527</v>
      </c>
      <c r="B219" s="251" t="s">
        <v>10510</v>
      </c>
      <c r="C219" s="267" t="s">
        <v>6528</v>
      </c>
      <c r="D219" s="267" t="s">
        <v>10511</v>
      </c>
      <c r="E219" s="277" t="s">
        <v>10324</v>
      </c>
      <c r="F219" s="278" t="s">
        <v>6619</v>
      </c>
      <c r="G219" s="279" t="s">
        <v>2512</v>
      </c>
      <c r="H219" s="279" t="s">
        <v>2512</v>
      </c>
      <c r="I219" s="279" t="s">
        <v>2512</v>
      </c>
      <c r="J219" s="278" t="s">
        <v>76</v>
      </c>
      <c r="K219" s="280">
        <v>52.5</v>
      </c>
      <c r="L219" s="281" t="s">
        <v>173</v>
      </c>
      <c r="M219" s="272" t="s">
        <v>175</v>
      </c>
    </row>
    <row r="220" spans="1:13" ht="15.75" customHeight="1">
      <c r="A220" s="267" t="s">
        <v>6527</v>
      </c>
      <c r="B220" s="251" t="s">
        <v>10512</v>
      </c>
      <c r="C220" s="267" t="s">
        <v>6528</v>
      </c>
      <c r="D220" s="267" t="s">
        <v>10513</v>
      </c>
      <c r="E220" s="277" t="s">
        <v>10324</v>
      </c>
      <c r="F220" s="278" t="s">
        <v>6619</v>
      </c>
      <c r="G220" s="279" t="s">
        <v>2512</v>
      </c>
      <c r="H220" s="279" t="s">
        <v>2512</v>
      </c>
      <c r="I220" s="279" t="s">
        <v>2512</v>
      </c>
      <c r="J220" s="278" t="s">
        <v>76</v>
      </c>
      <c r="K220" s="280">
        <v>47.25</v>
      </c>
      <c r="L220" s="281" t="s">
        <v>173</v>
      </c>
      <c r="M220" s="272" t="s">
        <v>175</v>
      </c>
    </row>
    <row r="221" spans="1:13" ht="15.75" customHeight="1">
      <c r="A221" s="267" t="s">
        <v>6527</v>
      </c>
      <c r="B221" s="251" t="s">
        <v>10514</v>
      </c>
      <c r="C221" s="267" t="s">
        <v>6528</v>
      </c>
      <c r="D221" s="267" t="s">
        <v>10515</v>
      </c>
      <c r="E221" s="277" t="s">
        <v>10324</v>
      </c>
      <c r="F221" s="278" t="s">
        <v>6619</v>
      </c>
      <c r="G221" s="279" t="s">
        <v>2512</v>
      </c>
      <c r="H221" s="279" t="s">
        <v>2512</v>
      </c>
      <c r="I221" s="279" t="s">
        <v>2512</v>
      </c>
      <c r="J221" s="278" t="s">
        <v>76</v>
      </c>
      <c r="K221" s="280">
        <v>42.53</v>
      </c>
      <c r="L221" s="281" t="s">
        <v>173</v>
      </c>
      <c r="M221" s="272" t="s">
        <v>175</v>
      </c>
    </row>
    <row r="222" spans="1:13" ht="15.75" customHeight="1">
      <c r="A222" s="267" t="s">
        <v>6527</v>
      </c>
      <c r="B222" s="251" t="s">
        <v>10516</v>
      </c>
      <c r="C222" s="267" t="s">
        <v>6528</v>
      </c>
      <c r="D222" s="267" t="s">
        <v>10517</v>
      </c>
      <c r="E222" s="277" t="s">
        <v>10324</v>
      </c>
      <c r="F222" s="278" t="s">
        <v>6619</v>
      </c>
      <c r="G222" s="279" t="s">
        <v>2512</v>
      </c>
      <c r="H222" s="279" t="s">
        <v>2512</v>
      </c>
      <c r="I222" s="279" t="s">
        <v>2512</v>
      </c>
      <c r="J222" s="278" t="s">
        <v>76</v>
      </c>
      <c r="K222" s="280">
        <v>38.270000000000003</v>
      </c>
      <c r="L222" s="281" t="s">
        <v>173</v>
      </c>
      <c r="M222" s="272" t="s">
        <v>175</v>
      </c>
    </row>
    <row r="223" spans="1:13" ht="15.75" customHeight="1">
      <c r="A223" s="267" t="s">
        <v>6527</v>
      </c>
      <c r="B223" s="251" t="s">
        <v>10518</v>
      </c>
      <c r="C223" s="267" t="s">
        <v>6528</v>
      </c>
      <c r="D223" s="267" t="s">
        <v>10519</v>
      </c>
      <c r="E223" s="277" t="s">
        <v>10324</v>
      </c>
      <c r="F223" s="278" t="s">
        <v>6619</v>
      </c>
      <c r="G223" s="279" t="s">
        <v>2512</v>
      </c>
      <c r="H223" s="279" t="s">
        <v>2512</v>
      </c>
      <c r="I223" s="279" t="s">
        <v>2512</v>
      </c>
      <c r="J223" s="278" t="s">
        <v>76</v>
      </c>
      <c r="K223" s="280">
        <v>34.450000000000003</v>
      </c>
      <c r="L223" s="281" t="s">
        <v>173</v>
      </c>
      <c r="M223" s="272" t="s">
        <v>175</v>
      </c>
    </row>
    <row r="224" spans="1:13" ht="15.75" customHeight="1">
      <c r="A224" s="267" t="s">
        <v>6527</v>
      </c>
      <c r="B224" s="251" t="s">
        <v>10520</v>
      </c>
      <c r="C224" s="267" t="s">
        <v>6528</v>
      </c>
      <c r="D224" s="267" t="s">
        <v>10521</v>
      </c>
      <c r="E224" s="277" t="s">
        <v>10324</v>
      </c>
      <c r="F224" s="278" t="s">
        <v>6619</v>
      </c>
      <c r="G224" s="279" t="s">
        <v>2512</v>
      </c>
      <c r="H224" s="279" t="s">
        <v>2512</v>
      </c>
      <c r="I224" s="279" t="s">
        <v>2512</v>
      </c>
      <c r="J224" s="278" t="s">
        <v>76</v>
      </c>
      <c r="K224" s="280">
        <v>31</v>
      </c>
      <c r="L224" s="281" t="s">
        <v>173</v>
      </c>
      <c r="M224" s="272" t="s">
        <v>175</v>
      </c>
    </row>
    <row r="225" spans="1:13" ht="15.75" customHeight="1">
      <c r="A225" s="267" t="s">
        <v>6527</v>
      </c>
      <c r="B225" s="251" t="s">
        <v>10522</v>
      </c>
      <c r="C225" s="267" t="s">
        <v>6528</v>
      </c>
      <c r="D225" s="267" t="s">
        <v>10523</v>
      </c>
      <c r="E225" s="277" t="s">
        <v>10324</v>
      </c>
      <c r="F225" s="278" t="s">
        <v>6619</v>
      </c>
      <c r="G225" s="279" t="s">
        <v>2512</v>
      </c>
      <c r="H225" s="279" t="s">
        <v>2512</v>
      </c>
      <c r="I225" s="279" t="s">
        <v>2512</v>
      </c>
      <c r="J225" s="278" t="s">
        <v>76</v>
      </c>
      <c r="K225" s="280">
        <v>27.9</v>
      </c>
      <c r="L225" s="281" t="s">
        <v>173</v>
      </c>
      <c r="M225" s="272" t="s">
        <v>175</v>
      </c>
    </row>
    <row r="226" spans="1:13" ht="15.75" customHeight="1">
      <c r="A226" s="267" t="s">
        <v>6527</v>
      </c>
      <c r="B226" s="251" t="s">
        <v>10524</v>
      </c>
      <c r="C226" s="267" t="s">
        <v>6528</v>
      </c>
      <c r="D226" s="267" t="s">
        <v>10525</v>
      </c>
      <c r="E226" s="277" t="s">
        <v>10324</v>
      </c>
      <c r="F226" s="278" t="s">
        <v>6619</v>
      </c>
      <c r="G226" s="279" t="s">
        <v>2512</v>
      </c>
      <c r="H226" s="279" t="s">
        <v>2512</v>
      </c>
      <c r="I226" s="279" t="s">
        <v>2512</v>
      </c>
      <c r="J226" s="278" t="s">
        <v>76</v>
      </c>
      <c r="K226" s="280">
        <v>25.11</v>
      </c>
      <c r="L226" s="281" t="s">
        <v>173</v>
      </c>
      <c r="M226" s="272" t="s">
        <v>175</v>
      </c>
    </row>
    <row r="227" spans="1:13" ht="15.75" customHeight="1">
      <c r="A227" s="267" t="s">
        <v>6527</v>
      </c>
      <c r="B227" s="251" t="s">
        <v>10526</v>
      </c>
      <c r="C227" s="267" t="s">
        <v>6528</v>
      </c>
      <c r="D227" s="267" t="s">
        <v>10527</v>
      </c>
      <c r="E227" s="277" t="s">
        <v>10324</v>
      </c>
      <c r="F227" s="278" t="s">
        <v>6619</v>
      </c>
      <c r="G227" s="279" t="s">
        <v>2512</v>
      </c>
      <c r="H227" s="279" t="s">
        <v>2512</v>
      </c>
      <c r="I227" s="279" t="s">
        <v>2512</v>
      </c>
      <c r="J227" s="278" t="s">
        <v>76</v>
      </c>
      <c r="K227" s="280">
        <v>22.6</v>
      </c>
      <c r="L227" s="281" t="s">
        <v>173</v>
      </c>
      <c r="M227" s="272" t="s">
        <v>175</v>
      </c>
    </row>
    <row r="228" spans="1:13" ht="15.75" customHeight="1">
      <c r="A228" s="267" t="s">
        <v>6527</v>
      </c>
      <c r="B228" s="251" t="s">
        <v>10528</v>
      </c>
      <c r="C228" s="267" t="s">
        <v>6528</v>
      </c>
      <c r="D228" s="267" t="s">
        <v>10529</v>
      </c>
      <c r="E228" s="277" t="s">
        <v>10324</v>
      </c>
      <c r="F228" s="278" t="s">
        <v>6619</v>
      </c>
      <c r="G228" s="279" t="s">
        <v>2512</v>
      </c>
      <c r="H228" s="279" t="s">
        <v>2512</v>
      </c>
      <c r="I228" s="279" t="s">
        <v>2512</v>
      </c>
      <c r="J228" s="278" t="s">
        <v>76</v>
      </c>
      <c r="K228" s="280">
        <v>63.79</v>
      </c>
      <c r="L228" s="281" t="s">
        <v>173</v>
      </c>
      <c r="M228" s="272" t="s">
        <v>175</v>
      </c>
    </row>
    <row r="229" spans="1:13" ht="15.75" customHeight="1">
      <c r="A229" s="267" t="s">
        <v>6527</v>
      </c>
      <c r="B229" s="251" t="s">
        <v>10530</v>
      </c>
      <c r="C229" s="267" t="s">
        <v>6528</v>
      </c>
      <c r="D229" s="267" t="s">
        <v>10531</v>
      </c>
      <c r="E229" s="277" t="s">
        <v>10324</v>
      </c>
      <c r="F229" s="278" t="s">
        <v>6619</v>
      </c>
      <c r="G229" s="279" t="s">
        <v>2512</v>
      </c>
      <c r="H229" s="279" t="s">
        <v>2512</v>
      </c>
      <c r="I229" s="279" t="s">
        <v>2512</v>
      </c>
      <c r="J229" s="278" t="s">
        <v>76</v>
      </c>
      <c r="K229" s="280">
        <v>46.69</v>
      </c>
      <c r="L229" s="281" t="s">
        <v>173</v>
      </c>
      <c r="M229" s="272" t="s">
        <v>175</v>
      </c>
    </row>
    <row r="230" spans="1:13" ht="15.75" customHeight="1">
      <c r="A230" s="267" t="s">
        <v>6527</v>
      </c>
      <c r="B230" s="251" t="s">
        <v>10532</v>
      </c>
      <c r="C230" s="267" t="s">
        <v>6528</v>
      </c>
      <c r="D230" s="267" t="s">
        <v>10533</v>
      </c>
      <c r="E230" s="277" t="s">
        <v>10324</v>
      </c>
      <c r="F230" s="278" t="s">
        <v>6619</v>
      </c>
      <c r="G230" s="279" t="s">
        <v>2512</v>
      </c>
      <c r="H230" s="279" t="s">
        <v>2512</v>
      </c>
      <c r="I230" s="279" t="s">
        <v>2512</v>
      </c>
      <c r="J230" s="278" t="s">
        <v>76</v>
      </c>
      <c r="K230" s="280">
        <v>39.68</v>
      </c>
      <c r="L230" s="281" t="s">
        <v>173</v>
      </c>
      <c r="M230" s="272" t="s">
        <v>175</v>
      </c>
    </row>
    <row r="231" spans="1:13" ht="15.75" customHeight="1">
      <c r="A231" s="267" t="s">
        <v>6527</v>
      </c>
      <c r="B231" s="251" t="s">
        <v>10534</v>
      </c>
      <c r="C231" s="267" t="s">
        <v>6528</v>
      </c>
      <c r="D231" s="267" t="s">
        <v>10535</v>
      </c>
      <c r="E231" s="277" t="s">
        <v>10324</v>
      </c>
      <c r="F231" s="278" t="s">
        <v>6619</v>
      </c>
      <c r="G231" s="279" t="s">
        <v>2512</v>
      </c>
      <c r="H231" s="279" t="s">
        <v>2512</v>
      </c>
      <c r="I231" s="279" t="s">
        <v>2512</v>
      </c>
      <c r="J231" s="278" t="s">
        <v>76</v>
      </c>
      <c r="K231" s="280">
        <v>33.729999999999997</v>
      </c>
      <c r="L231" s="281" t="s">
        <v>173</v>
      </c>
      <c r="M231" s="272" t="s">
        <v>175</v>
      </c>
    </row>
    <row r="232" spans="1:13" ht="15.75" customHeight="1">
      <c r="A232" s="267" t="s">
        <v>6527</v>
      </c>
      <c r="B232" s="251" t="s">
        <v>10536</v>
      </c>
      <c r="C232" s="267" t="s">
        <v>6528</v>
      </c>
      <c r="D232" s="267" t="s">
        <v>10537</v>
      </c>
      <c r="E232" s="277" t="s">
        <v>10324</v>
      </c>
      <c r="F232" s="278" t="s">
        <v>6619</v>
      </c>
      <c r="G232" s="279" t="s">
        <v>2512</v>
      </c>
      <c r="H232" s="279" t="s">
        <v>2512</v>
      </c>
      <c r="I232" s="279" t="s">
        <v>2512</v>
      </c>
      <c r="J232" s="278" t="s">
        <v>76</v>
      </c>
      <c r="K232" s="280">
        <v>30.36</v>
      </c>
      <c r="L232" s="281" t="s">
        <v>173</v>
      </c>
      <c r="M232" s="272" t="s">
        <v>175</v>
      </c>
    </row>
    <row r="233" spans="1:13" ht="15.75" customHeight="1">
      <c r="A233" s="267" t="s">
        <v>6527</v>
      </c>
      <c r="B233" s="251" t="s">
        <v>10538</v>
      </c>
      <c r="C233" s="267" t="s">
        <v>6528</v>
      </c>
      <c r="D233" s="267" t="s">
        <v>10539</v>
      </c>
      <c r="E233" s="277" t="s">
        <v>10324</v>
      </c>
      <c r="F233" s="278" t="s">
        <v>6619</v>
      </c>
      <c r="G233" s="279" t="s">
        <v>2512</v>
      </c>
      <c r="H233" s="279" t="s">
        <v>2512</v>
      </c>
      <c r="I233" s="279" t="s">
        <v>2512</v>
      </c>
      <c r="J233" s="278" t="s">
        <v>76</v>
      </c>
      <c r="K233" s="280">
        <v>27.32</v>
      </c>
      <c r="L233" s="281" t="s">
        <v>173</v>
      </c>
      <c r="M233" s="272" t="s">
        <v>175</v>
      </c>
    </row>
    <row r="234" spans="1:13" ht="15.75" customHeight="1">
      <c r="A234" s="267" t="s">
        <v>6527</v>
      </c>
      <c r="B234" s="251" t="s">
        <v>10540</v>
      </c>
      <c r="C234" s="267" t="s">
        <v>6528</v>
      </c>
      <c r="D234" s="267" t="s">
        <v>10541</v>
      </c>
      <c r="E234" s="277" t="s">
        <v>10324</v>
      </c>
      <c r="F234" s="278" t="s">
        <v>6619</v>
      </c>
      <c r="G234" s="279" t="s">
        <v>2512</v>
      </c>
      <c r="H234" s="279" t="s">
        <v>2512</v>
      </c>
      <c r="I234" s="279" t="s">
        <v>2512</v>
      </c>
      <c r="J234" s="278" t="s">
        <v>76</v>
      </c>
      <c r="K234" s="280">
        <v>24.59</v>
      </c>
      <c r="L234" s="281" t="s">
        <v>173</v>
      </c>
      <c r="M234" s="272" t="s">
        <v>175</v>
      </c>
    </row>
    <row r="235" spans="1:13" ht="15.75" customHeight="1">
      <c r="A235" s="267" t="s">
        <v>6527</v>
      </c>
      <c r="B235" s="251" t="s">
        <v>10542</v>
      </c>
      <c r="C235" s="267" t="s">
        <v>6528</v>
      </c>
      <c r="D235" s="267" t="s">
        <v>10543</v>
      </c>
      <c r="E235" s="277" t="s">
        <v>10324</v>
      </c>
      <c r="F235" s="278" t="s">
        <v>6619</v>
      </c>
      <c r="G235" s="279" t="s">
        <v>2512</v>
      </c>
      <c r="H235" s="279" t="s">
        <v>2512</v>
      </c>
      <c r="I235" s="279" t="s">
        <v>2512</v>
      </c>
      <c r="J235" s="278" t="s">
        <v>76</v>
      </c>
      <c r="K235" s="280">
        <v>22.13</v>
      </c>
      <c r="L235" s="281" t="s">
        <v>173</v>
      </c>
      <c r="M235" s="272" t="s">
        <v>175</v>
      </c>
    </row>
    <row r="236" spans="1:13" ht="15.75" customHeight="1">
      <c r="A236" s="267" t="s">
        <v>6527</v>
      </c>
      <c r="B236" s="251" t="s">
        <v>10544</v>
      </c>
      <c r="C236" s="267" t="s">
        <v>6528</v>
      </c>
      <c r="D236" s="267" t="s">
        <v>10545</v>
      </c>
      <c r="E236" s="277" t="s">
        <v>10324</v>
      </c>
      <c r="F236" s="278" t="s">
        <v>6619</v>
      </c>
      <c r="G236" s="279" t="s">
        <v>2512</v>
      </c>
      <c r="H236" s="279" t="s">
        <v>2512</v>
      </c>
      <c r="I236" s="279" t="s">
        <v>2512</v>
      </c>
      <c r="J236" s="278" t="s">
        <v>76</v>
      </c>
      <c r="K236" s="280">
        <v>19.920000000000002</v>
      </c>
      <c r="L236" s="281" t="s">
        <v>173</v>
      </c>
      <c r="M236" s="272" t="s">
        <v>175</v>
      </c>
    </row>
    <row r="237" spans="1:13" ht="15.75" customHeight="1">
      <c r="A237" s="267" t="s">
        <v>6527</v>
      </c>
      <c r="B237" s="251" t="s">
        <v>10546</v>
      </c>
      <c r="C237" s="267" t="s">
        <v>6528</v>
      </c>
      <c r="D237" s="267" t="s">
        <v>10547</v>
      </c>
      <c r="E237" s="277" t="s">
        <v>10324</v>
      </c>
      <c r="F237" s="278" t="s">
        <v>6619</v>
      </c>
      <c r="G237" s="279" t="s">
        <v>2512</v>
      </c>
      <c r="H237" s="279" t="s">
        <v>2512</v>
      </c>
      <c r="I237" s="279" t="s">
        <v>2512</v>
      </c>
      <c r="J237" s="278" t="s">
        <v>76</v>
      </c>
      <c r="K237" s="280">
        <v>116.29</v>
      </c>
      <c r="L237" s="281" t="s">
        <v>173</v>
      </c>
      <c r="M237" s="272" t="s">
        <v>175</v>
      </c>
    </row>
    <row r="238" spans="1:13" ht="15.75" customHeight="1">
      <c r="A238" s="267" t="s">
        <v>6527</v>
      </c>
      <c r="B238" s="251" t="s">
        <v>10548</v>
      </c>
      <c r="C238" s="267" t="s">
        <v>6528</v>
      </c>
      <c r="D238" s="267" t="s">
        <v>10549</v>
      </c>
      <c r="E238" s="277" t="s">
        <v>10324</v>
      </c>
      <c r="F238" s="278" t="s">
        <v>6619</v>
      </c>
      <c r="G238" s="279" t="s">
        <v>2512</v>
      </c>
      <c r="H238" s="279" t="s">
        <v>2512</v>
      </c>
      <c r="I238" s="279" t="s">
        <v>2512</v>
      </c>
      <c r="J238" s="278" t="s">
        <v>76</v>
      </c>
      <c r="K238" s="280">
        <v>93.94</v>
      </c>
      <c r="L238" s="281" t="s">
        <v>173</v>
      </c>
      <c r="M238" s="272" t="s">
        <v>175</v>
      </c>
    </row>
    <row r="239" spans="1:13" ht="15.75" customHeight="1">
      <c r="A239" s="267" t="s">
        <v>6527</v>
      </c>
      <c r="B239" s="251" t="s">
        <v>10550</v>
      </c>
      <c r="C239" s="267" t="s">
        <v>6528</v>
      </c>
      <c r="D239" s="267" t="s">
        <v>10551</v>
      </c>
      <c r="E239" s="277" t="s">
        <v>10324</v>
      </c>
      <c r="F239" s="278" t="s">
        <v>6619</v>
      </c>
      <c r="G239" s="279" t="s">
        <v>2512</v>
      </c>
      <c r="H239" s="279" t="s">
        <v>2512</v>
      </c>
      <c r="I239" s="279" t="s">
        <v>2512</v>
      </c>
      <c r="J239" s="278" t="s">
        <v>76</v>
      </c>
      <c r="K239" s="280">
        <v>82.21</v>
      </c>
      <c r="L239" s="281" t="s">
        <v>173</v>
      </c>
      <c r="M239" s="272" t="s">
        <v>175</v>
      </c>
    </row>
    <row r="240" spans="1:13" ht="15.75" customHeight="1">
      <c r="A240" s="267" t="s">
        <v>6527</v>
      </c>
      <c r="B240" s="251" t="s">
        <v>10552</v>
      </c>
      <c r="C240" s="267" t="s">
        <v>6528</v>
      </c>
      <c r="D240" s="267" t="s">
        <v>10553</v>
      </c>
      <c r="E240" s="277" t="s">
        <v>10324</v>
      </c>
      <c r="F240" s="278" t="s">
        <v>6619</v>
      </c>
      <c r="G240" s="279" t="s">
        <v>2512</v>
      </c>
      <c r="H240" s="279" t="s">
        <v>2512</v>
      </c>
      <c r="I240" s="279" t="s">
        <v>2512</v>
      </c>
      <c r="J240" s="278" t="s">
        <v>76</v>
      </c>
      <c r="K240" s="280">
        <v>72</v>
      </c>
      <c r="L240" s="281" t="s">
        <v>173</v>
      </c>
      <c r="M240" s="272" t="s">
        <v>175</v>
      </c>
    </row>
    <row r="241" spans="1:13" ht="15.75" customHeight="1">
      <c r="A241" s="267" t="s">
        <v>6527</v>
      </c>
      <c r="B241" s="251" t="s">
        <v>10554</v>
      </c>
      <c r="C241" s="267" t="s">
        <v>6528</v>
      </c>
      <c r="D241" s="267" t="s">
        <v>10555</v>
      </c>
      <c r="E241" s="277" t="s">
        <v>10324</v>
      </c>
      <c r="F241" s="278" t="s">
        <v>6619</v>
      </c>
      <c r="G241" s="279" t="s">
        <v>2512</v>
      </c>
      <c r="H241" s="279" t="s">
        <v>2512</v>
      </c>
      <c r="I241" s="279" t="s">
        <v>2512</v>
      </c>
      <c r="J241" s="278" t="s">
        <v>76</v>
      </c>
      <c r="K241" s="280">
        <v>64.8</v>
      </c>
      <c r="L241" s="281" t="s">
        <v>173</v>
      </c>
      <c r="M241" s="272" t="s">
        <v>175</v>
      </c>
    </row>
    <row r="242" spans="1:13" ht="15.75" customHeight="1">
      <c r="A242" s="267" t="s">
        <v>6527</v>
      </c>
      <c r="B242" s="251" t="s">
        <v>10556</v>
      </c>
      <c r="C242" s="267" t="s">
        <v>6528</v>
      </c>
      <c r="D242" s="267" t="s">
        <v>10557</v>
      </c>
      <c r="E242" s="277" t="s">
        <v>10324</v>
      </c>
      <c r="F242" s="278" t="s">
        <v>6619</v>
      </c>
      <c r="G242" s="279" t="s">
        <v>2512</v>
      </c>
      <c r="H242" s="279" t="s">
        <v>2512</v>
      </c>
      <c r="I242" s="279" t="s">
        <v>2512</v>
      </c>
      <c r="J242" s="278" t="s">
        <v>76</v>
      </c>
      <c r="K242" s="280">
        <v>58.32</v>
      </c>
      <c r="L242" s="281" t="s">
        <v>173</v>
      </c>
      <c r="M242" s="272" t="s">
        <v>175</v>
      </c>
    </row>
    <row r="243" spans="1:13" ht="15.75" customHeight="1">
      <c r="A243" s="267" t="s">
        <v>6527</v>
      </c>
      <c r="B243" s="251" t="s">
        <v>10558</v>
      </c>
      <c r="C243" s="267" t="s">
        <v>6528</v>
      </c>
      <c r="D243" s="267" t="s">
        <v>10559</v>
      </c>
      <c r="E243" s="277" t="s">
        <v>10324</v>
      </c>
      <c r="F243" s="278" t="s">
        <v>6619</v>
      </c>
      <c r="G243" s="279" t="s">
        <v>2512</v>
      </c>
      <c r="H243" s="279" t="s">
        <v>2512</v>
      </c>
      <c r="I243" s="279" t="s">
        <v>2512</v>
      </c>
      <c r="J243" s="278" t="s">
        <v>76</v>
      </c>
      <c r="K243" s="280">
        <v>52.49</v>
      </c>
      <c r="L243" s="281" t="s">
        <v>173</v>
      </c>
      <c r="M243" s="272" t="s">
        <v>175</v>
      </c>
    </row>
    <row r="244" spans="1:13" ht="15.75" customHeight="1">
      <c r="A244" s="267" t="s">
        <v>6527</v>
      </c>
      <c r="B244" s="251" t="s">
        <v>10560</v>
      </c>
      <c r="C244" s="267" t="s">
        <v>6528</v>
      </c>
      <c r="D244" s="267" t="s">
        <v>10561</v>
      </c>
      <c r="E244" s="277" t="s">
        <v>10324</v>
      </c>
      <c r="F244" s="278" t="s">
        <v>6619</v>
      </c>
      <c r="G244" s="279" t="s">
        <v>2512</v>
      </c>
      <c r="H244" s="279" t="s">
        <v>2512</v>
      </c>
      <c r="I244" s="279" t="s">
        <v>2512</v>
      </c>
      <c r="J244" s="278" t="s">
        <v>76</v>
      </c>
      <c r="K244" s="280">
        <v>47.24</v>
      </c>
      <c r="L244" s="281" t="s">
        <v>173</v>
      </c>
      <c r="M244" s="272" t="s">
        <v>175</v>
      </c>
    </row>
    <row r="245" spans="1:13" ht="15.75" customHeight="1">
      <c r="A245" s="267" t="s">
        <v>6527</v>
      </c>
      <c r="B245" s="251" t="s">
        <v>10562</v>
      </c>
      <c r="C245" s="267" t="s">
        <v>6528</v>
      </c>
      <c r="D245" s="267" t="s">
        <v>10563</v>
      </c>
      <c r="E245" s="277" t="s">
        <v>10324</v>
      </c>
      <c r="F245" s="278" t="s">
        <v>6619</v>
      </c>
      <c r="G245" s="279" t="s">
        <v>2512</v>
      </c>
      <c r="H245" s="279" t="s">
        <v>2512</v>
      </c>
      <c r="I245" s="279" t="s">
        <v>2512</v>
      </c>
      <c r="J245" s="278" t="s">
        <v>76</v>
      </c>
      <c r="K245" s="280">
        <v>42.52</v>
      </c>
      <c r="L245" s="281" t="s">
        <v>173</v>
      </c>
      <c r="M245" s="272" t="s">
        <v>175</v>
      </c>
    </row>
    <row r="246" spans="1:13" ht="15.75" customHeight="1">
      <c r="A246" s="267" t="s">
        <v>6527</v>
      </c>
      <c r="B246" s="251" t="s">
        <v>10564</v>
      </c>
      <c r="C246" s="267" t="s">
        <v>6528</v>
      </c>
      <c r="D246" s="267" t="s">
        <v>10565</v>
      </c>
      <c r="E246" s="277" t="s">
        <v>10324</v>
      </c>
      <c r="F246" s="278" t="s">
        <v>6619</v>
      </c>
      <c r="G246" s="279" t="s">
        <v>2512</v>
      </c>
      <c r="H246" s="279" t="s">
        <v>2512</v>
      </c>
      <c r="I246" s="279" t="s">
        <v>2512</v>
      </c>
      <c r="J246" s="278" t="s">
        <v>76</v>
      </c>
      <c r="K246" s="280">
        <v>35.44</v>
      </c>
      <c r="L246" s="281" t="s">
        <v>173</v>
      </c>
      <c r="M246" s="272" t="s">
        <v>175</v>
      </c>
    </row>
    <row r="247" spans="1:13" ht="15.75" customHeight="1">
      <c r="A247" s="267" t="s">
        <v>6527</v>
      </c>
      <c r="B247" s="251" t="s">
        <v>10566</v>
      </c>
      <c r="C247" s="267" t="s">
        <v>6528</v>
      </c>
      <c r="D247" s="267" t="s">
        <v>10567</v>
      </c>
      <c r="E247" s="277" t="s">
        <v>10324</v>
      </c>
      <c r="F247" s="278" t="s">
        <v>6619</v>
      </c>
      <c r="G247" s="279" t="s">
        <v>2512</v>
      </c>
      <c r="H247" s="279" t="s">
        <v>2512</v>
      </c>
      <c r="I247" s="279" t="s">
        <v>2512</v>
      </c>
      <c r="J247" s="278" t="s">
        <v>76</v>
      </c>
      <c r="K247" s="280">
        <v>33.67</v>
      </c>
      <c r="L247" s="281" t="s">
        <v>173</v>
      </c>
      <c r="M247" s="272" t="s">
        <v>175</v>
      </c>
    </row>
    <row r="248" spans="1:13" ht="15.75" customHeight="1">
      <c r="A248" s="267" t="s">
        <v>6527</v>
      </c>
      <c r="B248" s="251" t="s">
        <v>10568</v>
      </c>
      <c r="C248" s="267" t="s">
        <v>6528</v>
      </c>
      <c r="D248" s="267" t="s">
        <v>10569</v>
      </c>
      <c r="E248" s="277" t="s">
        <v>10324</v>
      </c>
      <c r="F248" s="278" t="s">
        <v>6619</v>
      </c>
      <c r="G248" s="279" t="s">
        <v>2512</v>
      </c>
      <c r="H248" s="279" t="s">
        <v>2512</v>
      </c>
      <c r="I248" s="279" t="s">
        <v>2512</v>
      </c>
      <c r="J248" s="278" t="s">
        <v>76</v>
      </c>
      <c r="K248" s="280">
        <v>31.98</v>
      </c>
      <c r="L248" s="281" t="s">
        <v>173</v>
      </c>
      <c r="M248" s="272" t="s">
        <v>175</v>
      </c>
    </row>
    <row r="249" spans="1:13" ht="15.75" customHeight="1">
      <c r="A249" s="267" t="s">
        <v>6527</v>
      </c>
      <c r="B249" s="251" t="s">
        <v>10570</v>
      </c>
      <c r="C249" s="267" t="s">
        <v>6528</v>
      </c>
      <c r="D249" s="267" t="s">
        <v>10571</v>
      </c>
      <c r="E249" s="277" t="s">
        <v>10324</v>
      </c>
      <c r="F249" s="278" t="s">
        <v>6619</v>
      </c>
      <c r="G249" s="279" t="s">
        <v>2512</v>
      </c>
      <c r="H249" s="279" t="s">
        <v>2512</v>
      </c>
      <c r="I249" s="279" t="s">
        <v>2512</v>
      </c>
      <c r="J249" s="278" t="s">
        <v>76</v>
      </c>
      <c r="K249" s="280">
        <v>30.38</v>
      </c>
      <c r="L249" s="281" t="s">
        <v>173</v>
      </c>
      <c r="M249" s="272" t="s">
        <v>175</v>
      </c>
    </row>
    <row r="250" spans="1:13" ht="15.75" customHeight="1">
      <c r="A250" s="267" t="s">
        <v>6527</v>
      </c>
      <c r="B250" s="251" t="s">
        <v>10572</v>
      </c>
      <c r="C250" s="267" t="s">
        <v>6528</v>
      </c>
      <c r="D250" s="267" t="s">
        <v>10573</v>
      </c>
      <c r="E250" s="277" t="s">
        <v>10324</v>
      </c>
      <c r="F250" s="278" t="s">
        <v>6619</v>
      </c>
      <c r="G250" s="279" t="s">
        <v>2512</v>
      </c>
      <c r="H250" s="279" t="s">
        <v>2512</v>
      </c>
      <c r="I250" s="279" t="s">
        <v>2512</v>
      </c>
      <c r="J250" s="278" t="s">
        <v>76</v>
      </c>
      <c r="K250" s="280">
        <v>28.86</v>
      </c>
      <c r="L250" s="281" t="s">
        <v>173</v>
      </c>
      <c r="M250" s="272" t="s">
        <v>175</v>
      </c>
    </row>
    <row r="251" spans="1:13" ht="15.75" customHeight="1">
      <c r="A251" s="267" t="s">
        <v>6527</v>
      </c>
      <c r="B251" s="251" t="s">
        <v>10574</v>
      </c>
      <c r="C251" s="267" t="s">
        <v>6528</v>
      </c>
      <c r="D251" s="267" t="s">
        <v>10575</v>
      </c>
      <c r="E251" s="277" t="s">
        <v>10324</v>
      </c>
      <c r="F251" s="278" t="s">
        <v>6619</v>
      </c>
      <c r="G251" s="279" t="s">
        <v>2512</v>
      </c>
      <c r="H251" s="279" t="s">
        <v>2512</v>
      </c>
      <c r="I251" s="279" t="s">
        <v>2512</v>
      </c>
      <c r="J251" s="278" t="s">
        <v>76</v>
      </c>
      <c r="K251" s="280">
        <v>24.53</v>
      </c>
      <c r="L251" s="281" t="s">
        <v>173</v>
      </c>
      <c r="M251" s="272" t="s">
        <v>175</v>
      </c>
    </row>
    <row r="252" spans="1:13" ht="15.75" customHeight="1">
      <c r="A252" s="267" t="s">
        <v>6527</v>
      </c>
      <c r="B252" s="251" t="s">
        <v>10576</v>
      </c>
      <c r="C252" s="267" t="s">
        <v>6528</v>
      </c>
      <c r="D252" s="267" t="s">
        <v>10577</v>
      </c>
      <c r="E252" s="277" t="s">
        <v>10324</v>
      </c>
      <c r="F252" s="278" t="s">
        <v>6619</v>
      </c>
      <c r="G252" s="279" t="s">
        <v>2512</v>
      </c>
      <c r="H252" s="279" t="s">
        <v>2512</v>
      </c>
      <c r="I252" s="279" t="s">
        <v>2512</v>
      </c>
      <c r="J252" s="278" t="s">
        <v>76</v>
      </c>
      <c r="K252" s="280">
        <v>20.85</v>
      </c>
      <c r="L252" s="281" t="s">
        <v>173</v>
      </c>
      <c r="M252" s="272" t="s">
        <v>175</v>
      </c>
    </row>
    <row r="253" spans="1:13" ht="15.75" customHeight="1">
      <c r="A253" s="267" t="s">
        <v>6527</v>
      </c>
      <c r="B253" s="251" t="s">
        <v>10578</v>
      </c>
      <c r="C253" s="267" t="s">
        <v>6528</v>
      </c>
      <c r="D253" s="267" t="s">
        <v>10579</v>
      </c>
      <c r="E253" s="277" t="s">
        <v>10324</v>
      </c>
      <c r="F253" s="278" t="s">
        <v>6619</v>
      </c>
      <c r="G253" s="279" t="s">
        <v>2512</v>
      </c>
      <c r="H253" s="279" t="s">
        <v>2512</v>
      </c>
      <c r="I253" s="279" t="s">
        <v>2512</v>
      </c>
      <c r="J253" s="278" t="s">
        <v>76</v>
      </c>
      <c r="K253" s="280">
        <v>17.73</v>
      </c>
      <c r="L253" s="281" t="s">
        <v>173</v>
      </c>
      <c r="M253" s="272" t="s">
        <v>175</v>
      </c>
    </row>
    <row r="254" spans="1:13" ht="15.75" customHeight="1">
      <c r="A254" s="267" t="s">
        <v>6527</v>
      </c>
      <c r="B254" s="251" t="s">
        <v>10580</v>
      </c>
      <c r="C254" s="267" t="s">
        <v>6528</v>
      </c>
      <c r="D254" s="267" t="s">
        <v>10581</v>
      </c>
      <c r="E254" s="277" t="s">
        <v>10324</v>
      </c>
      <c r="F254" s="278" t="s">
        <v>6619</v>
      </c>
      <c r="G254" s="279" t="s">
        <v>2512</v>
      </c>
      <c r="H254" s="279" t="s">
        <v>2512</v>
      </c>
      <c r="I254" s="279" t="s">
        <v>2512</v>
      </c>
      <c r="J254" s="278" t="s">
        <v>76</v>
      </c>
      <c r="K254" s="280">
        <v>15.07</v>
      </c>
      <c r="L254" s="281" t="s">
        <v>173</v>
      </c>
      <c r="M254" s="272" t="s">
        <v>175</v>
      </c>
    </row>
    <row r="255" spans="1:13" ht="15.75" customHeight="1">
      <c r="A255" s="267" t="s">
        <v>6527</v>
      </c>
      <c r="B255" s="251" t="s">
        <v>10582</v>
      </c>
      <c r="C255" s="267" t="s">
        <v>6528</v>
      </c>
      <c r="D255" s="267" t="s">
        <v>10583</v>
      </c>
      <c r="E255" s="277" t="s">
        <v>10324</v>
      </c>
      <c r="F255" s="278" t="s">
        <v>6619</v>
      </c>
      <c r="G255" s="279" t="s">
        <v>2512</v>
      </c>
      <c r="H255" s="279" t="s">
        <v>2512</v>
      </c>
      <c r="I255" s="279" t="s">
        <v>2512</v>
      </c>
      <c r="J255" s="278" t="s">
        <v>76</v>
      </c>
      <c r="K255" s="280">
        <v>47.25</v>
      </c>
      <c r="L255" s="281" t="s">
        <v>173</v>
      </c>
      <c r="M255" s="272" t="s">
        <v>175</v>
      </c>
    </row>
    <row r="256" spans="1:13" ht="15.75" customHeight="1">
      <c r="A256" s="267" t="s">
        <v>6527</v>
      </c>
      <c r="B256" s="251" t="s">
        <v>10584</v>
      </c>
      <c r="C256" s="267" t="s">
        <v>6528</v>
      </c>
      <c r="D256" s="267" t="s">
        <v>10585</v>
      </c>
      <c r="E256" s="277" t="s">
        <v>10324</v>
      </c>
      <c r="F256" s="278" t="s">
        <v>6619</v>
      </c>
      <c r="G256" s="279" t="s">
        <v>2512</v>
      </c>
      <c r="H256" s="279" t="s">
        <v>2512</v>
      </c>
      <c r="I256" s="279" t="s">
        <v>2512</v>
      </c>
      <c r="J256" s="278" t="s">
        <v>76</v>
      </c>
      <c r="K256" s="280">
        <v>44.89</v>
      </c>
      <c r="L256" s="281" t="s">
        <v>173</v>
      </c>
      <c r="M256" s="272" t="s">
        <v>175</v>
      </c>
    </row>
    <row r="257" spans="1:13" ht="15.75" customHeight="1">
      <c r="A257" s="267" t="s">
        <v>6527</v>
      </c>
      <c r="B257" s="251" t="s">
        <v>10586</v>
      </c>
      <c r="C257" s="267" t="s">
        <v>6528</v>
      </c>
      <c r="D257" s="267" t="s">
        <v>10587</v>
      </c>
      <c r="E257" s="277" t="s">
        <v>10324</v>
      </c>
      <c r="F257" s="278" t="s">
        <v>6619</v>
      </c>
      <c r="G257" s="279" t="s">
        <v>2512</v>
      </c>
      <c r="H257" s="279" t="s">
        <v>2512</v>
      </c>
      <c r="I257" s="279" t="s">
        <v>2512</v>
      </c>
      <c r="J257" s="278" t="s">
        <v>76</v>
      </c>
      <c r="K257" s="280">
        <v>42.65</v>
      </c>
      <c r="L257" s="281" t="s">
        <v>173</v>
      </c>
      <c r="M257" s="272" t="s">
        <v>175</v>
      </c>
    </row>
    <row r="258" spans="1:13" ht="15.75" customHeight="1">
      <c r="A258" s="267" t="s">
        <v>6527</v>
      </c>
      <c r="B258" s="251" t="s">
        <v>10588</v>
      </c>
      <c r="C258" s="267" t="s">
        <v>6528</v>
      </c>
      <c r="D258" s="267" t="s">
        <v>10589</v>
      </c>
      <c r="E258" s="277" t="s">
        <v>10324</v>
      </c>
      <c r="F258" s="278" t="s">
        <v>6619</v>
      </c>
      <c r="G258" s="279" t="s">
        <v>2512</v>
      </c>
      <c r="H258" s="279" t="s">
        <v>2512</v>
      </c>
      <c r="I258" s="279" t="s">
        <v>2512</v>
      </c>
      <c r="J258" s="278" t="s">
        <v>76</v>
      </c>
      <c r="K258" s="280">
        <v>40.51</v>
      </c>
      <c r="L258" s="281" t="s">
        <v>173</v>
      </c>
      <c r="M258" s="272" t="s">
        <v>175</v>
      </c>
    </row>
    <row r="259" spans="1:13" ht="15.75" customHeight="1">
      <c r="A259" s="267" t="s">
        <v>6527</v>
      </c>
      <c r="B259" s="251" t="s">
        <v>10590</v>
      </c>
      <c r="C259" s="267" t="s">
        <v>6528</v>
      </c>
      <c r="D259" s="267" t="s">
        <v>10591</v>
      </c>
      <c r="E259" s="277" t="s">
        <v>10324</v>
      </c>
      <c r="F259" s="278" t="s">
        <v>6619</v>
      </c>
      <c r="G259" s="279" t="s">
        <v>2512</v>
      </c>
      <c r="H259" s="279" t="s">
        <v>2512</v>
      </c>
      <c r="I259" s="279" t="s">
        <v>2512</v>
      </c>
      <c r="J259" s="278" t="s">
        <v>76</v>
      </c>
      <c r="K259" s="280">
        <v>38.479999999999997</v>
      </c>
      <c r="L259" s="281" t="s">
        <v>173</v>
      </c>
      <c r="M259" s="272" t="s">
        <v>175</v>
      </c>
    </row>
    <row r="260" spans="1:13" ht="15.75" customHeight="1">
      <c r="A260" s="267" t="s">
        <v>6527</v>
      </c>
      <c r="B260" s="251" t="s">
        <v>10592</v>
      </c>
      <c r="C260" s="267" t="s">
        <v>6528</v>
      </c>
      <c r="D260" s="267" t="s">
        <v>10593</v>
      </c>
      <c r="E260" s="277" t="s">
        <v>10324</v>
      </c>
      <c r="F260" s="278" t="s">
        <v>6619</v>
      </c>
      <c r="G260" s="279" t="s">
        <v>2512</v>
      </c>
      <c r="H260" s="279" t="s">
        <v>2512</v>
      </c>
      <c r="I260" s="279" t="s">
        <v>2512</v>
      </c>
      <c r="J260" s="278" t="s">
        <v>76</v>
      </c>
      <c r="K260" s="280">
        <v>34.630000000000003</v>
      </c>
      <c r="L260" s="281" t="s">
        <v>173</v>
      </c>
      <c r="M260" s="272" t="s">
        <v>175</v>
      </c>
    </row>
    <row r="261" spans="1:13" ht="15.75" customHeight="1">
      <c r="A261" s="267" t="s">
        <v>6527</v>
      </c>
      <c r="B261" s="251" t="s">
        <v>10594</v>
      </c>
      <c r="C261" s="267" t="s">
        <v>6528</v>
      </c>
      <c r="D261" s="267" t="s">
        <v>10595</v>
      </c>
      <c r="E261" s="277" t="s">
        <v>10324</v>
      </c>
      <c r="F261" s="278" t="s">
        <v>6619</v>
      </c>
      <c r="G261" s="279" t="s">
        <v>2512</v>
      </c>
      <c r="H261" s="279" t="s">
        <v>2512</v>
      </c>
      <c r="I261" s="279" t="s">
        <v>2512</v>
      </c>
      <c r="J261" s="278" t="s">
        <v>76</v>
      </c>
      <c r="K261" s="280">
        <v>31.18</v>
      </c>
      <c r="L261" s="281" t="s">
        <v>173</v>
      </c>
      <c r="M261" s="272" t="s">
        <v>175</v>
      </c>
    </row>
    <row r="262" spans="1:13" ht="15.75" customHeight="1">
      <c r="A262" s="267" t="s">
        <v>6527</v>
      </c>
      <c r="B262" s="251" t="s">
        <v>10596</v>
      </c>
      <c r="C262" s="267" t="s">
        <v>6528</v>
      </c>
      <c r="D262" s="267" t="s">
        <v>10597</v>
      </c>
      <c r="E262" s="277" t="s">
        <v>10324</v>
      </c>
      <c r="F262" s="278" t="s">
        <v>6619</v>
      </c>
      <c r="G262" s="279" t="s">
        <v>2512</v>
      </c>
      <c r="H262" s="279" t="s">
        <v>2512</v>
      </c>
      <c r="I262" s="279" t="s">
        <v>2512</v>
      </c>
      <c r="J262" s="278" t="s">
        <v>76</v>
      </c>
      <c r="K262" s="280">
        <v>28.06</v>
      </c>
      <c r="L262" s="281" t="s">
        <v>173</v>
      </c>
      <c r="M262" s="272" t="s">
        <v>175</v>
      </c>
    </row>
    <row r="263" spans="1:13" ht="15.75" customHeight="1">
      <c r="A263" s="267" t="s">
        <v>6527</v>
      </c>
      <c r="B263" s="251" t="s">
        <v>10598</v>
      </c>
      <c r="C263" s="267" t="s">
        <v>6528</v>
      </c>
      <c r="D263" s="267" t="s">
        <v>10599</v>
      </c>
      <c r="E263" s="277" t="s">
        <v>10324</v>
      </c>
      <c r="F263" s="278" t="s">
        <v>6619</v>
      </c>
      <c r="G263" s="279" t="s">
        <v>2512</v>
      </c>
      <c r="H263" s="279" t="s">
        <v>2512</v>
      </c>
      <c r="I263" s="279" t="s">
        <v>2512</v>
      </c>
      <c r="J263" s="278" t="s">
        <v>76</v>
      </c>
      <c r="K263" s="280">
        <v>25.24</v>
      </c>
      <c r="L263" s="281" t="s">
        <v>173</v>
      </c>
      <c r="M263" s="272" t="s">
        <v>175</v>
      </c>
    </row>
    <row r="264" spans="1:13" ht="15.75" customHeight="1">
      <c r="A264" s="267" t="s">
        <v>6527</v>
      </c>
      <c r="B264" s="251" t="s">
        <v>10600</v>
      </c>
      <c r="C264" s="267" t="s">
        <v>6528</v>
      </c>
      <c r="D264" s="267" t="s">
        <v>10601</v>
      </c>
      <c r="E264" s="277" t="s">
        <v>10324</v>
      </c>
      <c r="F264" s="278" t="s">
        <v>6619</v>
      </c>
      <c r="G264" s="279" t="s">
        <v>2512</v>
      </c>
      <c r="H264" s="279" t="s">
        <v>2512</v>
      </c>
      <c r="I264" s="279" t="s">
        <v>2512</v>
      </c>
      <c r="J264" s="278" t="s">
        <v>76</v>
      </c>
      <c r="K264" s="280">
        <v>236.25</v>
      </c>
      <c r="L264" s="281" t="s">
        <v>173</v>
      </c>
      <c r="M264" s="272" t="s">
        <v>175</v>
      </c>
    </row>
    <row r="265" spans="1:13" ht="15.75" customHeight="1">
      <c r="A265" s="267" t="s">
        <v>6527</v>
      </c>
      <c r="B265" s="251" t="s">
        <v>10602</v>
      </c>
      <c r="C265" s="267" t="s">
        <v>6528</v>
      </c>
      <c r="D265" s="267" t="s">
        <v>10603</v>
      </c>
      <c r="E265" s="277" t="s">
        <v>10324</v>
      </c>
      <c r="F265" s="278" t="s">
        <v>6619</v>
      </c>
      <c r="G265" s="279" t="s">
        <v>2512</v>
      </c>
      <c r="H265" s="279" t="s">
        <v>2512</v>
      </c>
      <c r="I265" s="279" t="s">
        <v>2512</v>
      </c>
      <c r="J265" s="278" t="s">
        <v>76</v>
      </c>
      <c r="K265" s="280">
        <v>224.44</v>
      </c>
      <c r="L265" s="281" t="s">
        <v>173</v>
      </c>
      <c r="M265" s="272" t="s">
        <v>175</v>
      </c>
    </row>
    <row r="266" spans="1:13" ht="15.75" customHeight="1">
      <c r="A266" s="267" t="s">
        <v>6527</v>
      </c>
      <c r="B266" s="251" t="s">
        <v>10604</v>
      </c>
      <c r="C266" s="267" t="s">
        <v>6528</v>
      </c>
      <c r="D266" s="267" t="s">
        <v>10605</v>
      </c>
      <c r="E266" s="277" t="s">
        <v>10324</v>
      </c>
      <c r="F266" s="278" t="s">
        <v>6619</v>
      </c>
      <c r="G266" s="279" t="s">
        <v>2512</v>
      </c>
      <c r="H266" s="279" t="s">
        <v>2512</v>
      </c>
      <c r="I266" s="279" t="s">
        <v>2512</v>
      </c>
      <c r="J266" s="278" t="s">
        <v>76</v>
      </c>
      <c r="K266" s="280">
        <v>213.22</v>
      </c>
      <c r="L266" s="281" t="s">
        <v>173</v>
      </c>
      <c r="M266" s="272" t="s">
        <v>175</v>
      </c>
    </row>
    <row r="267" spans="1:13" ht="15.75" customHeight="1">
      <c r="A267" s="267" t="s">
        <v>6527</v>
      </c>
      <c r="B267" s="251" t="s">
        <v>10606</v>
      </c>
      <c r="C267" s="267" t="s">
        <v>6528</v>
      </c>
      <c r="D267" s="267" t="s">
        <v>10607</v>
      </c>
      <c r="E267" s="277" t="s">
        <v>10324</v>
      </c>
      <c r="F267" s="278" t="s">
        <v>6619</v>
      </c>
      <c r="G267" s="279" t="s">
        <v>2512</v>
      </c>
      <c r="H267" s="279" t="s">
        <v>2512</v>
      </c>
      <c r="I267" s="279" t="s">
        <v>2512</v>
      </c>
      <c r="J267" s="278" t="s">
        <v>76</v>
      </c>
      <c r="K267" s="280">
        <v>202.55</v>
      </c>
      <c r="L267" s="281" t="s">
        <v>173</v>
      </c>
      <c r="M267" s="272" t="s">
        <v>175</v>
      </c>
    </row>
    <row r="268" spans="1:13" ht="15.75" customHeight="1">
      <c r="A268" s="267" t="s">
        <v>6527</v>
      </c>
      <c r="B268" s="251" t="s">
        <v>10608</v>
      </c>
      <c r="C268" s="267" t="s">
        <v>6528</v>
      </c>
      <c r="D268" s="267" t="s">
        <v>10609</v>
      </c>
      <c r="E268" s="277" t="s">
        <v>10324</v>
      </c>
      <c r="F268" s="278" t="s">
        <v>6619</v>
      </c>
      <c r="G268" s="279" t="s">
        <v>2512</v>
      </c>
      <c r="H268" s="279" t="s">
        <v>2512</v>
      </c>
      <c r="I268" s="279" t="s">
        <v>2512</v>
      </c>
      <c r="J268" s="278" t="s">
        <v>76</v>
      </c>
      <c r="K268" s="280">
        <v>192.43</v>
      </c>
      <c r="L268" s="281" t="s">
        <v>173</v>
      </c>
      <c r="M268" s="272" t="s">
        <v>175</v>
      </c>
    </row>
    <row r="269" spans="1:13" ht="15.75" customHeight="1">
      <c r="A269" s="267" t="s">
        <v>6527</v>
      </c>
      <c r="B269" s="251" t="s">
        <v>10610</v>
      </c>
      <c r="C269" s="267" t="s">
        <v>6528</v>
      </c>
      <c r="D269" s="267" t="s">
        <v>10611</v>
      </c>
      <c r="E269" s="277" t="s">
        <v>10324</v>
      </c>
      <c r="F269" s="278" t="s">
        <v>6619</v>
      </c>
      <c r="G269" s="279" t="s">
        <v>2512</v>
      </c>
      <c r="H269" s="279" t="s">
        <v>2512</v>
      </c>
      <c r="I269" s="279" t="s">
        <v>2512</v>
      </c>
      <c r="J269" s="278" t="s">
        <v>76</v>
      </c>
      <c r="K269" s="280">
        <v>180.88</v>
      </c>
      <c r="L269" s="281" t="s">
        <v>173</v>
      </c>
      <c r="M269" s="272" t="s">
        <v>175</v>
      </c>
    </row>
    <row r="270" spans="1:13" ht="15.75" customHeight="1">
      <c r="A270" s="267" t="s">
        <v>6527</v>
      </c>
      <c r="B270" s="251" t="s">
        <v>10612</v>
      </c>
      <c r="C270" s="267" t="s">
        <v>6528</v>
      </c>
      <c r="D270" s="267" t="s">
        <v>10613</v>
      </c>
      <c r="E270" s="277" t="s">
        <v>10324</v>
      </c>
      <c r="F270" s="278" t="s">
        <v>6619</v>
      </c>
      <c r="G270" s="279" t="s">
        <v>2512</v>
      </c>
      <c r="H270" s="279" t="s">
        <v>2512</v>
      </c>
      <c r="I270" s="279" t="s">
        <v>2512</v>
      </c>
      <c r="J270" s="278" t="s">
        <v>76</v>
      </c>
      <c r="K270" s="280">
        <v>170.03</v>
      </c>
      <c r="L270" s="281" t="s">
        <v>173</v>
      </c>
      <c r="M270" s="272" t="s">
        <v>175</v>
      </c>
    </row>
    <row r="271" spans="1:13" ht="15.75" customHeight="1">
      <c r="A271" s="267" t="s">
        <v>6527</v>
      </c>
      <c r="B271" s="251" t="s">
        <v>10614</v>
      </c>
      <c r="C271" s="267" t="s">
        <v>6528</v>
      </c>
      <c r="D271" s="267" t="s">
        <v>10615</v>
      </c>
      <c r="E271" s="277" t="s">
        <v>10324</v>
      </c>
      <c r="F271" s="278" t="s">
        <v>6619</v>
      </c>
      <c r="G271" s="279" t="s">
        <v>2512</v>
      </c>
      <c r="H271" s="279" t="s">
        <v>2512</v>
      </c>
      <c r="I271" s="279" t="s">
        <v>2512</v>
      </c>
      <c r="J271" s="278" t="s">
        <v>76</v>
      </c>
      <c r="K271" s="280">
        <v>159.82</v>
      </c>
      <c r="L271" s="281" t="s">
        <v>173</v>
      </c>
      <c r="M271" s="272" t="s">
        <v>175</v>
      </c>
    </row>
    <row r="272" spans="1:13" ht="15.75" customHeight="1">
      <c r="A272" s="267" t="s">
        <v>6527</v>
      </c>
      <c r="B272" s="251" t="s">
        <v>10616</v>
      </c>
      <c r="C272" s="267" t="s">
        <v>6528</v>
      </c>
      <c r="D272" s="267" t="s">
        <v>10617</v>
      </c>
      <c r="E272" s="277" t="s">
        <v>10324</v>
      </c>
      <c r="F272" s="278" t="s">
        <v>6619</v>
      </c>
      <c r="G272" s="279" t="s">
        <v>2512</v>
      </c>
      <c r="H272" s="279" t="s">
        <v>2512</v>
      </c>
      <c r="I272" s="279" t="s">
        <v>2512</v>
      </c>
      <c r="J272" s="278" t="s">
        <v>76</v>
      </c>
      <c r="K272" s="280">
        <v>150.24</v>
      </c>
      <c r="L272" s="281" t="s">
        <v>173</v>
      </c>
      <c r="M272" s="272" t="s">
        <v>175</v>
      </c>
    </row>
    <row r="273" spans="1:13" ht="15.75" customHeight="1">
      <c r="A273" s="267" t="s">
        <v>6527</v>
      </c>
      <c r="B273" s="251" t="s">
        <v>10618</v>
      </c>
      <c r="C273" s="267" t="s">
        <v>6528</v>
      </c>
      <c r="D273" s="267" t="s">
        <v>10619</v>
      </c>
      <c r="E273" s="277" t="s">
        <v>10620</v>
      </c>
      <c r="F273" s="278" t="s">
        <v>6619</v>
      </c>
      <c r="G273" s="279" t="s">
        <v>2512</v>
      </c>
      <c r="H273" s="279" t="s">
        <v>2512</v>
      </c>
      <c r="I273" s="279" t="s">
        <v>2512</v>
      </c>
      <c r="J273" s="278" t="s">
        <v>76</v>
      </c>
      <c r="K273" s="280">
        <v>3780</v>
      </c>
      <c r="L273" s="281" t="s">
        <v>173</v>
      </c>
      <c r="M273" s="272" t="s">
        <v>175</v>
      </c>
    </row>
    <row r="274" spans="1:13" ht="15.75" customHeight="1">
      <c r="A274" s="267" t="s">
        <v>6527</v>
      </c>
      <c r="B274" s="251" t="s">
        <v>10621</v>
      </c>
      <c r="C274" s="267" t="s">
        <v>6528</v>
      </c>
      <c r="D274" s="267" t="s">
        <v>10622</v>
      </c>
      <c r="E274" s="277" t="s">
        <v>10324</v>
      </c>
      <c r="F274" s="278" t="s">
        <v>6619</v>
      </c>
      <c r="G274" s="279" t="s">
        <v>2512</v>
      </c>
      <c r="H274" s="279" t="s">
        <v>2512</v>
      </c>
      <c r="I274" s="279" t="s">
        <v>2512</v>
      </c>
      <c r="J274" s="278" t="s">
        <v>76</v>
      </c>
      <c r="K274" s="280">
        <v>6.04</v>
      </c>
      <c r="L274" s="281" t="s">
        <v>173</v>
      </c>
      <c r="M274" s="272" t="s">
        <v>175</v>
      </c>
    </row>
    <row r="275" spans="1:13" ht="15.75" customHeight="1">
      <c r="A275" s="267" t="s">
        <v>6527</v>
      </c>
      <c r="B275" s="251" t="s">
        <v>10623</v>
      </c>
      <c r="C275" s="267" t="s">
        <v>6528</v>
      </c>
      <c r="D275" s="267" t="s">
        <v>10624</v>
      </c>
      <c r="E275" s="277" t="s">
        <v>10324</v>
      </c>
      <c r="F275" s="278" t="s">
        <v>6619</v>
      </c>
      <c r="G275" s="279" t="s">
        <v>2512</v>
      </c>
      <c r="H275" s="279" t="s">
        <v>2512</v>
      </c>
      <c r="I275" s="279" t="s">
        <v>2512</v>
      </c>
      <c r="J275" s="278" t="s">
        <v>76</v>
      </c>
      <c r="K275" s="280">
        <v>5.72</v>
      </c>
      <c r="L275" s="281" t="s">
        <v>173</v>
      </c>
      <c r="M275" s="272" t="s">
        <v>175</v>
      </c>
    </row>
    <row r="276" spans="1:13" ht="15.75" customHeight="1">
      <c r="A276" s="267" t="s">
        <v>6527</v>
      </c>
      <c r="B276" s="251" t="s">
        <v>10625</v>
      </c>
      <c r="C276" s="267" t="s">
        <v>6528</v>
      </c>
      <c r="D276" s="267" t="s">
        <v>10626</v>
      </c>
      <c r="E276" s="277" t="s">
        <v>10324</v>
      </c>
      <c r="F276" s="278" t="s">
        <v>6619</v>
      </c>
      <c r="G276" s="279" t="s">
        <v>2512</v>
      </c>
      <c r="H276" s="279" t="s">
        <v>2512</v>
      </c>
      <c r="I276" s="279" t="s">
        <v>2512</v>
      </c>
      <c r="J276" s="278" t="s">
        <v>76</v>
      </c>
      <c r="K276" s="280">
        <v>5.34</v>
      </c>
      <c r="L276" s="281" t="s">
        <v>173</v>
      </c>
      <c r="M276" s="272" t="s">
        <v>175</v>
      </c>
    </row>
    <row r="277" spans="1:13" ht="15.75" customHeight="1">
      <c r="A277" s="267" t="s">
        <v>6527</v>
      </c>
      <c r="B277" s="251" t="s">
        <v>10627</v>
      </c>
      <c r="C277" s="267" t="s">
        <v>6528</v>
      </c>
      <c r="D277" s="267" t="s">
        <v>10628</v>
      </c>
      <c r="E277" s="277" t="s">
        <v>10324</v>
      </c>
      <c r="F277" s="278" t="s">
        <v>6619</v>
      </c>
      <c r="G277" s="279" t="s">
        <v>2512</v>
      </c>
      <c r="H277" s="279" t="s">
        <v>2512</v>
      </c>
      <c r="I277" s="279" t="s">
        <v>2512</v>
      </c>
      <c r="J277" s="278" t="s">
        <v>76</v>
      </c>
      <c r="K277" s="280">
        <v>4.49</v>
      </c>
      <c r="L277" s="281" t="s">
        <v>173</v>
      </c>
      <c r="M277" s="272" t="s">
        <v>175</v>
      </c>
    </row>
    <row r="278" spans="1:13" ht="15.75" customHeight="1">
      <c r="A278" s="267" t="s">
        <v>6527</v>
      </c>
      <c r="B278" s="251" t="s">
        <v>10629</v>
      </c>
      <c r="C278" s="267" t="s">
        <v>6528</v>
      </c>
      <c r="D278" s="267" t="s">
        <v>10630</v>
      </c>
      <c r="E278" s="277" t="s">
        <v>10324</v>
      </c>
      <c r="F278" s="278" t="s">
        <v>6619</v>
      </c>
      <c r="G278" s="279" t="s">
        <v>2512</v>
      </c>
      <c r="H278" s="279" t="s">
        <v>2512</v>
      </c>
      <c r="I278" s="279" t="s">
        <v>2512</v>
      </c>
      <c r="J278" s="278" t="s">
        <v>76</v>
      </c>
      <c r="K278" s="280">
        <v>3.95</v>
      </c>
      <c r="L278" s="281" t="s">
        <v>173</v>
      </c>
      <c r="M278" s="272" t="s">
        <v>175</v>
      </c>
    </row>
    <row r="279" spans="1:13" ht="15.75" customHeight="1">
      <c r="A279" s="267" t="s">
        <v>6527</v>
      </c>
      <c r="B279" s="251" t="s">
        <v>10631</v>
      </c>
      <c r="C279" s="267" t="s">
        <v>6528</v>
      </c>
      <c r="D279" s="267" t="s">
        <v>10632</v>
      </c>
      <c r="E279" s="277" t="s">
        <v>10324</v>
      </c>
      <c r="F279" s="278" t="s">
        <v>6619</v>
      </c>
      <c r="G279" s="279" t="s">
        <v>2512</v>
      </c>
      <c r="H279" s="279" t="s">
        <v>2512</v>
      </c>
      <c r="I279" s="279" t="s">
        <v>2512</v>
      </c>
      <c r="J279" s="278" t="s">
        <v>76</v>
      </c>
      <c r="K279" s="280">
        <v>3.58</v>
      </c>
      <c r="L279" s="281" t="s">
        <v>173</v>
      </c>
      <c r="M279" s="272" t="s">
        <v>175</v>
      </c>
    </row>
    <row r="280" spans="1:13" ht="15.75" customHeight="1">
      <c r="A280" s="267" t="s">
        <v>6527</v>
      </c>
      <c r="B280" s="251" t="s">
        <v>10633</v>
      </c>
      <c r="C280" s="267" t="s">
        <v>6528</v>
      </c>
      <c r="D280" s="267" t="s">
        <v>10634</v>
      </c>
      <c r="E280" s="277" t="s">
        <v>10324</v>
      </c>
      <c r="F280" s="278" t="s">
        <v>6619</v>
      </c>
      <c r="G280" s="279" t="s">
        <v>2512</v>
      </c>
      <c r="H280" s="279" t="s">
        <v>2512</v>
      </c>
      <c r="I280" s="279" t="s">
        <v>2512</v>
      </c>
      <c r="J280" s="278" t="s">
        <v>76</v>
      </c>
      <c r="K280" s="280">
        <v>3.08</v>
      </c>
      <c r="L280" s="281" t="s">
        <v>173</v>
      </c>
      <c r="M280" s="272" t="s">
        <v>175</v>
      </c>
    </row>
    <row r="281" spans="1:13" ht="15.75" customHeight="1">
      <c r="A281" s="267" t="s">
        <v>6527</v>
      </c>
      <c r="B281" s="251" t="s">
        <v>10635</v>
      </c>
      <c r="C281" s="267" t="s">
        <v>6528</v>
      </c>
      <c r="D281" s="267" t="s">
        <v>10636</v>
      </c>
      <c r="E281" s="277" t="s">
        <v>10324</v>
      </c>
      <c r="F281" s="278" t="s">
        <v>6619</v>
      </c>
      <c r="G281" s="279" t="s">
        <v>2512</v>
      </c>
      <c r="H281" s="279" t="s">
        <v>2512</v>
      </c>
      <c r="I281" s="279" t="s">
        <v>2512</v>
      </c>
      <c r="J281" s="278" t="s">
        <v>76</v>
      </c>
      <c r="K281" s="280">
        <v>2.79</v>
      </c>
      <c r="L281" s="281" t="s">
        <v>173</v>
      </c>
      <c r="M281" s="272" t="s">
        <v>175</v>
      </c>
    </row>
    <row r="282" spans="1:13" ht="15.75" customHeight="1">
      <c r="A282" s="267" t="s">
        <v>6527</v>
      </c>
      <c r="B282" s="251" t="s">
        <v>10637</v>
      </c>
      <c r="C282" s="267" t="s">
        <v>6528</v>
      </c>
      <c r="D282" s="267" t="s">
        <v>10638</v>
      </c>
      <c r="E282" s="277" t="s">
        <v>10324</v>
      </c>
      <c r="F282" s="278" t="s">
        <v>6619</v>
      </c>
      <c r="G282" s="279" t="s">
        <v>2512</v>
      </c>
      <c r="H282" s="279" t="s">
        <v>2512</v>
      </c>
      <c r="I282" s="279" t="s">
        <v>2512</v>
      </c>
      <c r="J282" s="278" t="s">
        <v>76</v>
      </c>
      <c r="K282" s="280">
        <v>2.79</v>
      </c>
      <c r="L282" s="281" t="s">
        <v>173</v>
      </c>
      <c r="M282" s="272" t="s">
        <v>175</v>
      </c>
    </row>
    <row r="283" spans="1:13" ht="15.75" customHeight="1">
      <c r="A283" s="267" t="s">
        <v>6527</v>
      </c>
      <c r="B283" s="251" t="s">
        <v>10639</v>
      </c>
      <c r="C283" s="267" t="s">
        <v>6528</v>
      </c>
      <c r="D283" s="267" t="s">
        <v>10640</v>
      </c>
      <c r="E283" s="277" t="s">
        <v>10324</v>
      </c>
      <c r="F283" s="278" t="s">
        <v>6619</v>
      </c>
      <c r="G283" s="279" t="s">
        <v>2512</v>
      </c>
      <c r="H283" s="279" t="s">
        <v>2512</v>
      </c>
      <c r="I283" s="279" t="s">
        <v>2512</v>
      </c>
      <c r="J283" s="278" t="s">
        <v>76</v>
      </c>
      <c r="K283" s="280">
        <v>25.68</v>
      </c>
      <c r="L283" s="281" t="s">
        <v>2057</v>
      </c>
      <c r="M283" s="272" t="s">
        <v>175</v>
      </c>
    </row>
    <row r="284" spans="1:13" ht="15.75" customHeight="1">
      <c r="A284" s="267" t="s">
        <v>6527</v>
      </c>
      <c r="B284" s="251" t="s">
        <v>10641</v>
      </c>
      <c r="C284" s="267" t="s">
        <v>6528</v>
      </c>
      <c r="D284" s="267" t="s">
        <v>10642</v>
      </c>
      <c r="E284" s="277" t="s">
        <v>10324</v>
      </c>
      <c r="F284" s="278" t="s">
        <v>6619</v>
      </c>
      <c r="G284" s="279" t="s">
        <v>2512</v>
      </c>
      <c r="H284" s="279" t="s">
        <v>2512</v>
      </c>
      <c r="I284" s="279" t="s">
        <v>2512</v>
      </c>
      <c r="J284" s="278" t="s">
        <v>76</v>
      </c>
      <c r="K284" s="280">
        <v>24.31</v>
      </c>
      <c r="L284" s="281" t="s">
        <v>2057</v>
      </c>
      <c r="M284" s="272" t="s">
        <v>175</v>
      </c>
    </row>
    <row r="285" spans="1:13" ht="15.75" customHeight="1">
      <c r="A285" s="267" t="s">
        <v>6527</v>
      </c>
      <c r="B285" s="251" t="s">
        <v>10643</v>
      </c>
      <c r="C285" s="267" t="s">
        <v>6528</v>
      </c>
      <c r="D285" s="267" t="s">
        <v>10644</v>
      </c>
      <c r="E285" s="277" t="s">
        <v>10324</v>
      </c>
      <c r="F285" s="278" t="s">
        <v>6619</v>
      </c>
      <c r="G285" s="279" t="s">
        <v>2512</v>
      </c>
      <c r="H285" s="279" t="s">
        <v>2512</v>
      </c>
      <c r="I285" s="279" t="s">
        <v>2512</v>
      </c>
      <c r="J285" s="278" t="s">
        <v>76</v>
      </c>
      <c r="K285" s="280">
        <v>22.71</v>
      </c>
      <c r="L285" s="281" t="s">
        <v>2057</v>
      </c>
      <c r="M285" s="272" t="s">
        <v>175</v>
      </c>
    </row>
    <row r="286" spans="1:13" ht="15.75" customHeight="1">
      <c r="A286" s="267" t="s">
        <v>6527</v>
      </c>
      <c r="B286" s="251" t="s">
        <v>10645</v>
      </c>
      <c r="C286" s="267" t="s">
        <v>6528</v>
      </c>
      <c r="D286" s="267" t="s">
        <v>10646</v>
      </c>
      <c r="E286" s="277" t="s">
        <v>10324</v>
      </c>
      <c r="F286" s="278" t="s">
        <v>6619</v>
      </c>
      <c r="G286" s="279" t="s">
        <v>2512</v>
      </c>
      <c r="H286" s="279" t="s">
        <v>2512</v>
      </c>
      <c r="I286" s="279" t="s">
        <v>2512</v>
      </c>
      <c r="J286" s="278" t="s">
        <v>76</v>
      </c>
      <c r="K286" s="280">
        <v>19.07</v>
      </c>
      <c r="L286" s="281" t="s">
        <v>2057</v>
      </c>
      <c r="M286" s="272" t="s">
        <v>175</v>
      </c>
    </row>
    <row r="287" spans="1:13" ht="15.75" customHeight="1">
      <c r="A287" s="267" t="s">
        <v>6527</v>
      </c>
      <c r="B287" s="251" t="s">
        <v>10647</v>
      </c>
      <c r="C287" s="267" t="s">
        <v>6528</v>
      </c>
      <c r="D287" s="267" t="s">
        <v>10648</v>
      </c>
      <c r="E287" s="277" t="s">
        <v>10324</v>
      </c>
      <c r="F287" s="278" t="s">
        <v>6619</v>
      </c>
      <c r="G287" s="279" t="s">
        <v>2512</v>
      </c>
      <c r="H287" s="279" t="s">
        <v>2512</v>
      </c>
      <c r="I287" s="279" t="s">
        <v>2512</v>
      </c>
      <c r="J287" s="278" t="s">
        <v>76</v>
      </c>
      <c r="K287" s="280">
        <v>16.760000000000002</v>
      </c>
      <c r="L287" s="281" t="s">
        <v>2057</v>
      </c>
      <c r="M287" s="272" t="s">
        <v>175</v>
      </c>
    </row>
    <row r="288" spans="1:13" ht="15.75" customHeight="1">
      <c r="A288" s="267" t="s">
        <v>6527</v>
      </c>
      <c r="B288" s="251" t="s">
        <v>10649</v>
      </c>
      <c r="C288" s="267" t="s">
        <v>6528</v>
      </c>
      <c r="D288" s="267" t="s">
        <v>10650</v>
      </c>
      <c r="E288" s="277" t="s">
        <v>10324</v>
      </c>
      <c r="F288" s="278" t="s">
        <v>6619</v>
      </c>
      <c r="G288" s="279" t="s">
        <v>2512</v>
      </c>
      <c r="H288" s="279" t="s">
        <v>2512</v>
      </c>
      <c r="I288" s="279" t="s">
        <v>2512</v>
      </c>
      <c r="J288" s="278" t="s">
        <v>76</v>
      </c>
      <c r="K288" s="280">
        <v>15.21</v>
      </c>
      <c r="L288" s="281" t="s">
        <v>2057</v>
      </c>
      <c r="M288" s="272" t="s">
        <v>175</v>
      </c>
    </row>
    <row r="289" spans="1:13" ht="15.75" customHeight="1">
      <c r="A289" s="267" t="s">
        <v>6527</v>
      </c>
      <c r="B289" s="251" t="s">
        <v>10651</v>
      </c>
      <c r="C289" s="267" t="s">
        <v>6528</v>
      </c>
      <c r="D289" s="267" t="s">
        <v>10652</v>
      </c>
      <c r="E289" s="277" t="s">
        <v>10324</v>
      </c>
      <c r="F289" s="278" t="s">
        <v>6619</v>
      </c>
      <c r="G289" s="279" t="s">
        <v>2512</v>
      </c>
      <c r="H289" s="279" t="s">
        <v>2512</v>
      </c>
      <c r="I289" s="279" t="s">
        <v>2512</v>
      </c>
      <c r="J289" s="278" t="s">
        <v>76</v>
      </c>
      <c r="K289" s="280">
        <v>13.06</v>
      </c>
      <c r="L289" s="281" t="s">
        <v>2057</v>
      </c>
      <c r="M289" s="272" t="s">
        <v>175</v>
      </c>
    </row>
    <row r="290" spans="1:13" ht="15.75" customHeight="1">
      <c r="A290" s="267" t="s">
        <v>6527</v>
      </c>
      <c r="B290" s="251" t="s">
        <v>10653</v>
      </c>
      <c r="C290" s="267" t="s">
        <v>6528</v>
      </c>
      <c r="D290" s="267" t="s">
        <v>10654</v>
      </c>
      <c r="E290" s="277" t="s">
        <v>10324</v>
      </c>
      <c r="F290" s="278" t="s">
        <v>6619</v>
      </c>
      <c r="G290" s="279" t="s">
        <v>2512</v>
      </c>
      <c r="H290" s="279" t="s">
        <v>2512</v>
      </c>
      <c r="I290" s="279" t="s">
        <v>2512</v>
      </c>
      <c r="J290" s="278" t="s">
        <v>76</v>
      </c>
      <c r="K290" s="280">
        <v>11.83</v>
      </c>
      <c r="L290" s="281" t="s">
        <v>2057</v>
      </c>
      <c r="M290" s="272" t="s">
        <v>175</v>
      </c>
    </row>
    <row r="291" spans="1:13" ht="15.75" customHeight="1">
      <c r="A291" s="267" t="s">
        <v>6527</v>
      </c>
      <c r="B291" s="251" t="s">
        <v>10655</v>
      </c>
      <c r="C291" s="267" t="s">
        <v>6528</v>
      </c>
      <c r="D291" s="267" t="s">
        <v>10656</v>
      </c>
      <c r="E291" s="277" t="s">
        <v>10324</v>
      </c>
      <c r="F291" s="278" t="s">
        <v>6619</v>
      </c>
      <c r="G291" s="279" t="s">
        <v>2512</v>
      </c>
      <c r="H291" s="279" t="s">
        <v>2512</v>
      </c>
      <c r="I291" s="279" t="s">
        <v>2512</v>
      </c>
      <c r="J291" s="278" t="s">
        <v>76</v>
      </c>
      <c r="K291" s="280">
        <v>11.83</v>
      </c>
      <c r="L291" s="281" t="s">
        <v>2057</v>
      </c>
      <c r="M291" s="272" t="s">
        <v>175</v>
      </c>
    </row>
    <row r="292" spans="1:13" ht="15.75" customHeight="1">
      <c r="A292" s="267" t="s">
        <v>6527</v>
      </c>
      <c r="B292" s="251" t="s">
        <v>10657</v>
      </c>
      <c r="C292" s="267" t="s">
        <v>6528</v>
      </c>
      <c r="D292" s="267" t="s">
        <v>10658</v>
      </c>
      <c r="E292" s="277" t="s">
        <v>10324</v>
      </c>
      <c r="F292" s="278" t="s">
        <v>6619</v>
      </c>
      <c r="G292" s="279" t="s">
        <v>2512</v>
      </c>
      <c r="H292" s="279" t="s">
        <v>2512</v>
      </c>
      <c r="I292" s="279" t="s">
        <v>2512</v>
      </c>
      <c r="J292" s="278" t="s">
        <v>76</v>
      </c>
      <c r="K292" s="280">
        <v>28.61</v>
      </c>
      <c r="L292" s="281" t="s">
        <v>2057</v>
      </c>
      <c r="M292" s="272" t="s">
        <v>175</v>
      </c>
    </row>
    <row r="293" spans="1:13" ht="15.75" customHeight="1">
      <c r="A293" s="267" t="s">
        <v>6527</v>
      </c>
      <c r="B293" s="251" t="s">
        <v>10659</v>
      </c>
      <c r="C293" s="267" t="s">
        <v>6528</v>
      </c>
      <c r="D293" s="267" t="s">
        <v>10660</v>
      </c>
      <c r="E293" s="277" t="s">
        <v>10324</v>
      </c>
      <c r="F293" s="278" t="s">
        <v>6619</v>
      </c>
      <c r="G293" s="279" t="s">
        <v>2512</v>
      </c>
      <c r="H293" s="279" t="s">
        <v>2512</v>
      </c>
      <c r="I293" s="279" t="s">
        <v>2512</v>
      </c>
      <c r="J293" s="278" t="s">
        <v>76</v>
      </c>
      <c r="K293" s="280">
        <v>27.14</v>
      </c>
      <c r="L293" s="281" t="s">
        <v>2057</v>
      </c>
      <c r="M293" s="272" t="s">
        <v>175</v>
      </c>
    </row>
    <row r="294" spans="1:13" ht="15.75" customHeight="1">
      <c r="A294" s="267" t="s">
        <v>6527</v>
      </c>
      <c r="B294" s="251" t="s">
        <v>10661</v>
      </c>
      <c r="C294" s="267" t="s">
        <v>6528</v>
      </c>
      <c r="D294" s="267" t="s">
        <v>10662</v>
      </c>
      <c r="E294" s="277" t="s">
        <v>10324</v>
      </c>
      <c r="F294" s="278" t="s">
        <v>6619</v>
      </c>
      <c r="G294" s="279" t="s">
        <v>2512</v>
      </c>
      <c r="H294" s="279" t="s">
        <v>2512</v>
      </c>
      <c r="I294" s="279" t="s">
        <v>2512</v>
      </c>
      <c r="J294" s="278" t="s">
        <v>76</v>
      </c>
      <c r="K294" s="280">
        <v>25.48</v>
      </c>
      <c r="L294" s="281" t="s">
        <v>2057</v>
      </c>
      <c r="M294" s="272" t="s">
        <v>175</v>
      </c>
    </row>
    <row r="295" spans="1:13" ht="15.75" customHeight="1">
      <c r="A295" s="267" t="s">
        <v>6527</v>
      </c>
      <c r="B295" s="251" t="s">
        <v>10663</v>
      </c>
      <c r="C295" s="267" t="s">
        <v>6528</v>
      </c>
      <c r="D295" s="267" t="s">
        <v>10664</v>
      </c>
      <c r="E295" s="277" t="s">
        <v>10324</v>
      </c>
      <c r="F295" s="278" t="s">
        <v>6619</v>
      </c>
      <c r="G295" s="279" t="s">
        <v>2512</v>
      </c>
      <c r="H295" s="279" t="s">
        <v>2512</v>
      </c>
      <c r="I295" s="279" t="s">
        <v>2512</v>
      </c>
      <c r="J295" s="278" t="s">
        <v>76</v>
      </c>
      <c r="K295" s="280">
        <v>21.96</v>
      </c>
      <c r="L295" s="281" t="s">
        <v>2057</v>
      </c>
      <c r="M295" s="272" t="s">
        <v>175</v>
      </c>
    </row>
    <row r="296" spans="1:13" ht="15.75" customHeight="1">
      <c r="A296" s="267" t="s">
        <v>6527</v>
      </c>
      <c r="B296" s="251" t="s">
        <v>10665</v>
      </c>
      <c r="C296" s="267" t="s">
        <v>6528</v>
      </c>
      <c r="D296" s="267" t="s">
        <v>10666</v>
      </c>
      <c r="E296" s="277" t="s">
        <v>10324</v>
      </c>
      <c r="F296" s="278" t="s">
        <v>6619</v>
      </c>
      <c r="G296" s="279" t="s">
        <v>2512</v>
      </c>
      <c r="H296" s="279" t="s">
        <v>2512</v>
      </c>
      <c r="I296" s="279" t="s">
        <v>2512</v>
      </c>
      <c r="J296" s="278" t="s">
        <v>76</v>
      </c>
      <c r="K296" s="280">
        <v>19.3</v>
      </c>
      <c r="L296" s="281" t="s">
        <v>2057</v>
      </c>
      <c r="M296" s="272" t="s">
        <v>175</v>
      </c>
    </row>
    <row r="297" spans="1:13" ht="15.75" customHeight="1">
      <c r="A297" s="267" t="s">
        <v>6527</v>
      </c>
      <c r="B297" s="251" t="s">
        <v>10667</v>
      </c>
      <c r="C297" s="267" t="s">
        <v>6528</v>
      </c>
      <c r="D297" s="267" t="s">
        <v>10668</v>
      </c>
      <c r="E297" s="277" t="s">
        <v>10324</v>
      </c>
      <c r="F297" s="278" t="s">
        <v>6619</v>
      </c>
      <c r="G297" s="279" t="s">
        <v>2512</v>
      </c>
      <c r="H297" s="279" t="s">
        <v>2512</v>
      </c>
      <c r="I297" s="279" t="s">
        <v>2512</v>
      </c>
      <c r="J297" s="278" t="s">
        <v>76</v>
      </c>
      <c r="K297" s="280">
        <v>17.52</v>
      </c>
      <c r="L297" s="281" t="s">
        <v>2057</v>
      </c>
      <c r="M297" s="272" t="s">
        <v>175</v>
      </c>
    </row>
    <row r="298" spans="1:13" ht="15.75" customHeight="1">
      <c r="A298" s="267" t="s">
        <v>6527</v>
      </c>
      <c r="B298" s="251" t="s">
        <v>10669</v>
      </c>
      <c r="C298" s="267" t="s">
        <v>6528</v>
      </c>
      <c r="D298" s="267" t="s">
        <v>10670</v>
      </c>
      <c r="E298" s="277" t="s">
        <v>10324</v>
      </c>
      <c r="F298" s="278" t="s">
        <v>6619</v>
      </c>
      <c r="G298" s="279" t="s">
        <v>2512</v>
      </c>
      <c r="H298" s="279" t="s">
        <v>2512</v>
      </c>
      <c r="I298" s="279" t="s">
        <v>2512</v>
      </c>
      <c r="J298" s="278" t="s">
        <v>76</v>
      </c>
      <c r="K298" s="280">
        <v>15.05</v>
      </c>
      <c r="L298" s="281" t="s">
        <v>2057</v>
      </c>
      <c r="M298" s="272" t="s">
        <v>175</v>
      </c>
    </row>
    <row r="299" spans="1:13" ht="15.75" customHeight="1">
      <c r="A299" s="267" t="s">
        <v>6527</v>
      </c>
      <c r="B299" s="251" t="s">
        <v>10671</v>
      </c>
      <c r="C299" s="267" t="s">
        <v>6528</v>
      </c>
      <c r="D299" s="267" t="s">
        <v>10672</v>
      </c>
      <c r="E299" s="277" t="s">
        <v>10324</v>
      </c>
      <c r="F299" s="278" t="s">
        <v>6619</v>
      </c>
      <c r="G299" s="279" t="s">
        <v>2512</v>
      </c>
      <c r="H299" s="279" t="s">
        <v>2512</v>
      </c>
      <c r="I299" s="279" t="s">
        <v>2512</v>
      </c>
      <c r="J299" s="278" t="s">
        <v>76</v>
      </c>
      <c r="K299" s="280">
        <v>13.63</v>
      </c>
      <c r="L299" s="281" t="s">
        <v>2057</v>
      </c>
      <c r="M299" s="272" t="s">
        <v>175</v>
      </c>
    </row>
    <row r="300" spans="1:13" ht="15.75" customHeight="1">
      <c r="A300" s="267" t="s">
        <v>6527</v>
      </c>
      <c r="B300" s="251" t="s">
        <v>10673</v>
      </c>
      <c r="C300" s="267" t="s">
        <v>6528</v>
      </c>
      <c r="D300" s="267" t="s">
        <v>10674</v>
      </c>
      <c r="E300" s="277" t="s">
        <v>10324</v>
      </c>
      <c r="F300" s="278" t="s">
        <v>6619</v>
      </c>
      <c r="G300" s="279" t="s">
        <v>2512</v>
      </c>
      <c r="H300" s="279" t="s">
        <v>2512</v>
      </c>
      <c r="I300" s="279" t="s">
        <v>2512</v>
      </c>
      <c r="J300" s="278" t="s">
        <v>76</v>
      </c>
      <c r="K300" s="280">
        <v>13.63</v>
      </c>
      <c r="L300" s="281" t="s">
        <v>2057</v>
      </c>
      <c r="M300" s="272" t="s">
        <v>175</v>
      </c>
    </row>
    <row r="301" spans="1:13" ht="15.75" customHeight="1">
      <c r="A301" s="267" t="s">
        <v>6527</v>
      </c>
      <c r="B301" s="251" t="s">
        <v>10675</v>
      </c>
      <c r="C301" s="267" t="s">
        <v>6528</v>
      </c>
      <c r="D301" s="267" t="s">
        <v>10676</v>
      </c>
      <c r="E301" s="277" t="s">
        <v>10324</v>
      </c>
      <c r="F301" s="278" t="s">
        <v>6619</v>
      </c>
      <c r="G301" s="279" t="s">
        <v>2512</v>
      </c>
      <c r="H301" s="279" t="s">
        <v>2512</v>
      </c>
      <c r="I301" s="279" t="s">
        <v>2512</v>
      </c>
      <c r="J301" s="278" t="s">
        <v>76</v>
      </c>
      <c r="K301" s="280">
        <v>26.72</v>
      </c>
      <c r="L301" s="281" t="s">
        <v>2057</v>
      </c>
      <c r="M301" s="272" t="s">
        <v>175</v>
      </c>
    </row>
    <row r="302" spans="1:13" ht="15.75" customHeight="1">
      <c r="A302" s="267" t="s">
        <v>6527</v>
      </c>
      <c r="B302" s="251" t="s">
        <v>10677</v>
      </c>
      <c r="C302" s="267" t="s">
        <v>6528</v>
      </c>
      <c r="D302" s="267" t="s">
        <v>10678</v>
      </c>
      <c r="E302" s="277" t="s">
        <v>10324</v>
      </c>
      <c r="F302" s="278" t="s">
        <v>6619</v>
      </c>
      <c r="G302" s="279" t="s">
        <v>2512</v>
      </c>
      <c r="H302" s="279" t="s">
        <v>2512</v>
      </c>
      <c r="I302" s="279" t="s">
        <v>2512</v>
      </c>
      <c r="J302" s="278" t="s">
        <v>76</v>
      </c>
      <c r="K302" s="280">
        <v>59.17</v>
      </c>
      <c r="L302" s="281" t="s">
        <v>2057</v>
      </c>
      <c r="M302" s="272" t="s">
        <v>175</v>
      </c>
    </row>
    <row r="303" spans="1:13" ht="15.75" customHeight="1">
      <c r="A303" s="267" t="s">
        <v>6527</v>
      </c>
      <c r="B303" s="251" t="s">
        <v>10679</v>
      </c>
      <c r="C303" s="267" t="s">
        <v>6528</v>
      </c>
      <c r="D303" s="267" t="s">
        <v>10680</v>
      </c>
      <c r="E303" s="277" t="s">
        <v>10324</v>
      </c>
      <c r="F303" s="278" t="s">
        <v>6619</v>
      </c>
      <c r="G303" s="279" t="s">
        <v>2512</v>
      </c>
      <c r="H303" s="279" t="s">
        <v>2512</v>
      </c>
      <c r="I303" s="279" t="s">
        <v>2512</v>
      </c>
      <c r="J303" s="278" t="s">
        <v>76</v>
      </c>
      <c r="K303" s="280">
        <v>59.17</v>
      </c>
      <c r="L303" s="281" t="s">
        <v>2057</v>
      </c>
      <c r="M303" s="272" t="s">
        <v>175</v>
      </c>
    </row>
    <row r="304" spans="1:13" ht="15.75" customHeight="1">
      <c r="A304" s="267" t="s">
        <v>6527</v>
      </c>
      <c r="B304" s="251" t="s">
        <v>10681</v>
      </c>
      <c r="C304" s="267" t="s">
        <v>6528</v>
      </c>
      <c r="D304" s="267" t="s">
        <v>10682</v>
      </c>
      <c r="E304" s="277" t="s">
        <v>10324</v>
      </c>
      <c r="F304" s="278" t="s">
        <v>6619</v>
      </c>
      <c r="G304" s="279" t="s">
        <v>2512</v>
      </c>
      <c r="H304" s="279" t="s">
        <v>2512</v>
      </c>
      <c r="I304" s="279" t="s">
        <v>2512</v>
      </c>
      <c r="J304" s="278" t="s">
        <v>76</v>
      </c>
      <c r="K304" s="280">
        <v>19.690000000000001</v>
      </c>
      <c r="L304" s="281" t="s">
        <v>173</v>
      </c>
      <c r="M304" s="272" t="s">
        <v>175</v>
      </c>
    </row>
    <row r="305" spans="1:13" ht="15.75" customHeight="1">
      <c r="A305" s="267" t="s">
        <v>6527</v>
      </c>
      <c r="B305" s="251" t="s">
        <v>10683</v>
      </c>
      <c r="C305" s="267" t="s">
        <v>6528</v>
      </c>
      <c r="D305" s="267" t="s">
        <v>10684</v>
      </c>
      <c r="E305" s="277" t="s">
        <v>10324</v>
      </c>
      <c r="F305" s="278" t="s">
        <v>6619</v>
      </c>
      <c r="G305" s="279" t="s">
        <v>2512</v>
      </c>
      <c r="H305" s="279" t="s">
        <v>2512</v>
      </c>
      <c r="I305" s="279" t="s">
        <v>2512</v>
      </c>
      <c r="J305" s="278" t="s">
        <v>76</v>
      </c>
      <c r="K305" s="280">
        <v>18.899999999999999</v>
      </c>
      <c r="L305" s="281" t="s">
        <v>173</v>
      </c>
      <c r="M305" s="272" t="s">
        <v>175</v>
      </c>
    </row>
    <row r="306" spans="1:13" ht="15.75" customHeight="1">
      <c r="A306" s="267" t="s">
        <v>6527</v>
      </c>
      <c r="B306" s="251" t="s">
        <v>10685</v>
      </c>
      <c r="C306" s="267" t="s">
        <v>6528</v>
      </c>
      <c r="D306" s="267" t="s">
        <v>10686</v>
      </c>
      <c r="E306" s="277" t="s">
        <v>10324</v>
      </c>
      <c r="F306" s="278" t="s">
        <v>6619</v>
      </c>
      <c r="G306" s="279" t="s">
        <v>2512</v>
      </c>
      <c r="H306" s="279" t="s">
        <v>2512</v>
      </c>
      <c r="I306" s="279" t="s">
        <v>2512</v>
      </c>
      <c r="J306" s="278" t="s">
        <v>76</v>
      </c>
      <c r="K306" s="280">
        <v>17.32</v>
      </c>
      <c r="L306" s="281" t="s">
        <v>173</v>
      </c>
      <c r="M306" s="272" t="s">
        <v>175</v>
      </c>
    </row>
    <row r="307" spans="1:13" ht="15.75" customHeight="1">
      <c r="A307" s="267" t="s">
        <v>6527</v>
      </c>
      <c r="B307" s="251" t="s">
        <v>10687</v>
      </c>
      <c r="C307" s="267" t="s">
        <v>6528</v>
      </c>
      <c r="D307" s="267" t="s">
        <v>10688</v>
      </c>
      <c r="E307" s="277" t="s">
        <v>10324</v>
      </c>
      <c r="F307" s="278" t="s">
        <v>6619</v>
      </c>
      <c r="G307" s="279" t="s">
        <v>2512</v>
      </c>
      <c r="H307" s="279" t="s">
        <v>2512</v>
      </c>
      <c r="I307" s="279" t="s">
        <v>2512</v>
      </c>
      <c r="J307" s="278" t="s">
        <v>76</v>
      </c>
      <c r="K307" s="280">
        <v>16.54</v>
      </c>
      <c r="L307" s="281" t="s">
        <v>173</v>
      </c>
      <c r="M307" s="272" t="s">
        <v>175</v>
      </c>
    </row>
    <row r="308" spans="1:13" ht="15.75" customHeight="1">
      <c r="A308" s="267" t="s">
        <v>6527</v>
      </c>
      <c r="B308" s="251" t="s">
        <v>10689</v>
      </c>
      <c r="C308" s="267" t="s">
        <v>6528</v>
      </c>
      <c r="D308" s="267" t="s">
        <v>10690</v>
      </c>
      <c r="E308" s="277" t="s">
        <v>10324</v>
      </c>
      <c r="F308" s="278" t="s">
        <v>6619</v>
      </c>
      <c r="G308" s="279" t="s">
        <v>2512</v>
      </c>
      <c r="H308" s="279" t="s">
        <v>2512</v>
      </c>
      <c r="I308" s="279" t="s">
        <v>2512</v>
      </c>
      <c r="J308" s="278" t="s">
        <v>76</v>
      </c>
      <c r="K308" s="280">
        <v>14.96</v>
      </c>
      <c r="L308" s="281" t="s">
        <v>173</v>
      </c>
      <c r="M308" s="272" t="s">
        <v>175</v>
      </c>
    </row>
    <row r="309" spans="1:13" ht="15.75" customHeight="1">
      <c r="A309" s="267" t="s">
        <v>6527</v>
      </c>
      <c r="B309" s="251" t="s">
        <v>10691</v>
      </c>
      <c r="C309" s="267" t="s">
        <v>6528</v>
      </c>
      <c r="D309" s="267" t="s">
        <v>10692</v>
      </c>
      <c r="E309" s="277" t="s">
        <v>10324</v>
      </c>
      <c r="F309" s="278" t="s">
        <v>6619</v>
      </c>
      <c r="G309" s="279" t="s">
        <v>2512</v>
      </c>
      <c r="H309" s="279" t="s">
        <v>2512</v>
      </c>
      <c r="I309" s="279" t="s">
        <v>2512</v>
      </c>
      <c r="J309" s="278" t="s">
        <v>76</v>
      </c>
      <c r="K309" s="280">
        <v>14.18</v>
      </c>
      <c r="L309" s="281" t="s">
        <v>173</v>
      </c>
      <c r="M309" s="272" t="s">
        <v>175</v>
      </c>
    </row>
    <row r="310" spans="1:13" ht="15.75" customHeight="1">
      <c r="A310" s="267" t="s">
        <v>6527</v>
      </c>
      <c r="B310" s="251" t="s">
        <v>10693</v>
      </c>
      <c r="C310" s="267" t="s">
        <v>6528</v>
      </c>
      <c r="D310" s="267" t="s">
        <v>10694</v>
      </c>
      <c r="E310" s="277" t="s">
        <v>10324</v>
      </c>
      <c r="F310" s="278" t="s">
        <v>6619</v>
      </c>
      <c r="G310" s="279" t="s">
        <v>2512</v>
      </c>
      <c r="H310" s="279" t="s">
        <v>2512</v>
      </c>
      <c r="I310" s="279" t="s">
        <v>2512</v>
      </c>
      <c r="J310" s="278" t="s">
        <v>76</v>
      </c>
      <c r="K310" s="280">
        <v>12.6</v>
      </c>
      <c r="L310" s="281" t="s">
        <v>173</v>
      </c>
      <c r="M310" s="272" t="s">
        <v>175</v>
      </c>
    </row>
    <row r="311" spans="1:13" ht="15.75" customHeight="1">
      <c r="A311" s="267" t="s">
        <v>6527</v>
      </c>
      <c r="B311" s="251" t="s">
        <v>10695</v>
      </c>
      <c r="C311" s="267" t="s">
        <v>6528</v>
      </c>
      <c r="D311" s="267" t="s">
        <v>10696</v>
      </c>
      <c r="E311" s="277" t="s">
        <v>10324</v>
      </c>
      <c r="F311" s="278" t="s">
        <v>6619</v>
      </c>
      <c r="G311" s="279" t="s">
        <v>2512</v>
      </c>
      <c r="H311" s="279" t="s">
        <v>2512</v>
      </c>
      <c r="I311" s="279" t="s">
        <v>2512</v>
      </c>
      <c r="J311" s="278" t="s">
        <v>76</v>
      </c>
      <c r="K311" s="280">
        <v>11.81</v>
      </c>
      <c r="L311" s="281" t="s">
        <v>173</v>
      </c>
      <c r="M311" s="272" t="s">
        <v>175</v>
      </c>
    </row>
    <row r="312" spans="1:13" ht="15.75" customHeight="1">
      <c r="A312" s="267" t="s">
        <v>6527</v>
      </c>
      <c r="B312" s="251" t="s">
        <v>10697</v>
      </c>
      <c r="C312" s="267" t="s">
        <v>6528</v>
      </c>
      <c r="D312" s="267" t="s">
        <v>10698</v>
      </c>
      <c r="E312" s="277" t="s">
        <v>10324</v>
      </c>
      <c r="F312" s="278" t="s">
        <v>6619</v>
      </c>
      <c r="G312" s="279" t="s">
        <v>2512</v>
      </c>
      <c r="H312" s="279" t="s">
        <v>2512</v>
      </c>
      <c r="I312" s="279" t="s">
        <v>2512</v>
      </c>
      <c r="J312" s="278" t="s">
        <v>76</v>
      </c>
      <c r="K312" s="280">
        <v>10.24</v>
      </c>
      <c r="L312" s="281" t="s">
        <v>173</v>
      </c>
      <c r="M312" s="272" t="s">
        <v>175</v>
      </c>
    </row>
    <row r="313" spans="1:13" ht="15.75" customHeight="1">
      <c r="A313" s="267" t="s">
        <v>6527</v>
      </c>
      <c r="B313" s="251" t="s">
        <v>10699</v>
      </c>
      <c r="C313" s="267" t="s">
        <v>6528</v>
      </c>
      <c r="D313" s="267" t="s">
        <v>10700</v>
      </c>
      <c r="E313" s="277" t="s">
        <v>10324</v>
      </c>
      <c r="F313" s="278" t="s">
        <v>6619</v>
      </c>
      <c r="G313" s="279" t="s">
        <v>2512</v>
      </c>
      <c r="H313" s="279" t="s">
        <v>2512</v>
      </c>
      <c r="I313" s="279" t="s">
        <v>2512</v>
      </c>
      <c r="J313" s="278" t="s">
        <v>76</v>
      </c>
      <c r="K313" s="280">
        <v>39.380000000000003</v>
      </c>
      <c r="L313" s="281" t="s">
        <v>173</v>
      </c>
      <c r="M313" s="272" t="s">
        <v>175</v>
      </c>
    </row>
    <row r="314" spans="1:13" ht="15.75" customHeight="1">
      <c r="A314" s="267" t="s">
        <v>6527</v>
      </c>
      <c r="B314" s="251" t="s">
        <v>10701</v>
      </c>
      <c r="C314" s="267" t="s">
        <v>6528</v>
      </c>
      <c r="D314" s="267" t="s">
        <v>10702</v>
      </c>
      <c r="E314" s="277" t="s">
        <v>10324</v>
      </c>
      <c r="F314" s="278" t="s">
        <v>6619</v>
      </c>
      <c r="G314" s="279" t="s">
        <v>2512</v>
      </c>
      <c r="H314" s="279" t="s">
        <v>2512</v>
      </c>
      <c r="I314" s="279" t="s">
        <v>2512</v>
      </c>
      <c r="J314" s="278" t="s">
        <v>76</v>
      </c>
      <c r="K314" s="280">
        <v>37.01</v>
      </c>
      <c r="L314" s="281" t="s">
        <v>173</v>
      </c>
      <c r="M314" s="272" t="s">
        <v>175</v>
      </c>
    </row>
    <row r="315" spans="1:13" ht="15.75" customHeight="1">
      <c r="A315" s="267" t="s">
        <v>6527</v>
      </c>
      <c r="B315" s="251" t="s">
        <v>10703</v>
      </c>
      <c r="C315" s="267" t="s">
        <v>6528</v>
      </c>
      <c r="D315" s="267" t="s">
        <v>10704</v>
      </c>
      <c r="E315" s="277" t="s">
        <v>10324</v>
      </c>
      <c r="F315" s="278" t="s">
        <v>6619</v>
      </c>
      <c r="G315" s="279" t="s">
        <v>2512</v>
      </c>
      <c r="H315" s="279" t="s">
        <v>2512</v>
      </c>
      <c r="I315" s="279" t="s">
        <v>2512</v>
      </c>
      <c r="J315" s="278" t="s">
        <v>76</v>
      </c>
      <c r="K315" s="280">
        <v>34.65</v>
      </c>
      <c r="L315" s="281" t="s">
        <v>173</v>
      </c>
      <c r="M315" s="272" t="s">
        <v>175</v>
      </c>
    </row>
    <row r="316" spans="1:13" ht="15.75" customHeight="1">
      <c r="A316" s="267" t="s">
        <v>6527</v>
      </c>
      <c r="B316" s="251" t="s">
        <v>10705</v>
      </c>
      <c r="C316" s="267" t="s">
        <v>6528</v>
      </c>
      <c r="D316" s="267" t="s">
        <v>10706</v>
      </c>
      <c r="E316" s="277" t="s">
        <v>10324</v>
      </c>
      <c r="F316" s="278" t="s">
        <v>6619</v>
      </c>
      <c r="G316" s="279" t="s">
        <v>2512</v>
      </c>
      <c r="H316" s="279" t="s">
        <v>2512</v>
      </c>
      <c r="I316" s="279" t="s">
        <v>2512</v>
      </c>
      <c r="J316" s="278" t="s">
        <v>76</v>
      </c>
      <c r="K316" s="280">
        <v>32.29</v>
      </c>
      <c r="L316" s="281" t="s">
        <v>173</v>
      </c>
      <c r="M316" s="272" t="s">
        <v>175</v>
      </c>
    </row>
    <row r="317" spans="1:13" ht="15.75" customHeight="1">
      <c r="A317" s="267" t="s">
        <v>6527</v>
      </c>
      <c r="B317" s="251" t="s">
        <v>10707</v>
      </c>
      <c r="C317" s="267" t="s">
        <v>6528</v>
      </c>
      <c r="D317" s="267" t="s">
        <v>10708</v>
      </c>
      <c r="E317" s="277" t="s">
        <v>10324</v>
      </c>
      <c r="F317" s="278" t="s">
        <v>6619</v>
      </c>
      <c r="G317" s="279" t="s">
        <v>2512</v>
      </c>
      <c r="H317" s="279" t="s">
        <v>2512</v>
      </c>
      <c r="I317" s="279" t="s">
        <v>2512</v>
      </c>
      <c r="J317" s="278" t="s">
        <v>76</v>
      </c>
      <c r="K317" s="280">
        <v>29.93</v>
      </c>
      <c r="L317" s="281" t="s">
        <v>173</v>
      </c>
      <c r="M317" s="272" t="s">
        <v>175</v>
      </c>
    </row>
    <row r="318" spans="1:13" ht="15.75" customHeight="1">
      <c r="A318" s="267" t="s">
        <v>6527</v>
      </c>
      <c r="B318" s="251" t="s">
        <v>10709</v>
      </c>
      <c r="C318" s="267" t="s">
        <v>6528</v>
      </c>
      <c r="D318" s="267" t="s">
        <v>10710</v>
      </c>
      <c r="E318" s="277" t="s">
        <v>10324</v>
      </c>
      <c r="F318" s="278" t="s">
        <v>6619</v>
      </c>
      <c r="G318" s="279" t="s">
        <v>2512</v>
      </c>
      <c r="H318" s="279" t="s">
        <v>2512</v>
      </c>
      <c r="I318" s="279" t="s">
        <v>2512</v>
      </c>
      <c r="J318" s="278" t="s">
        <v>76</v>
      </c>
      <c r="K318" s="280">
        <v>26.77</v>
      </c>
      <c r="L318" s="281" t="s">
        <v>173</v>
      </c>
      <c r="M318" s="272" t="s">
        <v>175</v>
      </c>
    </row>
    <row r="319" spans="1:13" ht="15.75" customHeight="1">
      <c r="A319" s="267" t="s">
        <v>6527</v>
      </c>
      <c r="B319" s="251" t="s">
        <v>10711</v>
      </c>
      <c r="C319" s="267" t="s">
        <v>6528</v>
      </c>
      <c r="D319" s="267" t="s">
        <v>10712</v>
      </c>
      <c r="E319" s="277" t="s">
        <v>10324</v>
      </c>
      <c r="F319" s="278" t="s">
        <v>6619</v>
      </c>
      <c r="G319" s="279" t="s">
        <v>2512</v>
      </c>
      <c r="H319" s="279" t="s">
        <v>2512</v>
      </c>
      <c r="I319" s="279" t="s">
        <v>2512</v>
      </c>
      <c r="J319" s="278" t="s">
        <v>76</v>
      </c>
      <c r="K319" s="280">
        <v>24.41</v>
      </c>
      <c r="L319" s="281" t="s">
        <v>173</v>
      </c>
      <c r="M319" s="272" t="s">
        <v>175</v>
      </c>
    </row>
    <row r="320" spans="1:13" ht="15.75" customHeight="1">
      <c r="A320" s="267" t="s">
        <v>6527</v>
      </c>
      <c r="B320" s="251" t="s">
        <v>10713</v>
      </c>
      <c r="C320" s="267" t="s">
        <v>6528</v>
      </c>
      <c r="D320" s="267" t="s">
        <v>10714</v>
      </c>
      <c r="E320" s="277" t="s">
        <v>10324</v>
      </c>
      <c r="F320" s="278" t="s">
        <v>6619</v>
      </c>
      <c r="G320" s="279" t="s">
        <v>2512</v>
      </c>
      <c r="H320" s="279" t="s">
        <v>2512</v>
      </c>
      <c r="I320" s="279" t="s">
        <v>2512</v>
      </c>
      <c r="J320" s="278" t="s">
        <v>76</v>
      </c>
      <c r="K320" s="280">
        <v>22.05</v>
      </c>
      <c r="L320" s="281" t="s">
        <v>173</v>
      </c>
      <c r="M320" s="272" t="s">
        <v>175</v>
      </c>
    </row>
    <row r="321" spans="1:13" ht="15.75" customHeight="1">
      <c r="A321" s="267" t="s">
        <v>6527</v>
      </c>
      <c r="B321" s="251" t="s">
        <v>10715</v>
      </c>
      <c r="C321" s="267" t="s">
        <v>6528</v>
      </c>
      <c r="D321" s="267" t="s">
        <v>10716</v>
      </c>
      <c r="E321" s="277" t="s">
        <v>10324</v>
      </c>
      <c r="F321" s="278" t="s">
        <v>6619</v>
      </c>
      <c r="G321" s="279" t="s">
        <v>2512</v>
      </c>
      <c r="H321" s="279" t="s">
        <v>2512</v>
      </c>
      <c r="I321" s="279" t="s">
        <v>2512</v>
      </c>
      <c r="J321" s="278" t="s">
        <v>76</v>
      </c>
      <c r="K321" s="280">
        <v>19.690000000000001</v>
      </c>
      <c r="L321" s="281" t="s">
        <v>173</v>
      </c>
      <c r="M321" s="272" t="s">
        <v>175</v>
      </c>
    </row>
    <row r="322" spans="1:13" ht="15.75" customHeight="1">
      <c r="A322" s="267" t="s">
        <v>6527</v>
      </c>
      <c r="B322" s="251" t="s">
        <v>10717</v>
      </c>
      <c r="C322" s="267" t="s">
        <v>6528</v>
      </c>
      <c r="D322" s="267" t="s">
        <v>10718</v>
      </c>
      <c r="E322" s="277" t="s">
        <v>10324</v>
      </c>
      <c r="F322" s="278" t="s">
        <v>6619</v>
      </c>
      <c r="G322" s="279" t="s">
        <v>2512</v>
      </c>
      <c r="H322" s="279" t="s">
        <v>2512</v>
      </c>
      <c r="I322" s="279" t="s">
        <v>2512</v>
      </c>
      <c r="J322" s="278" t="s">
        <v>76</v>
      </c>
      <c r="K322" s="280">
        <v>82.69</v>
      </c>
      <c r="L322" s="281" t="s">
        <v>173</v>
      </c>
      <c r="M322" s="272" t="s">
        <v>175</v>
      </c>
    </row>
    <row r="323" spans="1:13" ht="15.75" customHeight="1">
      <c r="A323" s="267" t="s">
        <v>6527</v>
      </c>
      <c r="B323" s="251" t="s">
        <v>10719</v>
      </c>
      <c r="C323" s="267" t="s">
        <v>6528</v>
      </c>
      <c r="D323" s="267" t="s">
        <v>10720</v>
      </c>
      <c r="E323" s="277" t="s">
        <v>10324</v>
      </c>
      <c r="F323" s="278" t="s">
        <v>6619</v>
      </c>
      <c r="G323" s="279" t="s">
        <v>2512</v>
      </c>
      <c r="H323" s="279" t="s">
        <v>2512</v>
      </c>
      <c r="I323" s="279" t="s">
        <v>2512</v>
      </c>
      <c r="J323" s="278" t="s">
        <v>76</v>
      </c>
      <c r="K323" s="280">
        <v>77.73</v>
      </c>
      <c r="L323" s="281" t="s">
        <v>173</v>
      </c>
      <c r="M323" s="272" t="s">
        <v>175</v>
      </c>
    </row>
    <row r="324" spans="1:13" ht="15.75" customHeight="1">
      <c r="A324" s="267" t="s">
        <v>6527</v>
      </c>
      <c r="B324" s="251" t="s">
        <v>10721</v>
      </c>
      <c r="C324" s="267" t="s">
        <v>6528</v>
      </c>
      <c r="D324" s="267" t="s">
        <v>10722</v>
      </c>
      <c r="E324" s="277" t="s">
        <v>10324</v>
      </c>
      <c r="F324" s="278" t="s">
        <v>6619</v>
      </c>
      <c r="G324" s="279" t="s">
        <v>2512</v>
      </c>
      <c r="H324" s="279" t="s">
        <v>2512</v>
      </c>
      <c r="I324" s="279" t="s">
        <v>2512</v>
      </c>
      <c r="J324" s="278" t="s">
        <v>76</v>
      </c>
      <c r="K324" s="280">
        <v>72.77</v>
      </c>
      <c r="L324" s="281" t="s">
        <v>173</v>
      </c>
      <c r="M324" s="272" t="s">
        <v>175</v>
      </c>
    </row>
    <row r="325" spans="1:13" ht="15.75" customHeight="1">
      <c r="A325" s="267" t="s">
        <v>6527</v>
      </c>
      <c r="B325" s="251" t="s">
        <v>10723</v>
      </c>
      <c r="C325" s="267" t="s">
        <v>6528</v>
      </c>
      <c r="D325" s="267" t="s">
        <v>10724</v>
      </c>
      <c r="E325" s="277" t="s">
        <v>10324</v>
      </c>
      <c r="F325" s="278" t="s">
        <v>6619</v>
      </c>
      <c r="G325" s="279" t="s">
        <v>2512</v>
      </c>
      <c r="H325" s="279" t="s">
        <v>2512</v>
      </c>
      <c r="I325" s="279" t="s">
        <v>2512</v>
      </c>
      <c r="J325" s="278" t="s">
        <v>76</v>
      </c>
      <c r="K325" s="280">
        <v>67.81</v>
      </c>
      <c r="L325" s="281" t="s">
        <v>173</v>
      </c>
      <c r="M325" s="272" t="s">
        <v>175</v>
      </c>
    </row>
    <row r="326" spans="1:13" ht="15.75" customHeight="1">
      <c r="A326" s="267" t="s">
        <v>6527</v>
      </c>
      <c r="B326" s="251" t="s">
        <v>10725</v>
      </c>
      <c r="C326" s="267" t="s">
        <v>6528</v>
      </c>
      <c r="D326" s="267" t="s">
        <v>10726</v>
      </c>
      <c r="E326" s="277" t="s">
        <v>10324</v>
      </c>
      <c r="F326" s="278" t="s">
        <v>6619</v>
      </c>
      <c r="G326" s="279" t="s">
        <v>2512</v>
      </c>
      <c r="H326" s="279" t="s">
        <v>2512</v>
      </c>
      <c r="I326" s="279" t="s">
        <v>2512</v>
      </c>
      <c r="J326" s="278" t="s">
        <v>76</v>
      </c>
      <c r="K326" s="280">
        <v>62.84</v>
      </c>
      <c r="L326" s="281" t="s">
        <v>173</v>
      </c>
      <c r="M326" s="272" t="s">
        <v>175</v>
      </c>
    </row>
    <row r="327" spans="1:13" ht="15.75" customHeight="1">
      <c r="A327" s="267" t="s">
        <v>6527</v>
      </c>
      <c r="B327" s="251" t="s">
        <v>10727</v>
      </c>
      <c r="C327" s="267" t="s">
        <v>6528</v>
      </c>
      <c r="D327" s="267" t="s">
        <v>10728</v>
      </c>
      <c r="E327" s="277" t="s">
        <v>10324</v>
      </c>
      <c r="F327" s="278" t="s">
        <v>6619</v>
      </c>
      <c r="G327" s="279" t="s">
        <v>2512</v>
      </c>
      <c r="H327" s="279" t="s">
        <v>2512</v>
      </c>
      <c r="I327" s="279" t="s">
        <v>2512</v>
      </c>
      <c r="J327" s="278" t="s">
        <v>76</v>
      </c>
      <c r="K327" s="280">
        <v>56.31</v>
      </c>
      <c r="L327" s="281" t="s">
        <v>173</v>
      </c>
      <c r="M327" s="272" t="s">
        <v>175</v>
      </c>
    </row>
    <row r="328" spans="1:13" ht="15.75" customHeight="1">
      <c r="A328" s="267" t="s">
        <v>6527</v>
      </c>
      <c r="B328" s="251" t="s">
        <v>10729</v>
      </c>
      <c r="C328" s="267" t="s">
        <v>6528</v>
      </c>
      <c r="D328" s="267" t="s">
        <v>10730</v>
      </c>
      <c r="E328" s="277" t="s">
        <v>10324</v>
      </c>
      <c r="F328" s="278" t="s">
        <v>6619</v>
      </c>
      <c r="G328" s="279" t="s">
        <v>2512</v>
      </c>
      <c r="H328" s="279" t="s">
        <v>2512</v>
      </c>
      <c r="I328" s="279" t="s">
        <v>2512</v>
      </c>
      <c r="J328" s="278" t="s">
        <v>76</v>
      </c>
      <c r="K328" s="280">
        <v>51.34</v>
      </c>
      <c r="L328" s="281" t="s">
        <v>173</v>
      </c>
      <c r="M328" s="272" t="s">
        <v>175</v>
      </c>
    </row>
    <row r="329" spans="1:13" ht="15.75" customHeight="1">
      <c r="A329" s="267" t="s">
        <v>6527</v>
      </c>
      <c r="B329" s="251" t="s">
        <v>10731</v>
      </c>
      <c r="C329" s="267" t="s">
        <v>6528</v>
      </c>
      <c r="D329" s="267" t="s">
        <v>10732</v>
      </c>
      <c r="E329" s="277" t="s">
        <v>10324</v>
      </c>
      <c r="F329" s="278" t="s">
        <v>6619</v>
      </c>
      <c r="G329" s="279" t="s">
        <v>2512</v>
      </c>
      <c r="H329" s="279" t="s">
        <v>2512</v>
      </c>
      <c r="I329" s="279" t="s">
        <v>2512</v>
      </c>
      <c r="J329" s="278" t="s">
        <v>76</v>
      </c>
      <c r="K329" s="280">
        <v>46.39</v>
      </c>
      <c r="L329" s="281" t="s">
        <v>173</v>
      </c>
      <c r="M329" s="272" t="s">
        <v>175</v>
      </c>
    </row>
    <row r="330" spans="1:13" ht="15.75" customHeight="1">
      <c r="A330" s="267" t="s">
        <v>6527</v>
      </c>
      <c r="B330" s="251" t="s">
        <v>10733</v>
      </c>
      <c r="C330" s="267" t="s">
        <v>6528</v>
      </c>
      <c r="D330" s="267" t="s">
        <v>10734</v>
      </c>
      <c r="E330" s="277" t="s">
        <v>10324</v>
      </c>
      <c r="F330" s="278" t="s">
        <v>6619</v>
      </c>
      <c r="G330" s="279" t="s">
        <v>2512</v>
      </c>
      <c r="H330" s="279" t="s">
        <v>2512</v>
      </c>
      <c r="I330" s="279" t="s">
        <v>2512</v>
      </c>
      <c r="J330" s="278" t="s">
        <v>76</v>
      </c>
      <c r="K330" s="280">
        <v>41.42</v>
      </c>
      <c r="L330" s="281" t="s">
        <v>173</v>
      </c>
      <c r="M330" s="272" t="s">
        <v>175</v>
      </c>
    </row>
    <row r="331" spans="1:13" ht="15.75" customHeight="1">
      <c r="A331" s="267" t="s">
        <v>6527</v>
      </c>
      <c r="B331" s="251" t="s">
        <v>10735</v>
      </c>
      <c r="C331" s="267" t="s">
        <v>6528</v>
      </c>
      <c r="D331" s="267" t="s">
        <v>10736</v>
      </c>
      <c r="E331" s="277" t="s">
        <v>10324</v>
      </c>
      <c r="F331" s="278" t="s">
        <v>6619</v>
      </c>
      <c r="G331" s="279" t="s">
        <v>2512</v>
      </c>
      <c r="H331" s="279" t="s">
        <v>2512</v>
      </c>
      <c r="I331" s="279" t="s">
        <v>2512</v>
      </c>
      <c r="J331" s="278" t="s">
        <v>76</v>
      </c>
      <c r="K331" s="280">
        <v>38.590000000000003</v>
      </c>
      <c r="L331" s="281" t="s">
        <v>173</v>
      </c>
      <c r="M331" s="272" t="s">
        <v>175</v>
      </c>
    </row>
    <row r="332" spans="1:13" ht="15.75" customHeight="1">
      <c r="A332" s="267" t="s">
        <v>6527</v>
      </c>
      <c r="B332" s="251" t="s">
        <v>10737</v>
      </c>
      <c r="C332" s="267" t="s">
        <v>6528</v>
      </c>
      <c r="D332" s="267" t="s">
        <v>10738</v>
      </c>
      <c r="E332" s="277" t="s">
        <v>10324</v>
      </c>
      <c r="F332" s="278" t="s">
        <v>6619</v>
      </c>
      <c r="G332" s="279" t="s">
        <v>2512</v>
      </c>
      <c r="H332" s="279" t="s">
        <v>2512</v>
      </c>
      <c r="I332" s="279" t="s">
        <v>2512</v>
      </c>
      <c r="J332" s="278" t="s">
        <v>76</v>
      </c>
      <c r="K332" s="280">
        <v>36.229999999999997</v>
      </c>
      <c r="L332" s="281" t="s">
        <v>173</v>
      </c>
      <c r="M332" s="272" t="s">
        <v>175</v>
      </c>
    </row>
    <row r="333" spans="1:13" ht="15.75" customHeight="1">
      <c r="A333" s="267" t="s">
        <v>6527</v>
      </c>
      <c r="B333" s="251" t="s">
        <v>10739</v>
      </c>
      <c r="C333" s="267" t="s">
        <v>6528</v>
      </c>
      <c r="D333" s="267" t="s">
        <v>10740</v>
      </c>
      <c r="E333" s="277" t="s">
        <v>10324</v>
      </c>
      <c r="F333" s="278" t="s">
        <v>6619</v>
      </c>
      <c r="G333" s="279" t="s">
        <v>2512</v>
      </c>
      <c r="H333" s="279" t="s">
        <v>2512</v>
      </c>
      <c r="I333" s="279" t="s">
        <v>2512</v>
      </c>
      <c r="J333" s="278" t="s">
        <v>76</v>
      </c>
      <c r="K333" s="280">
        <v>33.86</v>
      </c>
      <c r="L333" s="281" t="s">
        <v>173</v>
      </c>
      <c r="M333" s="272" t="s">
        <v>175</v>
      </c>
    </row>
    <row r="334" spans="1:13" ht="15.75" customHeight="1">
      <c r="A334" s="267" t="s">
        <v>6527</v>
      </c>
      <c r="B334" s="251" t="s">
        <v>10741</v>
      </c>
      <c r="C334" s="267" t="s">
        <v>6528</v>
      </c>
      <c r="D334" s="267" t="s">
        <v>10742</v>
      </c>
      <c r="E334" s="277" t="s">
        <v>10324</v>
      </c>
      <c r="F334" s="278" t="s">
        <v>6619</v>
      </c>
      <c r="G334" s="279" t="s">
        <v>2512</v>
      </c>
      <c r="H334" s="279" t="s">
        <v>2512</v>
      </c>
      <c r="I334" s="279" t="s">
        <v>2512</v>
      </c>
      <c r="J334" s="278" t="s">
        <v>76</v>
      </c>
      <c r="K334" s="280">
        <v>31.5</v>
      </c>
      <c r="L334" s="281" t="s">
        <v>173</v>
      </c>
      <c r="M334" s="272" t="s">
        <v>175</v>
      </c>
    </row>
    <row r="335" spans="1:13" ht="15.75" customHeight="1">
      <c r="A335" s="267" t="s">
        <v>6527</v>
      </c>
      <c r="B335" s="251" t="s">
        <v>10743</v>
      </c>
      <c r="C335" s="267" t="s">
        <v>6528</v>
      </c>
      <c r="D335" s="267" t="s">
        <v>10744</v>
      </c>
      <c r="E335" s="277" t="s">
        <v>10324</v>
      </c>
      <c r="F335" s="278" t="s">
        <v>6619</v>
      </c>
      <c r="G335" s="279" t="s">
        <v>2512</v>
      </c>
      <c r="H335" s="279" t="s">
        <v>2512</v>
      </c>
      <c r="I335" s="279" t="s">
        <v>2512</v>
      </c>
      <c r="J335" s="278" t="s">
        <v>76</v>
      </c>
      <c r="K335" s="280">
        <v>29.14</v>
      </c>
      <c r="L335" s="281" t="s">
        <v>173</v>
      </c>
      <c r="M335" s="272" t="s">
        <v>175</v>
      </c>
    </row>
    <row r="336" spans="1:13" ht="15.75" customHeight="1">
      <c r="A336" s="267" t="s">
        <v>6527</v>
      </c>
      <c r="B336" s="251" t="s">
        <v>10745</v>
      </c>
      <c r="C336" s="267" t="s">
        <v>6528</v>
      </c>
      <c r="D336" s="267" t="s">
        <v>10746</v>
      </c>
      <c r="E336" s="277" t="s">
        <v>10324</v>
      </c>
      <c r="F336" s="278" t="s">
        <v>6619</v>
      </c>
      <c r="G336" s="279" t="s">
        <v>2512</v>
      </c>
      <c r="H336" s="279" t="s">
        <v>2512</v>
      </c>
      <c r="I336" s="279" t="s">
        <v>2512</v>
      </c>
      <c r="J336" s="278" t="s">
        <v>76</v>
      </c>
      <c r="K336" s="280">
        <v>25.99</v>
      </c>
      <c r="L336" s="281" t="s">
        <v>173</v>
      </c>
      <c r="M336" s="272" t="s">
        <v>175</v>
      </c>
    </row>
    <row r="337" spans="1:13" ht="15.75" customHeight="1">
      <c r="A337" s="267" t="s">
        <v>6527</v>
      </c>
      <c r="B337" s="251" t="s">
        <v>10747</v>
      </c>
      <c r="C337" s="267" t="s">
        <v>6528</v>
      </c>
      <c r="D337" s="267" t="s">
        <v>10748</v>
      </c>
      <c r="E337" s="277" t="s">
        <v>10324</v>
      </c>
      <c r="F337" s="278" t="s">
        <v>6619</v>
      </c>
      <c r="G337" s="279" t="s">
        <v>2512</v>
      </c>
      <c r="H337" s="279" t="s">
        <v>2512</v>
      </c>
      <c r="I337" s="279" t="s">
        <v>2512</v>
      </c>
      <c r="J337" s="278" t="s">
        <v>76</v>
      </c>
      <c r="K337" s="280">
        <v>23.63</v>
      </c>
      <c r="L337" s="281" t="s">
        <v>173</v>
      </c>
      <c r="M337" s="272" t="s">
        <v>175</v>
      </c>
    </row>
    <row r="338" spans="1:13" ht="15.75" customHeight="1">
      <c r="A338" s="267" t="s">
        <v>6527</v>
      </c>
      <c r="B338" s="251" t="s">
        <v>10749</v>
      </c>
      <c r="C338" s="267" t="s">
        <v>6528</v>
      </c>
      <c r="D338" s="267" t="s">
        <v>10750</v>
      </c>
      <c r="E338" s="277" t="s">
        <v>10324</v>
      </c>
      <c r="F338" s="278" t="s">
        <v>6619</v>
      </c>
      <c r="G338" s="279" t="s">
        <v>2512</v>
      </c>
      <c r="H338" s="279" t="s">
        <v>2512</v>
      </c>
      <c r="I338" s="279" t="s">
        <v>2512</v>
      </c>
      <c r="J338" s="278" t="s">
        <v>76</v>
      </c>
      <c r="K338" s="280">
        <v>21.26</v>
      </c>
      <c r="L338" s="281" t="s">
        <v>173</v>
      </c>
      <c r="M338" s="272" t="s">
        <v>175</v>
      </c>
    </row>
    <row r="339" spans="1:13" ht="15.75" customHeight="1">
      <c r="A339" s="267" t="s">
        <v>6527</v>
      </c>
      <c r="B339" s="251" t="s">
        <v>10751</v>
      </c>
      <c r="C339" s="267" t="s">
        <v>6528</v>
      </c>
      <c r="D339" s="267" t="s">
        <v>10752</v>
      </c>
      <c r="E339" s="277" t="s">
        <v>10324</v>
      </c>
      <c r="F339" s="278" t="s">
        <v>6619</v>
      </c>
      <c r="G339" s="279" t="s">
        <v>2512</v>
      </c>
      <c r="H339" s="279" t="s">
        <v>2512</v>
      </c>
      <c r="I339" s="279" t="s">
        <v>2512</v>
      </c>
      <c r="J339" s="278" t="s">
        <v>76</v>
      </c>
      <c r="K339" s="280">
        <v>18.899999999999999</v>
      </c>
      <c r="L339" s="281" t="s">
        <v>173</v>
      </c>
      <c r="M339" s="272" t="s">
        <v>175</v>
      </c>
    </row>
    <row r="340" spans="1:13" ht="15.75" customHeight="1">
      <c r="A340" s="267" t="s">
        <v>6527</v>
      </c>
      <c r="B340" s="251" t="s">
        <v>10753</v>
      </c>
      <c r="C340" s="267" t="s">
        <v>6528</v>
      </c>
      <c r="D340" s="267" t="s">
        <v>10754</v>
      </c>
      <c r="E340" s="277" t="s">
        <v>10324</v>
      </c>
      <c r="F340" s="278" t="s">
        <v>6619</v>
      </c>
      <c r="G340" s="279" t="s">
        <v>2512</v>
      </c>
      <c r="H340" s="279" t="s">
        <v>2512</v>
      </c>
      <c r="I340" s="279" t="s">
        <v>2512</v>
      </c>
      <c r="J340" s="278" t="s">
        <v>76</v>
      </c>
      <c r="K340" s="280">
        <v>18.899999999999999</v>
      </c>
      <c r="L340" s="281" t="s">
        <v>173</v>
      </c>
      <c r="M340" s="272" t="s">
        <v>175</v>
      </c>
    </row>
    <row r="341" spans="1:13" ht="15.75" customHeight="1">
      <c r="A341" s="267" t="s">
        <v>6527</v>
      </c>
      <c r="B341" s="251" t="s">
        <v>10755</v>
      </c>
      <c r="C341" s="267" t="s">
        <v>6528</v>
      </c>
      <c r="D341" s="267" t="s">
        <v>10756</v>
      </c>
      <c r="E341" s="277" t="s">
        <v>10324</v>
      </c>
      <c r="F341" s="278" t="s">
        <v>6619</v>
      </c>
      <c r="G341" s="279" t="s">
        <v>2512</v>
      </c>
      <c r="H341" s="279" t="s">
        <v>2512</v>
      </c>
      <c r="I341" s="279" t="s">
        <v>2512</v>
      </c>
      <c r="J341" s="278" t="s">
        <v>76</v>
      </c>
      <c r="K341" s="280">
        <v>18.11</v>
      </c>
      <c r="L341" s="281" t="s">
        <v>173</v>
      </c>
      <c r="M341" s="272" t="s">
        <v>175</v>
      </c>
    </row>
    <row r="342" spans="1:13" ht="15.75" customHeight="1">
      <c r="A342" s="267" t="s">
        <v>6527</v>
      </c>
      <c r="B342" s="251" t="s">
        <v>10757</v>
      </c>
      <c r="C342" s="267" t="s">
        <v>6528</v>
      </c>
      <c r="D342" s="267" t="s">
        <v>10758</v>
      </c>
      <c r="E342" s="277" t="s">
        <v>10324</v>
      </c>
      <c r="F342" s="278" t="s">
        <v>6619</v>
      </c>
      <c r="G342" s="279" t="s">
        <v>2512</v>
      </c>
      <c r="H342" s="279" t="s">
        <v>2512</v>
      </c>
      <c r="I342" s="279" t="s">
        <v>2512</v>
      </c>
      <c r="J342" s="278" t="s">
        <v>76</v>
      </c>
      <c r="K342" s="280">
        <v>17.329999999999998</v>
      </c>
      <c r="L342" s="281" t="s">
        <v>173</v>
      </c>
      <c r="M342" s="272" t="s">
        <v>175</v>
      </c>
    </row>
    <row r="343" spans="1:13" ht="15.75" customHeight="1">
      <c r="A343" s="267" t="s">
        <v>6527</v>
      </c>
      <c r="B343" s="251" t="s">
        <v>10759</v>
      </c>
      <c r="C343" s="267" t="s">
        <v>6528</v>
      </c>
      <c r="D343" s="267" t="s">
        <v>10760</v>
      </c>
      <c r="E343" s="277" t="s">
        <v>10324</v>
      </c>
      <c r="F343" s="278" t="s">
        <v>6619</v>
      </c>
      <c r="G343" s="279" t="s">
        <v>2512</v>
      </c>
      <c r="H343" s="279" t="s">
        <v>2512</v>
      </c>
      <c r="I343" s="279" t="s">
        <v>2512</v>
      </c>
      <c r="J343" s="278" t="s">
        <v>76</v>
      </c>
      <c r="K343" s="280">
        <v>15.75</v>
      </c>
      <c r="L343" s="281" t="s">
        <v>173</v>
      </c>
      <c r="M343" s="272" t="s">
        <v>175</v>
      </c>
    </row>
    <row r="344" spans="1:13" ht="15.75" customHeight="1">
      <c r="A344" s="267" t="s">
        <v>6527</v>
      </c>
      <c r="B344" s="251" t="s">
        <v>10761</v>
      </c>
      <c r="C344" s="267" t="s">
        <v>6528</v>
      </c>
      <c r="D344" s="267" t="s">
        <v>10762</v>
      </c>
      <c r="E344" s="277" t="s">
        <v>10324</v>
      </c>
      <c r="F344" s="278" t="s">
        <v>6619</v>
      </c>
      <c r="G344" s="279" t="s">
        <v>2512</v>
      </c>
      <c r="H344" s="279" t="s">
        <v>2512</v>
      </c>
      <c r="I344" s="279" t="s">
        <v>2512</v>
      </c>
      <c r="J344" s="278" t="s">
        <v>76</v>
      </c>
      <c r="K344" s="280">
        <v>14.96</v>
      </c>
      <c r="L344" s="281" t="s">
        <v>173</v>
      </c>
      <c r="M344" s="272" t="s">
        <v>175</v>
      </c>
    </row>
    <row r="345" spans="1:13" ht="15.75" customHeight="1">
      <c r="A345" s="267" t="s">
        <v>6527</v>
      </c>
      <c r="B345" s="251" t="s">
        <v>10763</v>
      </c>
      <c r="C345" s="267" t="s">
        <v>6528</v>
      </c>
      <c r="D345" s="267" t="s">
        <v>10764</v>
      </c>
      <c r="E345" s="277" t="s">
        <v>10324</v>
      </c>
      <c r="F345" s="278" t="s">
        <v>6619</v>
      </c>
      <c r="G345" s="279" t="s">
        <v>2512</v>
      </c>
      <c r="H345" s="279" t="s">
        <v>2512</v>
      </c>
      <c r="I345" s="279" t="s">
        <v>2512</v>
      </c>
      <c r="J345" s="278" t="s">
        <v>76</v>
      </c>
      <c r="K345" s="280">
        <v>12.6</v>
      </c>
      <c r="L345" s="281" t="s">
        <v>173</v>
      </c>
      <c r="M345" s="272" t="s">
        <v>175</v>
      </c>
    </row>
    <row r="346" spans="1:13" ht="15.75" customHeight="1">
      <c r="A346" s="267" t="s">
        <v>6527</v>
      </c>
      <c r="B346" s="251" t="s">
        <v>10765</v>
      </c>
      <c r="C346" s="267" t="s">
        <v>6528</v>
      </c>
      <c r="D346" s="267" t="s">
        <v>10766</v>
      </c>
      <c r="E346" s="277" t="s">
        <v>10324</v>
      </c>
      <c r="F346" s="278" t="s">
        <v>6619</v>
      </c>
      <c r="G346" s="279" t="s">
        <v>2512</v>
      </c>
      <c r="H346" s="279" t="s">
        <v>2512</v>
      </c>
      <c r="I346" s="279" t="s">
        <v>2512</v>
      </c>
      <c r="J346" s="278" t="s">
        <v>76</v>
      </c>
      <c r="K346" s="280">
        <v>11.81</v>
      </c>
      <c r="L346" s="281" t="s">
        <v>173</v>
      </c>
      <c r="M346" s="272" t="s">
        <v>175</v>
      </c>
    </row>
    <row r="347" spans="1:13" ht="15.75" customHeight="1">
      <c r="A347" s="267" t="s">
        <v>6527</v>
      </c>
      <c r="B347" s="251" t="s">
        <v>10767</v>
      </c>
      <c r="C347" s="267" t="s">
        <v>6528</v>
      </c>
      <c r="D347" s="267" t="s">
        <v>10768</v>
      </c>
      <c r="E347" s="277" t="s">
        <v>10324</v>
      </c>
      <c r="F347" s="278" t="s">
        <v>6619</v>
      </c>
      <c r="G347" s="279" t="s">
        <v>2512</v>
      </c>
      <c r="H347" s="279" t="s">
        <v>2512</v>
      </c>
      <c r="I347" s="279" t="s">
        <v>2512</v>
      </c>
      <c r="J347" s="278" t="s">
        <v>76</v>
      </c>
      <c r="K347" s="280">
        <v>10.24</v>
      </c>
      <c r="L347" s="281" t="s">
        <v>173</v>
      </c>
      <c r="M347" s="272" t="s">
        <v>175</v>
      </c>
    </row>
    <row r="348" spans="1:13" ht="15.75" customHeight="1">
      <c r="A348" s="267" t="s">
        <v>6527</v>
      </c>
      <c r="B348" s="251" t="s">
        <v>10769</v>
      </c>
      <c r="C348" s="267" t="s">
        <v>6528</v>
      </c>
      <c r="D348" s="267" t="s">
        <v>10770</v>
      </c>
      <c r="E348" s="277" t="s">
        <v>10324</v>
      </c>
      <c r="F348" s="278" t="s">
        <v>6619</v>
      </c>
      <c r="G348" s="279" t="s">
        <v>2512</v>
      </c>
      <c r="H348" s="279" t="s">
        <v>2512</v>
      </c>
      <c r="I348" s="279" t="s">
        <v>2512</v>
      </c>
      <c r="J348" s="278" t="s">
        <v>76</v>
      </c>
      <c r="K348" s="280">
        <v>9.4499999999999993</v>
      </c>
      <c r="L348" s="281" t="s">
        <v>173</v>
      </c>
      <c r="M348" s="272" t="s">
        <v>175</v>
      </c>
    </row>
    <row r="349" spans="1:13" ht="15.75" customHeight="1">
      <c r="A349" s="267" t="s">
        <v>6527</v>
      </c>
      <c r="B349" s="251" t="s">
        <v>10771</v>
      </c>
      <c r="C349" s="267" t="s">
        <v>6528</v>
      </c>
      <c r="D349" s="267" t="s">
        <v>10772</v>
      </c>
      <c r="E349" s="277" t="s">
        <v>10324</v>
      </c>
      <c r="F349" s="278" t="s">
        <v>6619</v>
      </c>
      <c r="G349" s="279" t="s">
        <v>2512</v>
      </c>
      <c r="H349" s="279" t="s">
        <v>2512</v>
      </c>
      <c r="I349" s="279" t="s">
        <v>2512</v>
      </c>
      <c r="J349" s="278" t="s">
        <v>76</v>
      </c>
      <c r="K349" s="280">
        <v>18.899999999999999</v>
      </c>
      <c r="L349" s="281" t="s">
        <v>173</v>
      </c>
      <c r="M349" s="272" t="s">
        <v>175</v>
      </c>
    </row>
    <row r="350" spans="1:13" ht="15.75" customHeight="1">
      <c r="A350" s="267" t="s">
        <v>6527</v>
      </c>
      <c r="B350" s="251" t="s">
        <v>10773</v>
      </c>
      <c r="C350" s="267" t="s">
        <v>6528</v>
      </c>
      <c r="D350" s="267" t="s">
        <v>10774</v>
      </c>
      <c r="E350" s="277" t="s">
        <v>10324</v>
      </c>
      <c r="F350" s="278" t="s">
        <v>6619</v>
      </c>
      <c r="G350" s="279" t="s">
        <v>2512</v>
      </c>
      <c r="H350" s="279" t="s">
        <v>2512</v>
      </c>
      <c r="I350" s="279" t="s">
        <v>2512</v>
      </c>
      <c r="J350" s="278" t="s">
        <v>76</v>
      </c>
      <c r="K350" s="280">
        <v>18.11</v>
      </c>
      <c r="L350" s="281" t="s">
        <v>173</v>
      </c>
      <c r="M350" s="272" t="s">
        <v>175</v>
      </c>
    </row>
    <row r="351" spans="1:13" ht="15.75" customHeight="1">
      <c r="A351" s="267" t="s">
        <v>6527</v>
      </c>
      <c r="B351" s="251" t="s">
        <v>10775</v>
      </c>
      <c r="C351" s="267" t="s">
        <v>6528</v>
      </c>
      <c r="D351" s="267" t="s">
        <v>10776</v>
      </c>
      <c r="E351" s="277" t="s">
        <v>10324</v>
      </c>
      <c r="F351" s="278" t="s">
        <v>6619</v>
      </c>
      <c r="G351" s="279" t="s">
        <v>2512</v>
      </c>
      <c r="H351" s="279" t="s">
        <v>2512</v>
      </c>
      <c r="I351" s="279" t="s">
        <v>2512</v>
      </c>
      <c r="J351" s="278" t="s">
        <v>76</v>
      </c>
      <c r="K351" s="280">
        <v>16.54</v>
      </c>
      <c r="L351" s="281" t="s">
        <v>173</v>
      </c>
      <c r="M351" s="272" t="s">
        <v>175</v>
      </c>
    </row>
    <row r="352" spans="1:13" ht="15.75" customHeight="1">
      <c r="A352" s="267" t="s">
        <v>6527</v>
      </c>
      <c r="B352" s="251" t="s">
        <v>10777</v>
      </c>
      <c r="C352" s="267" t="s">
        <v>6528</v>
      </c>
      <c r="D352" s="267" t="s">
        <v>10778</v>
      </c>
      <c r="E352" s="277" t="s">
        <v>10324</v>
      </c>
      <c r="F352" s="278" t="s">
        <v>6619</v>
      </c>
      <c r="G352" s="279" t="s">
        <v>2512</v>
      </c>
      <c r="H352" s="279" t="s">
        <v>2512</v>
      </c>
      <c r="I352" s="279" t="s">
        <v>2512</v>
      </c>
      <c r="J352" s="278" t="s">
        <v>76</v>
      </c>
      <c r="K352" s="280">
        <v>15.75</v>
      </c>
      <c r="L352" s="281" t="s">
        <v>173</v>
      </c>
      <c r="M352" s="272" t="s">
        <v>175</v>
      </c>
    </row>
    <row r="353" spans="1:13" ht="15.75" customHeight="1">
      <c r="A353" s="267" t="s">
        <v>6527</v>
      </c>
      <c r="B353" s="251" t="s">
        <v>10779</v>
      </c>
      <c r="C353" s="267" t="s">
        <v>6528</v>
      </c>
      <c r="D353" s="267" t="s">
        <v>10780</v>
      </c>
      <c r="E353" s="277" t="s">
        <v>10324</v>
      </c>
      <c r="F353" s="278" t="s">
        <v>6619</v>
      </c>
      <c r="G353" s="279" t="s">
        <v>2512</v>
      </c>
      <c r="H353" s="279" t="s">
        <v>2512</v>
      </c>
      <c r="I353" s="279" t="s">
        <v>2512</v>
      </c>
      <c r="J353" s="278" t="s">
        <v>76</v>
      </c>
      <c r="K353" s="280">
        <v>14.18</v>
      </c>
      <c r="L353" s="281" t="s">
        <v>173</v>
      </c>
      <c r="M353" s="272" t="s">
        <v>175</v>
      </c>
    </row>
    <row r="354" spans="1:13" ht="15.75" customHeight="1">
      <c r="A354" s="267" t="s">
        <v>6527</v>
      </c>
      <c r="B354" s="251" t="s">
        <v>10781</v>
      </c>
      <c r="C354" s="267" t="s">
        <v>6528</v>
      </c>
      <c r="D354" s="267" t="s">
        <v>10782</v>
      </c>
      <c r="E354" s="277" t="s">
        <v>10324</v>
      </c>
      <c r="F354" s="278" t="s">
        <v>6619</v>
      </c>
      <c r="G354" s="279" t="s">
        <v>2512</v>
      </c>
      <c r="H354" s="279" t="s">
        <v>2512</v>
      </c>
      <c r="I354" s="279" t="s">
        <v>2512</v>
      </c>
      <c r="J354" s="278" t="s">
        <v>76</v>
      </c>
      <c r="K354" s="280">
        <v>13.39</v>
      </c>
      <c r="L354" s="281" t="s">
        <v>173</v>
      </c>
      <c r="M354" s="272" t="s">
        <v>175</v>
      </c>
    </row>
    <row r="355" spans="1:13" ht="15.75" customHeight="1">
      <c r="A355" s="267" t="s">
        <v>6527</v>
      </c>
      <c r="B355" s="251" t="s">
        <v>10783</v>
      </c>
      <c r="C355" s="267" t="s">
        <v>6528</v>
      </c>
      <c r="D355" s="267" t="s">
        <v>10784</v>
      </c>
      <c r="E355" s="277" t="s">
        <v>10324</v>
      </c>
      <c r="F355" s="278" t="s">
        <v>6619</v>
      </c>
      <c r="G355" s="279" t="s">
        <v>2512</v>
      </c>
      <c r="H355" s="279" t="s">
        <v>2512</v>
      </c>
      <c r="I355" s="279" t="s">
        <v>2512</v>
      </c>
      <c r="J355" s="278" t="s">
        <v>76</v>
      </c>
      <c r="K355" s="280">
        <v>11.81</v>
      </c>
      <c r="L355" s="281" t="s">
        <v>173</v>
      </c>
      <c r="M355" s="272" t="s">
        <v>175</v>
      </c>
    </row>
    <row r="356" spans="1:13" ht="15.75" customHeight="1">
      <c r="A356" s="267" t="s">
        <v>6527</v>
      </c>
      <c r="B356" s="251" t="s">
        <v>10785</v>
      </c>
      <c r="C356" s="267" t="s">
        <v>6528</v>
      </c>
      <c r="D356" s="267" t="s">
        <v>10786</v>
      </c>
      <c r="E356" s="277" t="s">
        <v>10324</v>
      </c>
      <c r="F356" s="278" t="s">
        <v>6619</v>
      </c>
      <c r="G356" s="279" t="s">
        <v>2512</v>
      </c>
      <c r="H356" s="279" t="s">
        <v>2512</v>
      </c>
      <c r="I356" s="279" t="s">
        <v>2512</v>
      </c>
      <c r="J356" s="278" t="s">
        <v>76</v>
      </c>
      <c r="K356" s="280">
        <v>11.03</v>
      </c>
      <c r="L356" s="281" t="s">
        <v>173</v>
      </c>
      <c r="M356" s="272" t="s">
        <v>175</v>
      </c>
    </row>
    <row r="357" spans="1:13" ht="15.75" customHeight="1">
      <c r="A357" s="267" t="s">
        <v>6527</v>
      </c>
      <c r="B357" s="251" t="s">
        <v>10787</v>
      </c>
      <c r="C357" s="267" t="s">
        <v>6528</v>
      </c>
      <c r="D357" s="267" t="s">
        <v>10788</v>
      </c>
      <c r="E357" s="277" t="s">
        <v>10324</v>
      </c>
      <c r="F357" s="278" t="s">
        <v>6619</v>
      </c>
      <c r="G357" s="279" t="s">
        <v>2512</v>
      </c>
      <c r="H357" s="279" t="s">
        <v>2512</v>
      </c>
      <c r="I357" s="279" t="s">
        <v>2512</v>
      </c>
      <c r="J357" s="278" t="s">
        <v>76</v>
      </c>
      <c r="K357" s="280">
        <v>9.4499999999999993</v>
      </c>
      <c r="L357" s="281" t="s">
        <v>173</v>
      </c>
      <c r="M357" s="272" t="s">
        <v>175</v>
      </c>
    </row>
    <row r="358" spans="1:13" ht="15.75" customHeight="1">
      <c r="A358" s="267" t="s">
        <v>6527</v>
      </c>
      <c r="B358" s="251" t="s">
        <v>10789</v>
      </c>
      <c r="C358" s="267" t="s">
        <v>6528</v>
      </c>
      <c r="D358" s="267" t="s">
        <v>10790</v>
      </c>
      <c r="E358" s="277" t="s">
        <v>10324</v>
      </c>
      <c r="F358" s="278" t="s">
        <v>6619</v>
      </c>
      <c r="G358" s="279" t="s">
        <v>2512</v>
      </c>
      <c r="H358" s="279" t="s">
        <v>2512</v>
      </c>
      <c r="I358" s="279" t="s">
        <v>2512</v>
      </c>
      <c r="J358" s="278" t="s">
        <v>76</v>
      </c>
      <c r="K358" s="280">
        <v>18.899999999999999</v>
      </c>
      <c r="L358" s="281" t="s">
        <v>173</v>
      </c>
      <c r="M358" s="272" t="s">
        <v>175</v>
      </c>
    </row>
    <row r="359" spans="1:13" ht="15.75" customHeight="1">
      <c r="A359" s="267" t="s">
        <v>6527</v>
      </c>
      <c r="B359" s="251" t="s">
        <v>10791</v>
      </c>
      <c r="C359" s="267" t="s">
        <v>6528</v>
      </c>
      <c r="D359" s="267" t="s">
        <v>10792</v>
      </c>
      <c r="E359" s="277" t="s">
        <v>10324</v>
      </c>
      <c r="F359" s="278" t="s">
        <v>6619</v>
      </c>
      <c r="G359" s="279" t="s">
        <v>2512</v>
      </c>
      <c r="H359" s="279" t="s">
        <v>2512</v>
      </c>
      <c r="I359" s="279" t="s">
        <v>2512</v>
      </c>
      <c r="J359" s="278" t="s">
        <v>76</v>
      </c>
      <c r="K359" s="280">
        <v>48.83</v>
      </c>
      <c r="L359" s="281" t="s">
        <v>173</v>
      </c>
      <c r="M359" s="272" t="s">
        <v>175</v>
      </c>
    </row>
    <row r="360" spans="1:13" ht="15.75" customHeight="1">
      <c r="A360" s="267" t="s">
        <v>6527</v>
      </c>
      <c r="B360" s="251" t="s">
        <v>10793</v>
      </c>
      <c r="C360" s="267" t="s">
        <v>6528</v>
      </c>
      <c r="D360" s="267" t="s">
        <v>10794</v>
      </c>
      <c r="E360" s="277" t="s">
        <v>10324</v>
      </c>
      <c r="F360" s="278" t="s">
        <v>6619</v>
      </c>
      <c r="G360" s="279" t="s">
        <v>2512</v>
      </c>
      <c r="H360" s="279" t="s">
        <v>2512</v>
      </c>
      <c r="I360" s="279" t="s">
        <v>2512</v>
      </c>
      <c r="J360" s="278" t="s">
        <v>76</v>
      </c>
      <c r="K360" s="280">
        <v>46.46</v>
      </c>
      <c r="L360" s="281" t="s">
        <v>173</v>
      </c>
      <c r="M360" s="272" t="s">
        <v>175</v>
      </c>
    </row>
    <row r="361" spans="1:13" ht="15.75" customHeight="1">
      <c r="A361" s="267" t="s">
        <v>6527</v>
      </c>
      <c r="B361" s="251" t="s">
        <v>10795</v>
      </c>
      <c r="C361" s="267" t="s">
        <v>6528</v>
      </c>
      <c r="D361" s="267" t="s">
        <v>10796</v>
      </c>
      <c r="E361" s="277" t="s">
        <v>10324</v>
      </c>
      <c r="F361" s="278" t="s">
        <v>6619</v>
      </c>
      <c r="G361" s="279" t="s">
        <v>2512</v>
      </c>
      <c r="H361" s="279" t="s">
        <v>2512</v>
      </c>
      <c r="I361" s="279" t="s">
        <v>2512</v>
      </c>
      <c r="J361" s="278" t="s">
        <v>76</v>
      </c>
      <c r="K361" s="280">
        <v>42.53</v>
      </c>
      <c r="L361" s="281" t="s">
        <v>173</v>
      </c>
      <c r="M361" s="272" t="s">
        <v>175</v>
      </c>
    </row>
    <row r="362" spans="1:13" ht="15.75" customHeight="1">
      <c r="A362" s="267" t="s">
        <v>6527</v>
      </c>
      <c r="B362" s="251" t="s">
        <v>10797</v>
      </c>
      <c r="C362" s="267" t="s">
        <v>6528</v>
      </c>
      <c r="D362" s="267" t="s">
        <v>10798</v>
      </c>
      <c r="E362" s="277" t="s">
        <v>10324</v>
      </c>
      <c r="F362" s="278" t="s">
        <v>6619</v>
      </c>
      <c r="G362" s="279" t="s">
        <v>2512</v>
      </c>
      <c r="H362" s="279" t="s">
        <v>2512</v>
      </c>
      <c r="I362" s="279" t="s">
        <v>2512</v>
      </c>
      <c r="J362" s="278" t="s">
        <v>76</v>
      </c>
      <c r="K362" s="280">
        <v>40.159999999999997</v>
      </c>
      <c r="L362" s="281" t="s">
        <v>173</v>
      </c>
      <c r="M362" s="272" t="s">
        <v>175</v>
      </c>
    </row>
    <row r="363" spans="1:13" ht="15.75" customHeight="1">
      <c r="A363" s="267" t="s">
        <v>6527</v>
      </c>
      <c r="B363" s="251" t="s">
        <v>10799</v>
      </c>
      <c r="C363" s="267" t="s">
        <v>6528</v>
      </c>
      <c r="D363" s="267" t="s">
        <v>10800</v>
      </c>
      <c r="E363" s="277" t="s">
        <v>10324</v>
      </c>
      <c r="F363" s="278" t="s">
        <v>6619</v>
      </c>
      <c r="G363" s="279" t="s">
        <v>2512</v>
      </c>
      <c r="H363" s="279" t="s">
        <v>2512</v>
      </c>
      <c r="I363" s="279" t="s">
        <v>2512</v>
      </c>
      <c r="J363" s="278" t="s">
        <v>76</v>
      </c>
      <c r="K363" s="280">
        <v>37.01</v>
      </c>
      <c r="L363" s="281" t="s">
        <v>173</v>
      </c>
      <c r="M363" s="272" t="s">
        <v>175</v>
      </c>
    </row>
    <row r="364" spans="1:13" ht="15.75" customHeight="1">
      <c r="A364" s="267" t="s">
        <v>6527</v>
      </c>
      <c r="B364" s="251" t="s">
        <v>10801</v>
      </c>
      <c r="C364" s="267" t="s">
        <v>6528</v>
      </c>
      <c r="D364" s="267" t="s">
        <v>10802</v>
      </c>
      <c r="E364" s="277" t="s">
        <v>10324</v>
      </c>
      <c r="F364" s="278" t="s">
        <v>6619</v>
      </c>
      <c r="G364" s="279" t="s">
        <v>2512</v>
      </c>
      <c r="H364" s="279" t="s">
        <v>2512</v>
      </c>
      <c r="I364" s="279" t="s">
        <v>2512</v>
      </c>
      <c r="J364" s="278" t="s">
        <v>76</v>
      </c>
      <c r="K364" s="280">
        <v>33.86</v>
      </c>
      <c r="L364" s="281" t="s">
        <v>173</v>
      </c>
      <c r="M364" s="272" t="s">
        <v>175</v>
      </c>
    </row>
    <row r="365" spans="1:13" ht="15.75" customHeight="1">
      <c r="A365" s="267" t="s">
        <v>6527</v>
      </c>
      <c r="B365" s="251" t="s">
        <v>10803</v>
      </c>
      <c r="C365" s="267" t="s">
        <v>6528</v>
      </c>
      <c r="D365" s="267" t="s">
        <v>10804</v>
      </c>
      <c r="E365" s="277" t="s">
        <v>10324</v>
      </c>
      <c r="F365" s="278" t="s">
        <v>6619</v>
      </c>
      <c r="G365" s="279" t="s">
        <v>2512</v>
      </c>
      <c r="H365" s="279" t="s">
        <v>2512</v>
      </c>
      <c r="I365" s="279" t="s">
        <v>2512</v>
      </c>
      <c r="J365" s="278" t="s">
        <v>76</v>
      </c>
      <c r="K365" s="280">
        <v>30.71</v>
      </c>
      <c r="L365" s="281" t="s">
        <v>173</v>
      </c>
      <c r="M365" s="272" t="s">
        <v>175</v>
      </c>
    </row>
    <row r="366" spans="1:13" ht="15.75" customHeight="1">
      <c r="A366" s="267" t="s">
        <v>6527</v>
      </c>
      <c r="B366" s="251" t="s">
        <v>10805</v>
      </c>
      <c r="C366" s="267" t="s">
        <v>6528</v>
      </c>
      <c r="D366" s="267" t="s">
        <v>10806</v>
      </c>
      <c r="E366" s="277" t="s">
        <v>10324</v>
      </c>
      <c r="F366" s="278" t="s">
        <v>6619</v>
      </c>
      <c r="G366" s="279" t="s">
        <v>2512</v>
      </c>
      <c r="H366" s="279" t="s">
        <v>2512</v>
      </c>
      <c r="I366" s="279" t="s">
        <v>2512</v>
      </c>
      <c r="J366" s="278" t="s">
        <v>76</v>
      </c>
      <c r="K366" s="280">
        <v>27.56</v>
      </c>
      <c r="L366" s="281" t="s">
        <v>173</v>
      </c>
      <c r="M366" s="272" t="s">
        <v>175</v>
      </c>
    </row>
    <row r="367" spans="1:13" ht="15.75" customHeight="1">
      <c r="A367" s="267" t="s">
        <v>6527</v>
      </c>
      <c r="B367" s="251" t="s">
        <v>10807</v>
      </c>
      <c r="C367" s="267" t="s">
        <v>6528</v>
      </c>
      <c r="D367" s="267" t="s">
        <v>10808</v>
      </c>
      <c r="E367" s="277" t="s">
        <v>10324</v>
      </c>
      <c r="F367" s="278" t="s">
        <v>6619</v>
      </c>
      <c r="G367" s="279" t="s">
        <v>2512</v>
      </c>
      <c r="H367" s="279" t="s">
        <v>2512</v>
      </c>
      <c r="I367" s="279" t="s">
        <v>2512</v>
      </c>
      <c r="J367" s="278" t="s">
        <v>76</v>
      </c>
      <c r="K367" s="280">
        <v>24.41</v>
      </c>
      <c r="L367" s="281" t="s">
        <v>173</v>
      </c>
      <c r="M367" s="272" t="s">
        <v>175</v>
      </c>
    </row>
    <row r="368" spans="1:13" ht="15.75" customHeight="1">
      <c r="A368" s="267" t="s">
        <v>6527</v>
      </c>
      <c r="B368" s="251" t="s">
        <v>10809</v>
      </c>
      <c r="C368" s="267" t="s">
        <v>6528</v>
      </c>
      <c r="D368" s="267" t="s">
        <v>10810</v>
      </c>
      <c r="E368" s="277" t="s">
        <v>10324</v>
      </c>
      <c r="F368" s="278" t="s">
        <v>6619</v>
      </c>
      <c r="G368" s="279" t="s">
        <v>2512</v>
      </c>
      <c r="H368" s="279" t="s">
        <v>2512</v>
      </c>
      <c r="I368" s="279" t="s">
        <v>2512</v>
      </c>
      <c r="J368" s="278" t="s">
        <v>76</v>
      </c>
      <c r="K368" s="280">
        <v>48.83</v>
      </c>
      <c r="L368" s="281" t="s">
        <v>173</v>
      </c>
      <c r="M368" s="272" t="s">
        <v>175</v>
      </c>
    </row>
    <row r="369" spans="1:13" ht="15.75" customHeight="1">
      <c r="A369" s="267" t="s">
        <v>6527</v>
      </c>
      <c r="B369" s="251" t="s">
        <v>10811</v>
      </c>
      <c r="C369" s="267" t="s">
        <v>6528</v>
      </c>
      <c r="D369" s="267" t="s">
        <v>10812</v>
      </c>
      <c r="E369" s="277" t="s">
        <v>10324</v>
      </c>
      <c r="F369" s="278" t="s">
        <v>6619</v>
      </c>
      <c r="G369" s="279" t="s">
        <v>2512</v>
      </c>
      <c r="H369" s="279" t="s">
        <v>2512</v>
      </c>
      <c r="I369" s="279" t="s">
        <v>2512</v>
      </c>
      <c r="J369" s="278" t="s">
        <v>76</v>
      </c>
      <c r="K369" s="280">
        <v>19.690000000000001</v>
      </c>
      <c r="L369" s="281" t="s">
        <v>173</v>
      </c>
      <c r="M369" s="272" t="s">
        <v>175</v>
      </c>
    </row>
    <row r="370" spans="1:13" ht="15.75" customHeight="1">
      <c r="A370" s="267" t="s">
        <v>6527</v>
      </c>
      <c r="B370" s="251" t="s">
        <v>10813</v>
      </c>
      <c r="C370" s="267" t="s">
        <v>6528</v>
      </c>
      <c r="D370" s="267" t="s">
        <v>10814</v>
      </c>
      <c r="E370" s="277" t="s">
        <v>10324</v>
      </c>
      <c r="F370" s="278" t="s">
        <v>6619</v>
      </c>
      <c r="G370" s="279" t="s">
        <v>2512</v>
      </c>
      <c r="H370" s="279" t="s">
        <v>2512</v>
      </c>
      <c r="I370" s="279" t="s">
        <v>2512</v>
      </c>
      <c r="J370" s="278" t="s">
        <v>76</v>
      </c>
      <c r="K370" s="280">
        <v>15.75</v>
      </c>
      <c r="L370" s="281" t="s">
        <v>173</v>
      </c>
      <c r="M370" s="272" t="s">
        <v>175</v>
      </c>
    </row>
    <row r="371" spans="1:13" ht="15.75" customHeight="1">
      <c r="A371" s="267" t="s">
        <v>6527</v>
      </c>
      <c r="B371" s="251" t="s">
        <v>10815</v>
      </c>
      <c r="C371" s="267" t="s">
        <v>6528</v>
      </c>
      <c r="D371" s="267" t="s">
        <v>10816</v>
      </c>
      <c r="E371" s="277" t="s">
        <v>10324</v>
      </c>
      <c r="F371" s="278" t="s">
        <v>6619</v>
      </c>
      <c r="G371" s="279" t="s">
        <v>2512</v>
      </c>
      <c r="H371" s="279" t="s">
        <v>2512</v>
      </c>
      <c r="I371" s="279" t="s">
        <v>2512</v>
      </c>
      <c r="J371" s="278" t="s">
        <v>76</v>
      </c>
      <c r="K371" s="280">
        <v>13.39</v>
      </c>
      <c r="L371" s="281" t="s">
        <v>173</v>
      </c>
      <c r="M371" s="272" t="s">
        <v>175</v>
      </c>
    </row>
    <row r="372" spans="1:13" ht="15.75" customHeight="1">
      <c r="A372" s="267" t="s">
        <v>6527</v>
      </c>
      <c r="B372" s="251" t="s">
        <v>10817</v>
      </c>
      <c r="C372" s="267" t="s">
        <v>6528</v>
      </c>
      <c r="D372" s="267" t="s">
        <v>10818</v>
      </c>
      <c r="E372" s="277" t="s">
        <v>10324</v>
      </c>
      <c r="F372" s="278" t="s">
        <v>6619</v>
      </c>
      <c r="G372" s="279" t="s">
        <v>2512</v>
      </c>
      <c r="H372" s="279" t="s">
        <v>2512</v>
      </c>
      <c r="I372" s="279" t="s">
        <v>2512</v>
      </c>
      <c r="J372" s="278" t="s">
        <v>76</v>
      </c>
      <c r="K372" s="280">
        <v>11.03</v>
      </c>
      <c r="L372" s="281" t="s">
        <v>173</v>
      </c>
      <c r="M372" s="272" t="s">
        <v>175</v>
      </c>
    </row>
    <row r="373" spans="1:13" ht="15.75" customHeight="1">
      <c r="A373" s="267" t="s">
        <v>6527</v>
      </c>
      <c r="B373" s="251" t="s">
        <v>10819</v>
      </c>
      <c r="C373" s="267" t="s">
        <v>6528</v>
      </c>
      <c r="D373" s="267" t="s">
        <v>10820</v>
      </c>
      <c r="E373" s="277" t="s">
        <v>10324</v>
      </c>
      <c r="F373" s="278" t="s">
        <v>6619</v>
      </c>
      <c r="G373" s="279" t="s">
        <v>2512</v>
      </c>
      <c r="H373" s="279" t="s">
        <v>2512</v>
      </c>
      <c r="I373" s="279" t="s">
        <v>2512</v>
      </c>
      <c r="J373" s="278" t="s">
        <v>76</v>
      </c>
      <c r="K373" s="280">
        <v>8.66</v>
      </c>
      <c r="L373" s="281" t="s">
        <v>173</v>
      </c>
      <c r="M373" s="272" t="s">
        <v>175</v>
      </c>
    </row>
    <row r="374" spans="1:13" ht="15.75" customHeight="1">
      <c r="A374" s="267" t="s">
        <v>6527</v>
      </c>
      <c r="B374" s="251" t="s">
        <v>10821</v>
      </c>
      <c r="C374" s="267" t="s">
        <v>6528</v>
      </c>
      <c r="D374" s="267" t="s">
        <v>10822</v>
      </c>
      <c r="E374" s="277" t="s">
        <v>10324</v>
      </c>
      <c r="F374" s="278" t="s">
        <v>6619</v>
      </c>
      <c r="G374" s="279" t="s">
        <v>2512</v>
      </c>
      <c r="H374" s="279" t="s">
        <v>2512</v>
      </c>
      <c r="I374" s="279" t="s">
        <v>2512</v>
      </c>
      <c r="J374" s="278" t="s">
        <v>76</v>
      </c>
      <c r="K374" s="280">
        <v>42.53</v>
      </c>
      <c r="L374" s="281" t="s">
        <v>173</v>
      </c>
      <c r="M374" s="272" t="s">
        <v>175</v>
      </c>
    </row>
    <row r="375" spans="1:13" ht="15.75" customHeight="1">
      <c r="A375" s="267" t="s">
        <v>6527</v>
      </c>
      <c r="B375" s="251" t="s">
        <v>10823</v>
      </c>
      <c r="C375" s="267" t="s">
        <v>6528</v>
      </c>
      <c r="D375" s="267" t="s">
        <v>10824</v>
      </c>
      <c r="E375" s="277" t="s">
        <v>10324</v>
      </c>
      <c r="F375" s="278" t="s">
        <v>6619</v>
      </c>
      <c r="G375" s="279" t="s">
        <v>2512</v>
      </c>
      <c r="H375" s="279" t="s">
        <v>2512</v>
      </c>
      <c r="I375" s="279" t="s">
        <v>2512</v>
      </c>
      <c r="J375" s="278" t="s">
        <v>76</v>
      </c>
      <c r="K375" s="280">
        <v>40.159999999999997</v>
      </c>
      <c r="L375" s="281" t="s">
        <v>173</v>
      </c>
      <c r="M375" s="272" t="s">
        <v>175</v>
      </c>
    </row>
    <row r="376" spans="1:13" ht="15.75" customHeight="1">
      <c r="A376" s="267" t="s">
        <v>6527</v>
      </c>
      <c r="B376" s="251" t="s">
        <v>10825</v>
      </c>
      <c r="C376" s="267" t="s">
        <v>6528</v>
      </c>
      <c r="D376" s="267" t="s">
        <v>10826</v>
      </c>
      <c r="E376" s="277" t="s">
        <v>10324</v>
      </c>
      <c r="F376" s="278" t="s">
        <v>6619</v>
      </c>
      <c r="G376" s="279" t="s">
        <v>2512</v>
      </c>
      <c r="H376" s="279" t="s">
        <v>2512</v>
      </c>
      <c r="I376" s="279" t="s">
        <v>2512</v>
      </c>
      <c r="J376" s="278" t="s">
        <v>76</v>
      </c>
      <c r="K376" s="280">
        <v>37.01</v>
      </c>
      <c r="L376" s="281" t="s">
        <v>173</v>
      </c>
      <c r="M376" s="272" t="s">
        <v>175</v>
      </c>
    </row>
    <row r="377" spans="1:13" ht="15.75" customHeight="1">
      <c r="A377" s="267" t="s">
        <v>6527</v>
      </c>
      <c r="B377" s="251" t="s">
        <v>10827</v>
      </c>
      <c r="C377" s="267" t="s">
        <v>6528</v>
      </c>
      <c r="D377" s="267" t="s">
        <v>10828</v>
      </c>
      <c r="E377" s="277" t="s">
        <v>10324</v>
      </c>
      <c r="F377" s="278" t="s">
        <v>6619</v>
      </c>
      <c r="G377" s="279" t="s">
        <v>2512</v>
      </c>
      <c r="H377" s="279" t="s">
        <v>2512</v>
      </c>
      <c r="I377" s="279" t="s">
        <v>2512</v>
      </c>
      <c r="J377" s="278" t="s">
        <v>76</v>
      </c>
      <c r="K377" s="280">
        <v>34.65</v>
      </c>
      <c r="L377" s="281" t="s">
        <v>173</v>
      </c>
      <c r="M377" s="272" t="s">
        <v>175</v>
      </c>
    </row>
    <row r="378" spans="1:13" ht="15.75" customHeight="1">
      <c r="A378" s="267" t="s">
        <v>6527</v>
      </c>
      <c r="B378" s="251" t="s">
        <v>10829</v>
      </c>
      <c r="C378" s="267" t="s">
        <v>6528</v>
      </c>
      <c r="D378" s="267" t="s">
        <v>10830</v>
      </c>
      <c r="E378" s="277" t="s">
        <v>10324</v>
      </c>
      <c r="F378" s="278" t="s">
        <v>6619</v>
      </c>
      <c r="G378" s="279" t="s">
        <v>2512</v>
      </c>
      <c r="H378" s="279" t="s">
        <v>2512</v>
      </c>
      <c r="I378" s="279" t="s">
        <v>2512</v>
      </c>
      <c r="J378" s="278" t="s">
        <v>76</v>
      </c>
      <c r="K378" s="280">
        <v>32.29</v>
      </c>
      <c r="L378" s="281" t="s">
        <v>173</v>
      </c>
      <c r="M378" s="272" t="s">
        <v>175</v>
      </c>
    </row>
    <row r="379" spans="1:13" ht="15.75" customHeight="1">
      <c r="A379" s="267" t="s">
        <v>6527</v>
      </c>
      <c r="B379" s="251" t="s">
        <v>10831</v>
      </c>
      <c r="C379" s="267" t="s">
        <v>6528</v>
      </c>
      <c r="D379" s="267" t="s">
        <v>10832</v>
      </c>
      <c r="E379" s="277" t="s">
        <v>10324</v>
      </c>
      <c r="F379" s="278" t="s">
        <v>6619</v>
      </c>
      <c r="G379" s="279" t="s">
        <v>2512</v>
      </c>
      <c r="H379" s="279" t="s">
        <v>2512</v>
      </c>
      <c r="I379" s="279" t="s">
        <v>2512</v>
      </c>
      <c r="J379" s="278" t="s">
        <v>76</v>
      </c>
      <c r="K379" s="280">
        <v>29.14</v>
      </c>
      <c r="L379" s="281" t="s">
        <v>173</v>
      </c>
      <c r="M379" s="272" t="s">
        <v>175</v>
      </c>
    </row>
    <row r="380" spans="1:13" ht="15.75" customHeight="1">
      <c r="A380" s="267" t="s">
        <v>6527</v>
      </c>
      <c r="B380" s="251" t="s">
        <v>10833</v>
      </c>
      <c r="C380" s="267" t="s">
        <v>6528</v>
      </c>
      <c r="D380" s="267" t="s">
        <v>10834</v>
      </c>
      <c r="E380" s="277" t="s">
        <v>10324</v>
      </c>
      <c r="F380" s="278" t="s">
        <v>6619</v>
      </c>
      <c r="G380" s="279" t="s">
        <v>2512</v>
      </c>
      <c r="H380" s="279" t="s">
        <v>2512</v>
      </c>
      <c r="I380" s="279" t="s">
        <v>2512</v>
      </c>
      <c r="J380" s="278" t="s">
        <v>76</v>
      </c>
      <c r="K380" s="280">
        <v>26.78</v>
      </c>
      <c r="L380" s="281" t="s">
        <v>173</v>
      </c>
      <c r="M380" s="272" t="s">
        <v>175</v>
      </c>
    </row>
    <row r="381" spans="1:13" ht="15.75" customHeight="1">
      <c r="A381" s="267" t="s">
        <v>6527</v>
      </c>
      <c r="B381" s="251" t="s">
        <v>10835</v>
      </c>
      <c r="C381" s="267" t="s">
        <v>6528</v>
      </c>
      <c r="D381" s="267" t="s">
        <v>10836</v>
      </c>
      <c r="E381" s="277" t="s">
        <v>10324</v>
      </c>
      <c r="F381" s="278" t="s">
        <v>6619</v>
      </c>
      <c r="G381" s="279" t="s">
        <v>2512</v>
      </c>
      <c r="H381" s="279" t="s">
        <v>2512</v>
      </c>
      <c r="I381" s="279" t="s">
        <v>2512</v>
      </c>
      <c r="J381" s="278" t="s">
        <v>76</v>
      </c>
      <c r="K381" s="280">
        <v>23.63</v>
      </c>
      <c r="L381" s="281" t="s">
        <v>173</v>
      </c>
      <c r="M381" s="272" t="s">
        <v>175</v>
      </c>
    </row>
    <row r="382" spans="1:13" ht="15.75" customHeight="1">
      <c r="A382" s="267" t="s">
        <v>6527</v>
      </c>
      <c r="B382" s="251" t="s">
        <v>10837</v>
      </c>
      <c r="C382" s="267" t="s">
        <v>6528</v>
      </c>
      <c r="D382" s="267" t="s">
        <v>10838</v>
      </c>
      <c r="E382" s="277" t="s">
        <v>10324</v>
      </c>
      <c r="F382" s="278" t="s">
        <v>6619</v>
      </c>
      <c r="G382" s="279" t="s">
        <v>2512</v>
      </c>
      <c r="H382" s="279" t="s">
        <v>2512</v>
      </c>
      <c r="I382" s="279" t="s">
        <v>2512</v>
      </c>
      <c r="J382" s="278" t="s">
        <v>76</v>
      </c>
      <c r="K382" s="280">
        <v>21.26</v>
      </c>
      <c r="L382" s="281" t="s">
        <v>173</v>
      </c>
      <c r="M382" s="272" t="s">
        <v>175</v>
      </c>
    </row>
    <row r="383" spans="1:13" ht="15.75" customHeight="1">
      <c r="A383" s="267" t="s">
        <v>6527</v>
      </c>
      <c r="B383" s="251" t="s">
        <v>10839</v>
      </c>
      <c r="C383" s="267" t="s">
        <v>6528</v>
      </c>
      <c r="D383" s="267" t="s">
        <v>10840</v>
      </c>
      <c r="E383" s="277" t="s">
        <v>10324</v>
      </c>
      <c r="F383" s="278" t="s">
        <v>6619</v>
      </c>
      <c r="G383" s="279" t="s">
        <v>2512</v>
      </c>
      <c r="H383" s="279" t="s">
        <v>2512</v>
      </c>
      <c r="I383" s="279" t="s">
        <v>2512</v>
      </c>
      <c r="J383" s="278" t="s">
        <v>76</v>
      </c>
      <c r="K383" s="280">
        <v>21.26</v>
      </c>
      <c r="L383" s="281" t="s">
        <v>173</v>
      </c>
      <c r="M383" s="272" t="s">
        <v>175</v>
      </c>
    </row>
    <row r="384" spans="1:13" ht="15.75" customHeight="1">
      <c r="A384" s="267" t="s">
        <v>6527</v>
      </c>
      <c r="B384" s="251" t="s">
        <v>10841</v>
      </c>
      <c r="C384" s="267" t="s">
        <v>6528</v>
      </c>
      <c r="D384" s="267" t="s">
        <v>10842</v>
      </c>
      <c r="E384" s="277" t="s">
        <v>10324</v>
      </c>
      <c r="F384" s="278" t="s">
        <v>6619</v>
      </c>
      <c r="G384" s="279" t="s">
        <v>2512</v>
      </c>
      <c r="H384" s="279" t="s">
        <v>2512</v>
      </c>
      <c r="I384" s="279" t="s">
        <v>2512</v>
      </c>
      <c r="J384" s="278" t="s">
        <v>76</v>
      </c>
      <c r="K384" s="280">
        <v>18.899999999999999</v>
      </c>
      <c r="L384" s="281" t="s">
        <v>173</v>
      </c>
      <c r="M384" s="272" t="s">
        <v>175</v>
      </c>
    </row>
    <row r="385" spans="1:13" ht="15.75" customHeight="1">
      <c r="A385" s="267" t="s">
        <v>6527</v>
      </c>
      <c r="B385" s="251" t="s">
        <v>10843</v>
      </c>
      <c r="C385" s="267" t="s">
        <v>6528</v>
      </c>
      <c r="D385" s="267" t="s">
        <v>10844</v>
      </c>
      <c r="E385" s="277" t="s">
        <v>10324</v>
      </c>
      <c r="F385" s="278" t="s">
        <v>6619</v>
      </c>
      <c r="G385" s="279" t="s">
        <v>2512</v>
      </c>
      <c r="H385" s="279" t="s">
        <v>2512</v>
      </c>
      <c r="I385" s="279" t="s">
        <v>2512</v>
      </c>
      <c r="J385" s="278" t="s">
        <v>76</v>
      </c>
      <c r="K385" s="280">
        <v>17.329999999999998</v>
      </c>
      <c r="L385" s="281" t="s">
        <v>173</v>
      </c>
      <c r="M385" s="272" t="s">
        <v>175</v>
      </c>
    </row>
    <row r="386" spans="1:13" ht="15.75" customHeight="1">
      <c r="A386" s="267" t="s">
        <v>6527</v>
      </c>
      <c r="B386" s="251" t="s">
        <v>10845</v>
      </c>
      <c r="C386" s="267" t="s">
        <v>6528</v>
      </c>
      <c r="D386" s="267" t="s">
        <v>10846</v>
      </c>
      <c r="E386" s="277" t="s">
        <v>10324</v>
      </c>
      <c r="F386" s="278" t="s">
        <v>6619</v>
      </c>
      <c r="G386" s="279" t="s">
        <v>2512</v>
      </c>
      <c r="H386" s="279" t="s">
        <v>2512</v>
      </c>
      <c r="I386" s="279" t="s">
        <v>2512</v>
      </c>
      <c r="J386" s="278" t="s">
        <v>76</v>
      </c>
      <c r="K386" s="280">
        <v>15.75</v>
      </c>
      <c r="L386" s="281" t="s">
        <v>173</v>
      </c>
      <c r="M386" s="272" t="s">
        <v>175</v>
      </c>
    </row>
    <row r="387" spans="1:13" ht="15.75" customHeight="1">
      <c r="A387" s="267" t="s">
        <v>6527</v>
      </c>
      <c r="B387" s="251" t="s">
        <v>10847</v>
      </c>
      <c r="C387" s="267" t="s">
        <v>6528</v>
      </c>
      <c r="D387" s="267" t="s">
        <v>10848</v>
      </c>
      <c r="E387" s="277" t="s">
        <v>10324</v>
      </c>
      <c r="F387" s="278" t="s">
        <v>6619</v>
      </c>
      <c r="G387" s="279" t="s">
        <v>2512</v>
      </c>
      <c r="H387" s="279" t="s">
        <v>2512</v>
      </c>
      <c r="I387" s="279" t="s">
        <v>2512</v>
      </c>
      <c r="J387" s="278" t="s">
        <v>76</v>
      </c>
      <c r="K387" s="280">
        <v>14.96</v>
      </c>
      <c r="L387" s="281" t="s">
        <v>173</v>
      </c>
      <c r="M387" s="272" t="s">
        <v>175</v>
      </c>
    </row>
    <row r="388" spans="1:13" ht="15.75" customHeight="1">
      <c r="A388" s="267" t="s">
        <v>6527</v>
      </c>
      <c r="B388" s="251" t="s">
        <v>10849</v>
      </c>
      <c r="C388" s="267" t="s">
        <v>6528</v>
      </c>
      <c r="D388" s="267" t="s">
        <v>10850</v>
      </c>
      <c r="E388" s="277" t="s">
        <v>10324</v>
      </c>
      <c r="F388" s="278" t="s">
        <v>6619</v>
      </c>
      <c r="G388" s="279" t="s">
        <v>2512</v>
      </c>
      <c r="H388" s="279" t="s">
        <v>2512</v>
      </c>
      <c r="I388" s="279" t="s">
        <v>2512</v>
      </c>
      <c r="J388" s="278" t="s">
        <v>76</v>
      </c>
      <c r="K388" s="280">
        <v>14.18</v>
      </c>
      <c r="L388" s="281" t="s">
        <v>173</v>
      </c>
      <c r="M388" s="272" t="s">
        <v>175</v>
      </c>
    </row>
    <row r="389" spans="1:13" ht="15.75" customHeight="1">
      <c r="A389" s="267" t="s">
        <v>6527</v>
      </c>
      <c r="B389" s="251" t="s">
        <v>10851</v>
      </c>
      <c r="C389" s="267" t="s">
        <v>6528</v>
      </c>
      <c r="D389" s="267" t="s">
        <v>10852</v>
      </c>
      <c r="E389" s="277" t="s">
        <v>10324</v>
      </c>
      <c r="F389" s="278" t="s">
        <v>6619</v>
      </c>
      <c r="G389" s="279" t="s">
        <v>2512</v>
      </c>
      <c r="H389" s="279" t="s">
        <v>2512</v>
      </c>
      <c r="I389" s="279" t="s">
        <v>2512</v>
      </c>
      <c r="J389" s="278" t="s">
        <v>76</v>
      </c>
      <c r="K389" s="280">
        <v>13.39</v>
      </c>
      <c r="L389" s="281" t="s">
        <v>173</v>
      </c>
      <c r="M389" s="272" t="s">
        <v>175</v>
      </c>
    </row>
    <row r="390" spans="1:13" ht="15.75" customHeight="1">
      <c r="A390" s="267" t="s">
        <v>6527</v>
      </c>
      <c r="B390" s="251" t="s">
        <v>10853</v>
      </c>
      <c r="C390" s="267" t="s">
        <v>6528</v>
      </c>
      <c r="D390" s="267" t="s">
        <v>10854</v>
      </c>
      <c r="E390" s="277" t="s">
        <v>10324</v>
      </c>
      <c r="F390" s="278" t="s">
        <v>6619</v>
      </c>
      <c r="G390" s="279" t="s">
        <v>2512</v>
      </c>
      <c r="H390" s="279" t="s">
        <v>2512</v>
      </c>
      <c r="I390" s="279" t="s">
        <v>2512</v>
      </c>
      <c r="J390" s="278" t="s">
        <v>76</v>
      </c>
      <c r="K390" s="280">
        <v>12.6</v>
      </c>
      <c r="L390" s="281" t="s">
        <v>173</v>
      </c>
      <c r="M390" s="272" t="s">
        <v>175</v>
      </c>
    </row>
    <row r="391" spans="1:13" ht="15.75" customHeight="1">
      <c r="A391" s="267" t="s">
        <v>6527</v>
      </c>
      <c r="B391" s="251" t="s">
        <v>10855</v>
      </c>
      <c r="C391" s="267" t="s">
        <v>6528</v>
      </c>
      <c r="D391" s="267" t="s">
        <v>10856</v>
      </c>
      <c r="E391" s="277" t="s">
        <v>10324</v>
      </c>
      <c r="F391" s="278" t="s">
        <v>6619</v>
      </c>
      <c r="G391" s="279" t="s">
        <v>2512</v>
      </c>
      <c r="H391" s="279" t="s">
        <v>2512</v>
      </c>
      <c r="I391" s="279" t="s">
        <v>2512</v>
      </c>
      <c r="J391" s="278" t="s">
        <v>76</v>
      </c>
      <c r="K391" s="280">
        <v>11.81</v>
      </c>
      <c r="L391" s="281" t="s">
        <v>173</v>
      </c>
      <c r="M391" s="272" t="s">
        <v>175</v>
      </c>
    </row>
    <row r="392" spans="1:13" ht="15.75" customHeight="1">
      <c r="A392" s="267" t="s">
        <v>6527</v>
      </c>
      <c r="B392" s="251" t="s">
        <v>10857</v>
      </c>
      <c r="C392" s="267" t="s">
        <v>6528</v>
      </c>
      <c r="D392" s="267" t="s">
        <v>10858</v>
      </c>
      <c r="E392" s="277" t="s">
        <v>10324</v>
      </c>
      <c r="F392" s="278" t="s">
        <v>6619</v>
      </c>
      <c r="G392" s="279" t="s">
        <v>2512</v>
      </c>
      <c r="H392" s="279" t="s">
        <v>2512</v>
      </c>
      <c r="I392" s="279" t="s">
        <v>2512</v>
      </c>
      <c r="J392" s="278" t="s">
        <v>76</v>
      </c>
      <c r="K392" s="280">
        <v>14.18</v>
      </c>
      <c r="L392" s="281" t="s">
        <v>173</v>
      </c>
      <c r="M392" s="272" t="s">
        <v>175</v>
      </c>
    </row>
    <row r="393" spans="1:13" ht="15.75" customHeight="1">
      <c r="A393" s="267" t="s">
        <v>6527</v>
      </c>
      <c r="B393" s="251" t="s">
        <v>10859</v>
      </c>
      <c r="C393" s="267" t="s">
        <v>6528</v>
      </c>
      <c r="D393" s="267" t="s">
        <v>10860</v>
      </c>
      <c r="E393" s="277" t="s">
        <v>10324</v>
      </c>
      <c r="F393" s="278" t="s">
        <v>6619</v>
      </c>
      <c r="G393" s="279" t="s">
        <v>2512</v>
      </c>
      <c r="H393" s="279" t="s">
        <v>2512</v>
      </c>
      <c r="I393" s="279" t="s">
        <v>2512</v>
      </c>
      <c r="J393" s="278" t="s">
        <v>76</v>
      </c>
      <c r="K393" s="280">
        <v>33.68</v>
      </c>
      <c r="L393" s="281" t="s">
        <v>173</v>
      </c>
      <c r="M393" s="272" t="s">
        <v>175</v>
      </c>
    </row>
    <row r="394" spans="1:13" ht="15.75" customHeight="1">
      <c r="A394" s="267" t="s">
        <v>6527</v>
      </c>
      <c r="B394" s="251" t="s">
        <v>10861</v>
      </c>
      <c r="C394" s="267" t="s">
        <v>6528</v>
      </c>
      <c r="D394" s="267" t="s">
        <v>10862</v>
      </c>
      <c r="E394" s="277" t="s">
        <v>10324</v>
      </c>
      <c r="F394" s="278" t="s">
        <v>6619</v>
      </c>
      <c r="G394" s="279" t="s">
        <v>2512</v>
      </c>
      <c r="H394" s="279" t="s">
        <v>2512</v>
      </c>
      <c r="I394" s="279" t="s">
        <v>2512</v>
      </c>
      <c r="J394" s="278" t="s">
        <v>76</v>
      </c>
      <c r="K394" s="280">
        <v>6.96</v>
      </c>
      <c r="L394" s="281" t="s">
        <v>173</v>
      </c>
      <c r="M394" s="272" t="s">
        <v>175</v>
      </c>
    </row>
    <row r="395" spans="1:13" ht="15.75" customHeight="1">
      <c r="A395" s="267" t="s">
        <v>6527</v>
      </c>
      <c r="B395" s="251" t="s">
        <v>10863</v>
      </c>
      <c r="C395" s="267" t="s">
        <v>6528</v>
      </c>
      <c r="D395" s="267" t="s">
        <v>10864</v>
      </c>
      <c r="E395" s="277" t="s">
        <v>10324</v>
      </c>
      <c r="F395" s="278" t="s">
        <v>6619</v>
      </c>
      <c r="G395" s="279" t="s">
        <v>2512</v>
      </c>
      <c r="H395" s="279" t="s">
        <v>2512</v>
      </c>
      <c r="I395" s="279" t="s">
        <v>2512</v>
      </c>
      <c r="J395" s="278" t="s">
        <v>76</v>
      </c>
      <c r="K395" s="280">
        <v>6.13</v>
      </c>
      <c r="L395" s="281" t="s">
        <v>173</v>
      </c>
      <c r="M395" s="272" t="s">
        <v>175</v>
      </c>
    </row>
    <row r="396" spans="1:13" ht="15.75" customHeight="1">
      <c r="A396" s="267" t="s">
        <v>6527</v>
      </c>
      <c r="B396" s="251" t="s">
        <v>10865</v>
      </c>
      <c r="C396" s="267" t="s">
        <v>6528</v>
      </c>
      <c r="D396" s="267" t="s">
        <v>10866</v>
      </c>
      <c r="E396" s="277" t="s">
        <v>10324</v>
      </c>
      <c r="F396" s="278" t="s">
        <v>6619</v>
      </c>
      <c r="G396" s="279" t="s">
        <v>2512</v>
      </c>
      <c r="H396" s="279" t="s">
        <v>2512</v>
      </c>
      <c r="I396" s="279" t="s">
        <v>2512</v>
      </c>
      <c r="J396" s="278" t="s">
        <v>76</v>
      </c>
      <c r="K396" s="280">
        <v>5.36</v>
      </c>
      <c r="L396" s="281" t="s">
        <v>173</v>
      </c>
      <c r="M396" s="272" t="s">
        <v>175</v>
      </c>
    </row>
    <row r="397" spans="1:13" ht="15.75" customHeight="1">
      <c r="A397" s="267" t="s">
        <v>6527</v>
      </c>
      <c r="B397" s="251" t="s">
        <v>10867</v>
      </c>
      <c r="C397" s="267" t="s">
        <v>6528</v>
      </c>
      <c r="D397" s="267" t="s">
        <v>10868</v>
      </c>
      <c r="E397" s="277" t="s">
        <v>10324</v>
      </c>
      <c r="F397" s="278" t="s">
        <v>6619</v>
      </c>
      <c r="G397" s="279" t="s">
        <v>2512</v>
      </c>
      <c r="H397" s="279" t="s">
        <v>2512</v>
      </c>
      <c r="I397" s="279" t="s">
        <v>2512</v>
      </c>
      <c r="J397" s="278" t="s">
        <v>76</v>
      </c>
      <c r="K397" s="280">
        <v>3.97</v>
      </c>
      <c r="L397" s="281" t="s">
        <v>173</v>
      </c>
      <c r="M397" s="272" t="s">
        <v>175</v>
      </c>
    </row>
    <row r="398" spans="1:13" ht="15.75" customHeight="1">
      <c r="A398" s="267" t="s">
        <v>6527</v>
      </c>
      <c r="B398" s="251" t="s">
        <v>10869</v>
      </c>
      <c r="C398" s="267" t="s">
        <v>6528</v>
      </c>
      <c r="D398" s="267" t="s">
        <v>10870</v>
      </c>
      <c r="E398" s="277" t="s">
        <v>10324</v>
      </c>
      <c r="F398" s="278" t="s">
        <v>6619</v>
      </c>
      <c r="G398" s="279" t="s">
        <v>2512</v>
      </c>
      <c r="H398" s="279" t="s">
        <v>2512</v>
      </c>
      <c r="I398" s="279" t="s">
        <v>2512</v>
      </c>
      <c r="J398" s="278" t="s">
        <v>76</v>
      </c>
      <c r="K398" s="280">
        <v>3.2</v>
      </c>
      <c r="L398" s="281" t="s">
        <v>173</v>
      </c>
      <c r="M398" s="272" t="s">
        <v>175</v>
      </c>
    </row>
    <row r="399" spans="1:13" ht="15.75" customHeight="1">
      <c r="A399" s="267" t="s">
        <v>6527</v>
      </c>
      <c r="B399" s="251" t="s">
        <v>10871</v>
      </c>
      <c r="C399" s="267" t="s">
        <v>6528</v>
      </c>
      <c r="D399" s="267" t="s">
        <v>10872</v>
      </c>
      <c r="E399" s="277" t="s">
        <v>10324</v>
      </c>
      <c r="F399" s="278" t="s">
        <v>6619</v>
      </c>
      <c r="G399" s="279" t="s">
        <v>2512</v>
      </c>
      <c r="H399" s="279" t="s">
        <v>2512</v>
      </c>
      <c r="I399" s="279" t="s">
        <v>2512</v>
      </c>
      <c r="J399" s="278" t="s">
        <v>76</v>
      </c>
      <c r="K399" s="280">
        <v>2.2999999999999998</v>
      </c>
      <c r="L399" s="281" t="s">
        <v>173</v>
      </c>
      <c r="M399" s="272" t="s">
        <v>175</v>
      </c>
    </row>
    <row r="400" spans="1:13" ht="15.75" customHeight="1">
      <c r="A400" s="267" t="s">
        <v>6527</v>
      </c>
      <c r="B400" s="251" t="s">
        <v>10873</v>
      </c>
      <c r="C400" s="267" t="s">
        <v>6528</v>
      </c>
      <c r="D400" s="267" t="s">
        <v>10874</v>
      </c>
      <c r="E400" s="277" t="s">
        <v>10324</v>
      </c>
      <c r="F400" s="278" t="s">
        <v>6619</v>
      </c>
      <c r="G400" s="279" t="s">
        <v>2512</v>
      </c>
      <c r="H400" s="279" t="s">
        <v>2512</v>
      </c>
      <c r="I400" s="279" t="s">
        <v>2512</v>
      </c>
      <c r="J400" s="278" t="s">
        <v>76</v>
      </c>
      <c r="K400" s="280">
        <v>1.82</v>
      </c>
      <c r="L400" s="281" t="s">
        <v>173</v>
      </c>
      <c r="M400" s="272" t="s">
        <v>175</v>
      </c>
    </row>
    <row r="401" spans="1:13" ht="15.75" customHeight="1">
      <c r="A401" s="267" t="s">
        <v>6527</v>
      </c>
      <c r="B401" s="251" t="s">
        <v>10875</v>
      </c>
      <c r="C401" s="267" t="s">
        <v>6528</v>
      </c>
      <c r="D401" s="267" t="s">
        <v>10876</v>
      </c>
      <c r="E401" s="277" t="s">
        <v>10324</v>
      </c>
      <c r="F401" s="278" t="s">
        <v>6619</v>
      </c>
      <c r="G401" s="279" t="s">
        <v>2512</v>
      </c>
      <c r="H401" s="279" t="s">
        <v>2512</v>
      </c>
      <c r="I401" s="279" t="s">
        <v>2512</v>
      </c>
      <c r="J401" s="278" t="s">
        <v>76</v>
      </c>
      <c r="K401" s="280">
        <v>1.63</v>
      </c>
      <c r="L401" s="281" t="s">
        <v>173</v>
      </c>
      <c r="M401" s="272" t="s">
        <v>175</v>
      </c>
    </row>
    <row r="402" spans="1:13" ht="15.75" customHeight="1">
      <c r="A402" s="267" t="s">
        <v>6527</v>
      </c>
      <c r="B402" s="251" t="s">
        <v>10877</v>
      </c>
      <c r="C402" s="267" t="s">
        <v>6528</v>
      </c>
      <c r="D402" s="267" t="s">
        <v>10878</v>
      </c>
      <c r="E402" s="277" t="s">
        <v>10324</v>
      </c>
      <c r="F402" s="278" t="s">
        <v>6619</v>
      </c>
      <c r="G402" s="279" t="s">
        <v>2512</v>
      </c>
      <c r="H402" s="279" t="s">
        <v>2512</v>
      </c>
      <c r="I402" s="279" t="s">
        <v>2512</v>
      </c>
      <c r="J402" s="278" t="s">
        <v>76</v>
      </c>
      <c r="K402" s="280">
        <v>1.37</v>
      </c>
      <c r="L402" s="281" t="s">
        <v>173</v>
      </c>
      <c r="M402" s="272" t="s">
        <v>175</v>
      </c>
    </row>
    <row r="403" spans="1:13" ht="15.75" customHeight="1">
      <c r="A403" s="267" t="s">
        <v>6527</v>
      </c>
      <c r="B403" s="251" t="s">
        <v>10879</v>
      </c>
      <c r="C403" s="267" t="s">
        <v>6528</v>
      </c>
      <c r="D403" s="267" t="s">
        <v>10880</v>
      </c>
      <c r="E403" s="277" t="s">
        <v>10324</v>
      </c>
      <c r="F403" s="278" t="s">
        <v>6619</v>
      </c>
      <c r="G403" s="279" t="s">
        <v>2512</v>
      </c>
      <c r="H403" s="279" t="s">
        <v>2512</v>
      </c>
      <c r="I403" s="279" t="s">
        <v>2512</v>
      </c>
      <c r="J403" s="278" t="s">
        <v>76</v>
      </c>
      <c r="K403" s="280">
        <v>1.05</v>
      </c>
      <c r="L403" s="281" t="s">
        <v>173</v>
      </c>
      <c r="M403" s="272" t="s">
        <v>175</v>
      </c>
    </row>
    <row r="404" spans="1:13" ht="15.75" customHeight="1">
      <c r="A404" s="267" t="s">
        <v>6527</v>
      </c>
      <c r="B404" s="251" t="s">
        <v>10881</v>
      </c>
      <c r="C404" s="267" t="s">
        <v>6528</v>
      </c>
      <c r="D404" s="267" t="s">
        <v>10882</v>
      </c>
      <c r="E404" s="277" t="s">
        <v>10324</v>
      </c>
      <c r="F404" s="278" t="s">
        <v>6619</v>
      </c>
      <c r="G404" s="279" t="s">
        <v>2512</v>
      </c>
      <c r="H404" s="279" t="s">
        <v>2512</v>
      </c>
      <c r="I404" s="279" t="s">
        <v>2512</v>
      </c>
      <c r="J404" s="278" t="s">
        <v>76</v>
      </c>
      <c r="K404" s="280">
        <v>1.05</v>
      </c>
      <c r="L404" s="281" t="s">
        <v>173</v>
      </c>
      <c r="M404" s="272" t="s">
        <v>175</v>
      </c>
    </row>
    <row r="405" spans="1:13" ht="15.75" customHeight="1">
      <c r="A405" s="267" t="s">
        <v>6527</v>
      </c>
      <c r="B405" s="251" t="s">
        <v>10883</v>
      </c>
      <c r="C405" s="267" t="s">
        <v>6528</v>
      </c>
      <c r="D405" s="267" t="s">
        <v>10884</v>
      </c>
      <c r="E405" s="277" t="s">
        <v>10324</v>
      </c>
      <c r="F405" s="278" t="s">
        <v>6619</v>
      </c>
      <c r="G405" s="279" t="s">
        <v>2512</v>
      </c>
      <c r="H405" s="279" t="s">
        <v>2512</v>
      </c>
      <c r="I405" s="279" t="s">
        <v>2512</v>
      </c>
      <c r="J405" s="278" t="s">
        <v>76</v>
      </c>
      <c r="K405" s="280">
        <v>44.1</v>
      </c>
      <c r="L405" s="281" t="s">
        <v>2057</v>
      </c>
      <c r="M405" s="272" t="s">
        <v>175</v>
      </c>
    </row>
    <row r="406" spans="1:13" ht="15.75" customHeight="1">
      <c r="A406" s="267" t="s">
        <v>6527</v>
      </c>
      <c r="B406" s="251" t="s">
        <v>10885</v>
      </c>
      <c r="C406" s="267" t="s">
        <v>6528</v>
      </c>
      <c r="D406" s="267" t="s">
        <v>10886</v>
      </c>
      <c r="E406" s="277" t="s">
        <v>10324</v>
      </c>
      <c r="F406" s="278" t="s">
        <v>6619</v>
      </c>
      <c r="G406" s="279" t="s">
        <v>2512</v>
      </c>
      <c r="H406" s="279" t="s">
        <v>2512</v>
      </c>
      <c r="I406" s="279" t="s">
        <v>2512</v>
      </c>
      <c r="J406" s="278" t="s">
        <v>76</v>
      </c>
      <c r="K406" s="280">
        <v>44.1</v>
      </c>
      <c r="L406" s="281" t="s">
        <v>2057</v>
      </c>
      <c r="M406" s="272" t="s">
        <v>175</v>
      </c>
    </row>
    <row r="407" spans="1:13" ht="15.75" customHeight="1">
      <c r="A407" s="267" t="s">
        <v>6527</v>
      </c>
      <c r="B407" s="251" t="s">
        <v>10887</v>
      </c>
      <c r="C407" s="267" t="s">
        <v>6528</v>
      </c>
      <c r="D407" s="267" t="s">
        <v>10888</v>
      </c>
      <c r="E407" s="277" t="s">
        <v>10324</v>
      </c>
      <c r="F407" s="278" t="s">
        <v>6619</v>
      </c>
      <c r="G407" s="279" t="s">
        <v>2512</v>
      </c>
      <c r="H407" s="279" t="s">
        <v>2512</v>
      </c>
      <c r="I407" s="279" t="s">
        <v>2512</v>
      </c>
      <c r="J407" s="278" t="s">
        <v>76</v>
      </c>
      <c r="K407" s="280">
        <v>27.56</v>
      </c>
      <c r="L407" s="281" t="s">
        <v>2057</v>
      </c>
      <c r="M407" s="272" t="s">
        <v>175</v>
      </c>
    </row>
    <row r="408" spans="1:13" ht="15.75" customHeight="1">
      <c r="A408" s="267" t="s">
        <v>6527</v>
      </c>
      <c r="B408" s="251" t="s">
        <v>10889</v>
      </c>
      <c r="C408" s="267" t="s">
        <v>6528</v>
      </c>
      <c r="D408" s="267" t="s">
        <v>10890</v>
      </c>
      <c r="E408" s="277" t="s">
        <v>10324</v>
      </c>
      <c r="F408" s="278" t="s">
        <v>6619</v>
      </c>
      <c r="G408" s="279" t="s">
        <v>2512</v>
      </c>
      <c r="H408" s="279" t="s">
        <v>2512</v>
      </c>
      <c r="I408" s="279" t="s">
        <v>2512</v>
      </c>
      <c r="J408" s="278" t="s">
        <v>76</v>
      </c>
      <c r="K408" s="280">
        <v>24.02</v>
      </c>
      <c r="L408" s="281" t="s">
        <v>2057</v>
      </c>
      <c r="M408" s="272" t="s">
        <v>175</v>
      </c>
    </row>
    <row r="409" spans="1:13" ht="15.75" customHeight="1">
      <c r="A409" s="267" t="s">
        <v>6527</v>
      </c>
      <c r="B409" s="251" t="s">
        <v>10891</v>
      </c>
      <c r="C409" s="267" t="s">
        <v>6528</v>
      </c>
      <c r="D409" s="267" t="s">
        <v>10892</v>
      </c>
      <c r="E409" s="277" t="s">
        <v>10324</v>
      </c>
      <c r="F409" s="278" t="s">
        <v>6619</v>
      </c>
      <c r="G409" s="279" t="s">
        <v>2512</v>
      </c>
      <c r="H409" s="279" t="s">
        <v>2512</v>
      </c>
      <c r="I409" s="279" t="s">
        <v>2512</v>
      </c>
      <c r="J409" s="278" t="s">
        <v>76</v>
      </c>
      <c r="K409" s="280">
        <v>20.09</v>
      </c>
      <c r="L409" s="281" t="s">
        <v>2057</v>
      </c>
      <c r="M409" s="272" t="s">
        <v>175</v>
      </c>
    </row>
    <row r="410" spans="1:13" ht="15.75" customHeight="1">
      <c r="A410" s="267" t="s">
        <v>6527</v>
      </c>
      <c r="B410" s="251" t="s">
        <v>10893</v>
      </c>
      <c r="C410" s="267" t="s">
        <v>6528</v>
      </c>
      <c r="D410" s="267" t="s">
        <v>10894</v>
      </c>
      <c r="E410" s="277" t="s">
        <v>10324</v>
      </c>
      <c r="F410" s="278" t="s">
        <v>6619</v>
      </c>
      <c r="G410" s="279" t="s">
        <v>2512</v>
      </c>
      <c r="H410" s="279" t="s">
        <v>2512</v>
      </c>
      <c r="I410" s="279" t="s">
        <v>2512</v>
      </c>
      <c r="J410" s="278" t="s">
        <v>76</v>
      </c>
      <c r="K410" s="280">
        <v>18.510000000000002</v>
      </c>
      <c r="L410" s="281" t="s">
        <v>2057</v>
      </c>
      <c r="M410" s="272" t="s">
        <v>175</v>
      </c>
    </row>
    <row r="411" spans="1:13" ht="15.75" customHeight="1">
      <c r="A411" s="267" t="s">
        <v>6527</v>
      </c>
      <c r="B411" s="251" t="s">
        <v>10895</v>
      </c>
      <c r="C411" s="267" t="s">
        <v>6528</v>
      </c>
      <c r="D411" s="267" t="s">
        <v>10896</v>
      </c>
      <c r="E411" s="277" t="s">
        <v>10324</v>
      </c>
      <c r="F411" s="278" t="s">
        <v>6619</v>
      </c>
      <c r="G411" s="279" t="s">
        <v>2512</v>
      </c>
      <c r="H411" s="279" t="s">
        <v>2512</v>
      </c>
      <c r="I411" s="279" t="s">
        <v>2512</v>
      </c>
      <c r="J411" s="278" t="s">
        <v>76</v>
      </c>
      <c r="K411" s="280">
        <v>16.54</v>
      </c>
      <c r="L411" s="281" t="s">
        <v>2057</v>
      </c>
      <c r="M411" s="272" t="s">
        <v>175</v>
      </c>
    </row>
    <row r="412" spans="1:13" ht="15.75" customHeight="1">
      <c r="A412" s="267" t="s">
        <v>6527</v>
      </c>
      <c r="B412" s="251" t="s">
        <v>10897</v>
      </c>
      <c r="C412" s="267" t="s">
        <v>6528</v>
      </c>
      <c r="D412" s="267" t="s">
        <v>10898</v>
      </c>
      <c r="E412" s="277" t="s">
        <v>10324</v>
      </c>
      <c r="F412" s="278" t="s">
        <v>6619</v>
      </c>
      <c r="G412" s="279" t="s">
        <v>2512</v>
      </c>
      <c r="H412" s="279" t="s">
        <v>2512</v>
      </c>
      <c r="I412" s="279" t="s">
        <v>2512</v>
      </c>
      <c r="J412" s="278" t="s">
        <v>76</v>
      </c>
      <c r="K412" s="280">
        <v>15.75</v>
      </c>
      <c r="L412" s="281" t="s">
        <v>2057</v>
      </c>
      <c r="M412" s="272" t="s">
        <v>175</v>
      </c>
    </row>
    <row r="413" spans="1:13" ht="15.75" customHeight="1">
      <c r="A413" s="267" t="s">
        <v>6527</v>
      </c>
      <c r="B413" s="251" t="s">
        <v>10899</v>
      </c>
      <c r="C413" s="267" t="s">
        <v>6528</v>
      </c>
      <c r="D413" s="267" t="s">
        <v>10900</v>
      </c>
      <c r="E413" s="277" t="s">
        <v>10324</v>
      </c>
      <c r="F413" s="278" t="s">
        <v>6619</v>
      </c>
      <c r="G413" s="279" t="s">
        <v>2512</v>
      </c>
      <c r="H413" s="279" t="s">
        <v>2512</v>
      </c>
      <c r="I413" s="279" t="s">
        <v>2512</v>
      </c>
      <c r="J413" s="278" t="s">
        <v>76</v>
      </c>
      <c r="K413" s="280">
        <v>15.75</v>
      </c>
      <c r="L413" s="281" t="s">
        <v>2057</v>
      </c>
      <c r="M413" s="272" t="s">
        <v>175</v>
      </c>
    </row>
    <row r="414" spans="1:13" ht="15.75" customHeight="1">
      <c r="A414" s="267" t="s">
        <v>6527</v>
      </c>
      <c r="B414" s="251" t="s">
        <v>10901</v>
      </c>
      <c r="C414" s="267" t="s">
        <v>6528</v>
      </c>
      <c r="D414" s="267" t="s">
        <v>10902</v>
      </c>
      <c r="E414" s="277" t="s">
        <v>10324</v>
      </c>
      <c r="F414" s="278" t="s">
        <v>6619</v>
      </c>
      <c r="G414" s="279" t="s">
        <v>2512</v>
      </c>
      <c r="H414" s="279" t="s">
        <v>2512</v>
      </c>
      <c r="I414" s="279" t="s">
        <v>2512</v>
      </c>
      <c r="J414" s="278" t="s">
        <v>76</v>
      </c>
      <c r="K414" s="280">
        <v>59.85</v>
      </c>
      <c r="L414" s="281" t="s">
        <v>2057</v>
      </c>
      <c r="M414" s="272" t="s">
        <v>175</v>
      </c>
    </row>
    <row r="415" spans="1:13" ht="15.75" customHeight="1">
      <c r="A415" s="267" t="s">
        <v>6527</v>
      </c>
      <c r="B415" s="251" t="s">
        <v>10903</v>
      </c>
      <c r="C415" s="267" t="s">
        <v>6528</v>
      </c>
      <c r="D415" s="267" t="s">
        <v>10904</v>
      </c>
      <c r="E415" s="277" t="s">
        <v>10324</v>
      </c>
      <c r="F415" s="278" t="s">
        <v>6619</v>
      </c>
      <c r="G415" s="279" t="s">
        <v>2512</v>
      </c>
      <c r="H415" s="279" t="s">
        <v>2512</v>
      </c>
      <c r="I415" s="279" t="s">
        <v>2512</v>
      </c>
      <c r="J415" s="278" t="s">
        <v>76</v>
      </c>
      <c r="K415" s="280">
        <v>59.85</v>
      </c>
      <c r="L415" s="281" t="s">
        <v>2057</v>
      </c>
      <c r="M415" s="272" t="s">
        <v>175</v>
      </c>
    </row>
    <row r="416" spans="1:13" ht="15.75" customHeight="1">
      <c r="A416" s="267" t="s">
        <v>6527</v>
      </c>
      <c r="B416" s="251" t="s">
        <v>10905</v>
      </c>
      <c r="C416" s="267" t="s">
        <v>6528</v>
      </c>
      <c r="D416" s="267" t="s">
        <v>10906</v>
      </c>
      <c r="E416" s="277" t="s">
        <v>10324</v>
      </c>
      <c r="F416" s="278" t="s">
        <v>6619</v>
      </c>
      <c r="G416" s="279" t="s">
        <v>2512</v>
      </c>
      <c r="H416" s="279" t="s">
        <v>2512</v>
      </c>
      <c r="I416" s="279" t="s">
        <v>2512</v>
      </c>
      <c r="J416" s="278" t="s">
        <v>76</v>
      </c>
      <c r="K416" s="280">
        <v>51.19</v>
      </c>
      <c r="L416" s="281" t="s">
        <v>2057</v>
      </c>
      <c r="M416" s="272" t="s">
        <v>175</v>
      </c>
    </row>
    <row r="417" spans="1:13" ht="15.75" customHeight="1">
      <c r="A417" s="267" t="s">
        <v>6527</v>
      </c>
      <c r="B417" s="251" t="s">
        <v>10907</v>
      </c>
      <c r="C417" s="267" t="s">
        <v>6528</v>
      </c>
      <c r="D417" s="267" t="s">
        <v>10908</v>
      </c>
      <c r="E417" s="277" t="s">
        <v>10324</v>
      </c>
      <c r="F417" s="278" t="s">
        <v>6619</v>
      </c>
      <c r="G417" s="279" t="s">
        <v>2512</v>
      </c>
      <c r="H417" s="279" t="s">
        <v>2512</v>
      </c>
      <c r="I417" s="279" t="s">
        <v>2512</v>
      </c>
      <c r="J417" s="278" t="s">
        <v>76</v>
      </c>
      <c r="K417" s="280">
        <v>43.31</v>
      </c>
      <c r="L417" s="281" t="s">
        <v>2057</v>
      </c>
      <c r="M417" s="272" t="s">
        <v>175</v>
      </c>
    </row>
    <row r="418" spans="1:13" ht="15.75" customHeight="1">
      <c r="A418" s="267" t="s">
        <v>6527</v>
      </c>
      <c r="B418" s="251" t="s">
        <v>10909</v>
      </c>
      <c r="C418" s="267" t="s">
        <v>6528</v>
      </c>
      <c r="D418" s="267" t="s">
        <v>10910</v>
      </c>
      <c r="E418" s="277" t="s">
        <v>10324</v>
      </c>
      <c r="F418" s="278" t="s">
        <v>6619</v>
      </c>
      <c r="G418" s="279" t="s">
        <v>2512</v>
      </c>
      <c r="H418" s="279" t="s">
        <v>2512</v>
      </c>
      <c r="I418" s="279" t="s">
        <v>2512</v>
      </c>
      <c r="J418" s="278" t="s">
        <v>76</v>
      </c>
      <c r="K418" s="280">
        <v>35.44</v>
      </c>
      <c r="L418" s="281" t="s">
        <v>2057</v>
      </c>
      <c r="M418" s="272" t="s">
        <v>175</v>
      </c>
    </row>
    <row r="419" spans="1:13" ht="15.75" customHeight="1">
      <c r="A419" s="267" t="s">
        <v>6527</v>
      </c>
      <c r="B419" s="251" t="s">
        <v>10911</v>
      </c>
      <c r="C419" s="267" t="s">
        <v>6528</v>
      </c>
      <c r="D419" s="267" t="s">
        <v>10912</v>
      </c>
      <c r="E419" s="277" t="s">
        <v>10324</v>
      </c>
      <c r="F419" s="278" t="s">
        <v>6619</v>
      </c>
      <c r="G419" s="279" t="s">
        <v>2512</v>
      </c>
      <c r="H419" s="279" t="s">
        <v>2512</v>
      </c>
      <c r="I419" s="279" t="s">
        <v>2512</v>
      </c>
      <c r="J419" s="278" t="s">
        <v>76</v>
      </c>
      <c r="K419" s="280">
        <v>30.71</v>
      </c>
      <c r="L419" s="281" t="s">
        <v>2057</v>
      </c>
      <c r="M419" s="272" t="s">
        <v>175</v>
      </c>
    </row>
    <row r="420" spans="1:13" ht="15.75" customHeight="1">
      <c r="A420" s="267" t="s">
        <v>6527</v>
      </c>
      <c r="B420" s="251" t="s">
        <v>10913</v>
      </c>
      <c r="C420" s="267" t="s">
        <v>6528</v>
      </c>
      <c r="D420" s="267" t="s">
        <v>10914</v>
      </c>
      <c r="E420" s="277" t="s">
        <v>10324</v>
      </c>
      <c r="F420" s="278" t="s">
        <v>6619</v>
      </c>
      <c r="G420" s="279" t="s">
        <v>2512</v>
      </c>
      <c r="H420" s="279" t="s">
        <v>2512</v>
      </c>
      <c r="I420" s="279" t="s">
        <v>2512</v>
      </c>
      <c r="J420" s="278" t="s">
        <v>76</v>
      </c>
      <c r="K420" s="280">
        <v>27.56</v>
      </c>
      <c r="L420" s="281" t="s">
        <v>2057</v>
      </c>
      <c r="M420" s="272" t="s">
        <v>175</v>
      </c>
    </row>
    <row r="421" spans="1:13" ht="15.75" customHeight="1">
      <c r="A421" s="267" t="s">
        <v>6527</v>
      </c>
      <c r="B421" s="251" t="s">
        <v>10915</v>
      </c>
      <c r="C421" s="267" t="s">
        <v>6528</v>
      </c>
      <c r="D421" s="267" t="s">
        <v>10916</v>
      </c>
      <c r="E421" s="277" t="s">
        <v>10324</v>
      </c>
      <c r="F421" s="278" t="s">
        <v>6619</v>
      </c>
      <c r="G421" s="279" t="s">
        <v>2512</v>
      </c>
      <c r="H421" s="279" t="s">
        <v>2512</v>
      </c>
      <c r="I421" s="279" t="s">
        <v>2512</v>
      </c>
      <c r="J421" s="278" t="s">
        <v>76</v>
      </c>
      <c r="K421" s="280">
        <v>25.2</v>
      </c>
      <c r="L421" s="281" t="s">
        <v>2057</v>
      </c>
      <c r="M421" s="272" t="s">
        <v>175</v>
      </c>
    </row>
    <row r="422" spans="1:13" ht="15.75" customHeight="1">
      <c r="A422" s="267" t="s">
        <v>6527</v>
      </c>
      <c r="B422" s="251" t="s">
        <v>10917</v>
      </c>
      <c r="C422" s="267" t="s">
        <v>6528</v>
      </c>
      <c r="D422" s="267" t="s">
        <v>10918</v>
      </c>
      <c r="E422" s="277" t="s">
        <v>10324</v>
      </c>
      <c r="F422" s="278" t="s">
        <v>6619</v>
      </c>
      <c r="G422" s="279" t="s">
        <v>2512</v>
      </c>
      <c r="H422" s="279" t="s">
        <v>2512</v>
      </c>
      <c r="I422" s="279" t="s">
        <v>2512</v>
      </c>
      <c r="J422" s="278" t="s">
        <v>76</v>
      </c>
      <c r="K422" s="280">
        <v>24.41</v>
      </c>
      <c r="L422" s="281" t="s">
        <v>2057</v>
      </c>
      <c r="M422" s="272" t="s">
        <v>175</v>
      </c>
    </row>
    <row r="423" spans="1:13" ht="15.75" customHeight="1">
      <c r="A423" s="267" t="s">
        <v>6527</v>
      </c>
      <c r="B423" s="251" t="s">
        <v>10919</v>
      </c>
      <c r="C423" s="267" t="s">
        <v>6528</v>
      </c>
      <c r="D423" s="267" t="s">
        <v>10920</v>
      </c>
      <c r="E423" s="277" t="s">
        <v>10324</v>
      </c>
      <c r="F423" s="278" t="s">
        <v>6619</v>
      </c>
      <c r="G423" s="279" t="s">
        <v>2512</v>
      </c>
      <c r="H423" s="279" t="s">
        <v>2512</v>
      </c>
      <c r="I423" s="279" t="s">
        <v>2512</v>
      </c>
      <c r="J423" s="278" t="s">
        <v>76</v>
      </c>
      <c r="K423" s="280">
        <v>23.63</v>
      </c>
      <c r="L423" s="281" t="s">
        <v>2057</v>
      </c>
      <c r="M423" s="272" t="s">
        <v>175</v>
      </c>
    </row>
    <row r="424" spans="1:13" ht="15.75" customHeight="1">
      <c r="A424" s="267" t="s">
        <v>6527</v>
      </c>
      <c r="B424" s="251" t="s">
        <v>10921</v>
      </c>
      <c r="C424" s="267" t="s">
        <v>6528</v>
      </c>
      <c r="D424" s="267" t="s">
        <v>10922</v>
      </c>
      <c r="E424" s="277" t="s">
        <v>10324</v>
      </c>
      <c r="F424" s="278" t="s">
        <v>6619</v>
      </c>
      <c r="G424" s="279" t="s">
        <v>2512</v>
      </c>
      <c r="H424" s="279" t="s">
        <v>2512</v>
      </c>
      <c r="I424" s="279" t="s">
        <v>2512</v>
      </c>
      <c r="J424" s="278" t="s">
        <v>76</v>
      </c>
      <c r="K424" s="280">
        <v>19.690000000000001</v>
      </c>
      <c r="L424" s="281" t="s">
        <v>2057</v>
      </c>
      <c r="M424" s="272" t="s">
        <v>175</v>
      </c>
    </row>
    <row r="425" spans="1:13" ht="15.75" customHeight="1">
      <c r="A425" s="267" t="s">
        <v>6527</v>
      </c>
      <c r="B425" s="251" t="s">
        <v>10923</v>
      </c>
      <c r="C425" s="267" t="s">
        <v>6528</v>
      </c>
      <c r="D425" s="267" t="s">
        <v>10924</v>
      </c>
      <c r="E425" s="277" t="s">
        <v>10324</v>
      </c>
      <c r="F425" s="278" t="s">
        <v>6619</v>
      </c>
      <c r="G425" s="279" t="s">
        <v>2512</v>
      </c>
      <c r="H425" s="279" t="s">
        <v>2512</v>
      </c>
      <c r="I425" s="279" t="s">
        <v>2512</v>
      </c>
      <c r="J425" s="278" t="s">
        <v>76</v>
      </c>
      <c r="K425" s="280">
        <v>15.75</v>
      </c>
      <c r="L425" s="281" t="s">
        <v>2057</v>
      </c>
      <c r="M425" s="272" t="s">
        <v>175</v>
      </c>
    </row>
    <row r="426" spans="1:13" ht="15.75" customHeight="1">
      <c r="A426" s="267" t="s">
        <v>6527</v>
      </c>
      <c r="B426" s="251" t="s">
        <v>10925</v>
      </c>
      <c r="C426" s="267" t="s">
        <v>6528</v>
      </c>
      <c r="D426" s="267" t="s">
        <v>10926</v>
      </c>
      <c r="E426" s="277" t="s">
        <v>10324</v>
      </c>
      <c r="F426" s="278" t="s">
        <v>6619</v>
      </c>
      <c r="G426" s="279" t="s">
        <v>2512</v>
      </c>
      <c r="H426" s="279" t="s">
        <v>2512</v>
      </c>
      <c r="I426" s="279" t="s">
        <v>2512</v>
      </c>
      <c r="J426" s="278" t="s">
        <v>76</v>
      </c>
      <c r="K426" s="280">
        <v>12.6</v>
      </c>
      <c r="L426" s="281" t="s">
        <v>2057</v>
      </c>
      <c r="M426" s="272" t="s">
        <v>175</v>
      </c>
    </row>
    <row r="427" spans="1:13" ht="15.75" customHeight="1">
      <c r="A427" s="267" t="s">
        <v>6527</v>
      </c>
      <c r="B427" s="251" t="s">
        <v>10927</v>
      </c>
      <c r="C427" s="267" t="s">
        <v>6528</v>
      </c>
      <c r="D427" s="267" t="s">
        <v>10928</v>
      </c>
      <c r="E427" s="277" t="s">
        <v>10324</v>
      </c>
      <c r="F427" s="278" t="s">
        <v>6619</v>
      </c>
      <c r="G427" s="279" t="s">
        <v>2512</v>
      </c>
      <c r="H427" s="279" t="s">
        <v>2512</v>
      </c>
      <c r="I427" s="279" t="s">
        <v>2512</v>
      </c>
      <c r="J427" s="278" t="s">
        <v>76</v>
      </c>
      <c r="K427" s="280">
        <v>11.03</v>
      </c>
      <c r="L427" s="281" t="s">
        <v>2057</v>
      </c>
      <c r="M427" s="272" t="s">
        <v>175</v>
      </c>
    </row>
    <row r="428" spans="1:13" ht="15.75" customHeight="1">
      <c r="A428" s="267" t="s">
        <v>6527</v>
      </c>
      <c r="B428" s="251" t="s">
        <v>10929</v>
      </c>
      <c r="C428" s="267" t="s">
        <v>6528</v>
      </c>
      <c r="D428" s="267" t="s">
        <v>10930</v>
      </c>
      <c r="E428" s="277" t="s">
        <v>10324</v>
      </c>
      <c r="F428" s="278" t="s">
        <v>6619</v>
      </c>
      <c r="G428" s="279" t="s">
        <v>2512</v>
      </c>
      <c r="H428" s="279" t="s">
        <v>2512</v>
      </c>
      <c r="I428" s="279" t="s">
        <v>2512</v>
      </c>
      <c r="J428" s="278" t="s">
        <v>76</v>
      </c>
      <c r="K428" s="280">
        <v>9.4499999999999993</v>
      </c>
      <c r="L428" s="281" t="s">
        <v>2057</v>
      </c>
      <c r="M428" s="272" t="s">
        <v>175</v>
      </c>
    </row>
    <row r="429" spans="1:13" ht="15.75" customHeight="1">
      <c r="A429" s="267" t="s">
        <v>6527</v>
      </c>
      <c r="B429" s="251" t="s">
        <v>10931</v>
      </c>
      <c r="C429" s="267" t="s">
        <v>6528</v>
      </c>
      <c r="D429" s="267" t="s">
        <v>10932</v>
      </c>
      <c r="E429" s="277" t="s">
        <v>10324</v>
      </c>
      <c r="F429" s="278" t="s">
        <v>6619</v>
      </c>
      <c r="G429" s="279" t="s">
        <v>2512</v>
      </c>
      <c r="H429" s="279" t="s">
        <v>2512</v>
      </c>
      <c r="I429" s="279" t="s">
        <v>2512</v>
      </c>
      <c r="J429" s="278" t="s">
        <v>76</v>
      </c>
      <c r="K429" s="280">
        <v>8.66</v>
      </c>
      <c r="L429" s="281" t="s">
        <v>2057</v>
      </c>
      <c r="M429" s="272" t="s">
        <v>175</v>
      </c>
    </row>
    <row r="430" spans="1:13" ht="15.75" customHeight="1">
      <c r="A430" s="267" t="s">
        <v>6527</v>
      </c>
      <c r="B430" s="251" t="s">
        <v>10933</v>
      </c>
      <c r="C430" s="267" t="s">
        <v>6528</v>
      </c>
      <c r="D430" s="267" t="s">
        <v>10934</v>
      </c>
      <c r="E430" s="277" t="s">
        <v>10324</v>
      </c>
      <c r="F430" s="278" t="s">
        <v>6619</v>
      </c>
      <c r="G430" s="279" t="s">
        <v>2512</v>
      </c>
      <c r="H430" s="279" t="s">
        <v>2512</v>
      </c>
      <c r="I430" s="279" t="s">
        <v>2512</v>
      </c>
      <c r="J430" s="278" t="s">
        <v>76</v>
      </c>
      <c r="K430" s="280">
        <v>15750</v>
      </c>
      <c r="L430" s="281" t="s">
        <v>2057</v>
      </c>
      <c r="M430" s="272" t="s">
        <v>175</v>
      </c>
    </row>
    <row r="431" spans="1:13" ht="15.75" customHeight="1">
      <c r="A431" s="267" t="s">
        <v>6527</v>
      </c>
      <c r="B431" s="251" t="s">
        <v>10935</v>
      </c>
      <c r="C431" s="267" t="s">
        <v>6528</v>
      </c>
      <c r="D431" s="267" t="s">
        <v>10936</v>
      </c>
      <c r="E431" s="277" t="s">
        <v>10324</v>
      </c>
      <c r="F431" s="278" t="s">
        <v>6619</v>
      </c>
      <c r="G431" s="279" t="s">
        <v>2512</v>
      </c>
      <c r="H431" s="279" t="s">
        <v>2512</v>
      </c>
      <c r="I431" s="279" t="s">
        <v>2512</v>
      </c>
      <c r="J431" s="278" t="s">
        <v>76</v>
      </c>
      <c r="K431" s="280">
        <v>35.44</v>
      </c>
      <c r="L431" s="281" t="s">
        <v>2057</v>
      </c>
      <c r="M431" s="272" t="s">
        <v>175</v>
      </c>
    </row>
    <row r="432" spans="1:13" ht="15.75" customHeight="1">
      <c r="A432" s="267" t="s">
        <v>6527</v>
      </c>
      <c r="B432" s="251" t="s">
        <v>10937</v>
      </c>
      <c r="C432" s="267" t="s">
        <v>6528</v>
      </c>
      <c r="D432" s="267" t="s">
        <v>10938</v>
      </c>
      <c r="E432" s="277" t="s">
        <v>10324</v>
      </c>
      <c r="F432" s="278" t="s">
        <v>6619</v>
      </c>
      <c r="G432" s="279" t="s">
        <v>2512</v>
      </c>
      <c r="H432" s="279" t="s">
        <v>2512</v>
      </c>
      <c r="I432" s="279" t="s">
        <v>2512</v>
      </c>
      <c r="J432" s="278" t="s">
        <v>76</v>
      </c>
      <c r="K432" s="280">
        <v>32.43</v>
      </c>
      <c r="L432" s="281" t="s">
        <v>2057</v>
      </c>
      <c r="M432" s="272" t="s">
        <v>175</v>
      </c>
    </row>
    <row r="433" spans="1:13" ht="15.75" customHeight="1">
      <c r="A433" s="267" t="s">
        <v>6527</v>
      </c>
      <c r="B433" s="251" t="s">
        <v>10939</v>
      </c>
      <c r="C433" s="267" t="s">
        <v>6528</v>
      </c>
      <c r="D433" s="267" t="s">
        <v>10940</v>
      </c>
      <c r="E433" s="277" t="s">
        <v>10324</v>
      </c>
      <c r="F433" s="278" t="s">
        <v>6619</v>
      </c>
      <c r="G433" s="279" t="s">
        <v>2512</v>
      </c>
      <c r="H433" s="279" t="s">
        <v>2512</v>
      </c>
      <c r="I433" s="279" t="s">
        <v>2512</v>
      </c>
      <c r="J433" s="278" t="s">
        <v>76</v>
      </c>
      <c r="K433" s="280">
        <v>28.35</v>
      </c>
      <c r="L433" s="281" t="s">
        <v>2057</v>
      </c>
      <c r="M433" s="272" t="s">
        <v>175</v>
      </c>
    </row>
    <row r="434" spans="1:13" ht="15.75" customHeight="1">
      <c r="A434" s="267" t="s">
        <v>6527</v>
      </c>
      <c r="B434" s="251" t="s">
        <v>10941</v>
      </c>
      <c r="C434" s="267" t="s">
        <v>6528</v>
      </c>
      <c r="D434" s="267" t="s">
        <v>10942</v>
      </c>
      <c r="E434" s="277" t="s">
        <v>10324</v>
      </c>
      <c r="F434" s="278" t="s">
        <v>6619</v>
      </c>
      <c r="G434" s="279" t="s">
        <v>2512</v>
      </c>
      <c r="H434" s="279" t="s">
        <v>2512</v>
      </c>
      <c r="I434" s="279" t="s">
        <v>2512</v>
      </c>
      <c r="J434" s="278" t="s">
        <v>76</v>
      </c>
      <c r="K434" s="280">
        <v>24.84</v>
      </c>
      <c r="L434" s="281" t="s">
        <v>2057</v>
      </c>
      <c r="M434" s="272" t="s">
        <v>175</v>
      </c>
    </row>
    <row r="435" spans="1:13" ht="15.75" customHeight="1">
      <c r="A435" s="267" t="s">
        <v>6527</v>
      </c>
      <c r="B435" s="251" t="s">
        <v>10943</v>
      </c>
      <c r="C435" s="267" t="s">
        <v>6528</v>
      </c>
      <c r="D435" s="267" t="s">
        <v>10944</v>
      </c>
      <c r="E435" s="277" t="s">
        <v>10324</v>
      </c>
      <c r="F435" s="278" t="s">
        <v>6619</v>
      </c>
      <c r="G435" s="279" t="s">
        <v>2512</v>
      </c>
      <c r="H435" s="279" t="s">
        <v>2512</v>
      </c>
      <c r="I435" s="279" t="s">
        <v>2512</v>
      </c>
      <c r="J435" s="278" t="s">
        <v>76</v>
      </c>
      <c r="K435" s="280">
        <v>22.73</v>
      </c>
      <c r="L435" s="281" t="s">
        <v>2057</v>
      </c>
      <c r="M435" s="272" t="s">
        <v>175</v>
      </c>
    </row>
    <row r="436" spans="1:13" ht="15.75" customHeight="1">
      <c r="A436" s="267" t="s">
        <v>6527</v>
      </c>
      <c r="B436" s="251" t="s">
        <v>10945</v>
      </c>
      <c r="C436" s="267" t="s">
        <v>6528</v>
      </c>
      <c r="D436" s="267" t="s">
        <v>10946</v>
      </c>
      <c r="E436" s="277" t="s">
        <v>10324</v>
      </c>
      <c r="F436" s="278" t="s">
        <v>6619</v>
      </c>
      <c r="G436" s="279" t="s">
        <v>2512</v>
      </c>
      <c r="H436" s="279" t="s">
        <v>2512</v>
      </c>
      <c r="I436" s="279" t="s">
        <v>2512</v>
      </c>
      <c r="J436" s="278" t="s">
        <v>76</v>
      </c>
      <c r="K436" s="280">
        <v>20.8</v>
      </c>
      <c r="L436" s="281" t="s">
        <v>2057</v>
      </c>
      <c r="M436" s="272" t="s">
        <v>175</v>
      </c>
    </row>
    <row r="437" spans="1:13" ht="15.75" customHeight="1">
      <c r="A437" s="267" t="s">
        <v>6527</v>
      </c>
      <c r="B437" s="251" t="s">
        <v>10947</v>
      </c>
      <c r="C437" s="267" t="s">
        <v>6528</v>
      </c>
      <c r="D437" s="267" t="s">
        <v>10948</v>
      </c>
      <c r="E437" s="277" t="s">
        <v>10324</v>
      </c>
      <c r="F437" s="278" t="s">
        <v>6619</v>
      </c>
      <c r="G437" s="279" t="s">
        <v>2512</v>
      </c>
      <c r="H437" s="279" t="s">
        <v>2512</v>
      </c>
      <c r="I437" s="279" t="s">
        <v>2512</v>
      </c>
      <c r="J437" s="278" t="s">
        <v>76</v>
      </c>
      <c r="K437" s="280">
        <v>19.03</v>
      </c>
      <c r="L437" s="281" t="s">
        <v>2057</v>
      </c>
      <c r="M437" s="272" t="s">
        <v>175</v>
      </c>
    </row>
    <row r="438" spans="1:13" ht="15.75" customHeight="1">
      <c r="A438" s="267" t="s">
        <v>6527</v>
      </c>
      <c r="B438" s="251" t="s">
        <v>10949</v>
      </c>
      <c r="C438" s="267" t="s">
        <v>6528</v>
      </c>
      <c r="D438" s="267" t="s">
        <v>10950</v>
      </c>
      <c r="E438" s="277" t="s">
        <v>10324</v>
      </c>
      <c r="F438" s="278" t="s">
        <v>6619</v>
      </c>
      <c r="G438" s="279" t="s">
        <v>2512</v>
      </c>
      <c r="H438" s="279" t="s">
        <v>2512</v>
      </c>
      <c r="I438" s="279" t="s">
        <v>2512</v>
      </c>
      <c r="J438" s="278" t="s">
        <v>76</v>
      </c>
      <c r="K438" s="280">
        <v>17.41</v>
      </c>
      <c r="L438" s="281" t="s">
        <v>2057</v>
      </c>
      <c r="M438" s="272" t="s">
        <v>175</v>
      </c>
    </row>
    <row r="439" spans="1:13" ht="15.75" customHeight="1">
      <c r="A439" s="267" t="s">
        <v>6527</v>
      </c>
      <c r="B439" s="251" t="s">
        <v>10951</v>
      </c>
      <c r="C439" s="267" t="s">
        <v>6528</v>
      </c>
      <c r="D439" s="267" t="s">
        <v>10952</v>
      </c>
      <c r="E439" s="277" t="s">
        <v>10324</v>
      </c>
      <c r="F439" s="278" t="s">
        <v>6619</v>
      </c>
      <c r="G439" s="279" t="s">
        <v>2512</v>
      </c>
      <c r="H439" s="279" t="s">
        <v>2512</v>
      </c>
      <c r="I439" s="279" t="s">
        <v>2512</v>
      </c>
      <c r="J439" s="278" t="s">
        <v>76</v>
      </c>
      <c r="K439" s="280">
        <v>14.18</v>
      </c>
      <c r="L439" s="281" t="s">
        <v>2057</v>
      </c>
      <c r="M439" s="272" t="s">
        <v>175</v>
      </c>
    </row>
    <row r="440" spans="1:13" ht="15.75" customHeight="1">
      <c r="A440" s="267" t="s">
        <v>6527</v>
      </c>
      <c r="B440" s="251" t="s">
        <v>10953</v>
      </c>
      <c r="C440" s="267" t="s">
        <v>6528</v>
      </c>
      <c r="D440" s="267" t="s">
        <v>10954</v>
      </c>
      <c r="E440" s="277" t="s">
        <v>10324</v>
      </c>
      <c r="F440" s="278" t="s">
        <v>6619</v>
      </c>
      <c r="G440" s="279" t="s">
        <v>2512</v>
      </c>
      <c r="H440" s="279" t="s">
        <v>2512</v>
      </c>
      <c r="I440" s="279" t="s">
        <v>2512</v>
      </c>
      <c r="J440" s="278" t="s">
        <v>76</v>
      </c>
      <c r="K440" s="280">
        <v>49.61</v>
      </c>
      <c r="L440" s="281" t="s">
        <v>2057</v>
      </c>
      <c r="M440" s="272" t="s">
        <v>175</v>
      </c>
    </row>
    <row r="441" spans="1:13" ht="15.75" customHeight="1">
      <c r="A441" s="267" t="s">
        <v>6527</v>
      </c>
      <c r="B441" s="251" t="s">
        <v>10955</v>
      </c>
      <c r="C441" s="267" t="s">
        <v>6528</v>
      </c>
      <c r="D441" s="267" t="s">
        <v>10956</v>
      </c>
      <c r="E441" s="277" t="s">
        <v>10324</v>
      </c>
      <c r="F441" s="278" t="s">
        <v>6619</v>
      </c>
      <c r="G441" s="279" t="s">
        <v>2512</v>
      </c>
      <c r="H441" s="279" t="s">
        <v>2512</v>
      </c>
      <c r="I441" s="279" t="s">
        <v>2512</v>
      </c>
      <c r="J441" s="278" t="s">
        <v>76</v>
      </c>
      <c r="K441" s="280">
        <v>45.4</v>
      </c>
      <c r="L441" s="281" t="s">
        <v>2057</v>
      </c>
      <c r="M441" s="272" t="s">
        <v>175</v>
      </c>
    </row>
    <row r="442" spans="1:13" ht="15.75" customHeight="1">
      <c r="A442" s="267" t="s">
        <v>6527</v>
      </c>
      <c r="B442" s="251" t="s">
        <v>10957</v>
      </c>
      <c r="C442" s="267" t="s">
        <v>6528</v>
      </c>
      <c r="D442" s="267" t="s">
        <v>10958</v>
      </c>
      <c r="E442" s="277" t="s">
        <v>10324</v>
      </c>
      <c r="F442" s="278" t="s">
        <v>6619</v>
      </c>
      <c r="G442" s="279" t="s">
        <v>2512</v>
      </c>
      <c r="H442" s="279" t="s">
        <v>2512</v>
      </c>
      <c r="I442" s="279" t="s">
        <v>2512</v>
      </c>
      <c r="J442" s="278" t="s">
        <v>76</v>
      </c>
      <c r="K442" s="280">
        <v>39.69</v>
      </c>
      <c r="L442" s="281" t="s">
        <v>2057</v>
      </c>
      <c r="M442" s="272" t="s">
        <v>175</v>
      </c>
    </row>
    <row r="443" spans="1:13" ht="15.75" customHeight="1">
      <c r="A443" s="267" t="s">
        <v>6527</v>
      </c>
      <c r="B443" s="251" t="s">
        <v>10959</v>
      </c>
      <c r="C443" s="267" t="s">
        <v>6528</v>
      </c>
      <c r="D443" s="267" t="s">
        <v>10960</v>
      </c>
      <c r="E443" s="277" t="s">
        <v>10324</v>
      </c>
      <c r="F443" s="278" t="s">
        <v>6619</v>
      </c>
      <c r="G443" s="279" t="s">
        <v>2512</v>
      </c>
      <c r="H443" s="279" t="s">
        <v>2512</v>
      </c>
      <c r="I443" s="279" t="s">
        <v>2512</v>
      </c>
      <c r="J443" s="278" t="s">
        <v>76</v>
      </c>
      <c r="K443" s="280">
        <v>34.78</v>
      </c>
      <c r="L443" s="281" t="s">
        <v>2057</v>
      </c>
      <c r="M443" s="272" t="s">
        <v>175</v>
      </c>
    </row>
    <row r="444" spans="1:13" ht="15.75" customHeight="1">
      <c r="A444" s="267" t="s">
        <v>6527</v>
      </c>
      <c r="B444" s="251" t="s">
        <v>10961</v>
      </c>
      <c r="C444" s="267" t="s">
        <v>6528</v>
      </c>
      <c r="D444" s="267" t="s">
        <v>10962</v>
      </c>
      <c r="E444" s="277" t="s">
        <v>10324</v>
      </c>
      <c r="F444" s="278" t="s">
        <v>6619</v>
      </c>
      <c r="G444" s="279" t="s">
        <v>2512</v>
      </c>
      <c r="H444" s="279" t="s">
        <v>2512</v>
      </c>
      <c r="I444" s="279" t="s">
        <v>2512</v>
      </c>
      <c r="J444" s="278" t="s">
        <v>76</v>
      </c>
      <c r="K444" s="280">
        <v>31.82</v>
      </c>
      <c r="L444" s="281" t="s">
        <v>2057</v>
      </c>
      <c r="M444" s="272" t="s">
        <v>175</v>
      </c>
    </row>
    <row r="445" spans="1:13" ht="15.75" customHeight="1">
      <c r="A445" s="267" t="s">
        <v>6527</v>
      </c>
      <c r="B445" s="251" t="s">
        <v>10963</v>
      </c>
      <c r="C445" s="267" t="s">
        <v>6528</v>
      </c>
      <c r="D445" s="267" t="s">
        <v>10964</v>
      </c>
      <c r="E445" s="277" t="s">
        <v>10324</v>
      </c>
      <c r="F445" s="278" t="s">
        <v>6619</v>
      </c>
      <c r="G445" s="279" t="s">
        <v>2512</v>
      </c>
      <c r="H445" s="279" t="s">
        <v>2512</v>
      </c>
      <c r="I445" s="279" t="s">
        <v>2512</v>
      </c>
      <c r="J445" s="278" t="s">
        <v>76</v>
      </c>
      <c r="K445" s="280">
        <v>29.12</v>
      </c>
      <c r="L445" s="281" t="s">
        <v>2057</v>
      </c>
      <c r="M445" s="272" t="s">
        <v>175</v>
      </c>
    </row>
    <row r="446" spans="1:13" ht="15.75" customHeight="1">
      <c r="A446" s="267" t="s">
        <v>6527</v>
      </c>
      <c r="B446" s="251" t="s">
        <v>10965</v>
      </c>
      <c r="C446" s="267" t="s">
        <v>6528</v>
      </c>
      <c r="D446" s="267" t="s">
        <v>10966</v>
      </c>
      <c r="E446" s="277" t="s">
        <v>10324</v>
      </c>
      <c r="F446" s="278" t="s">
        <v>6619</v>
      </c>
      <c r="G446" s="279" t="s">
        <v>2512</v>
      </c>
      <c r="H446" s="279" t="s">
        <v>2512</v>
      </c>
      <c r="I446" s="279" t="s">
        <v>2512</v>
      </c>
      <c r="J446" s="278" t="s">
        <v>76</v>
      </c>
      <c r="K446" s="280">
        <v>26.64</v>
      </c>
      <c r="L446" s="281" t="s">
        <v>2057</v>
      </c>
      <c r="M446" s="272" t="s">
        <v>175</v>
      </c>
    </row>
    <row r="447" spans="1:13" ht="15.75" customHeight="1">
      <c r="A447" s="267" t="s">
        <v>6527</v>
      </c>
      <c r="B447" s="251" t="s">
        <v>10967</v>
      </c>
      <c r="C447" s="267" t="s">
        <v>6528</v>
      </c>
      <c r="D447" s="267" t="s">
        <v>10968</v>
      </c>
      <c r="E447" s="277" t="s">
        <v>10324</v>
      </c>
      <c r="F447" s="278" t="s">
        <v>6619</v>
      </c>
      <c r="G447" s="279" t="s">
        <v>2512</v>
      </c>
      <c r="H447" s="279" t="s">
        <v>2512</v>
      </c>
      <c r="I447" s="279" t="s">
        <v>2512</v>
      </c>
      <c r="J447" s="278" t="s">
        <v>76</v>
      </c>
      <c r="K447" s="280">
        <v>24.38</v>
      </c>
      <c r="L447" s="281" t="s">
        <v>2057</v>
      </c>
      <c r="M447" s="272" t="s">
        <v>175</v>
      </c>
    </row>
    <row r="448" spans="1:13" ht="15.75" customHeight="1">
      <c r="A448" s="267" t="s">
        <v>6527</v>
      </c>
      <c r="B448" s="251" t="s">
        <v>10969</v>
      </c>
      <c r="C448" s="267" t="s">
        <v>6528</v>
      </c>
      <c r="D448" s="267" t="s">
        <v>10970</v>
      </c>
      <c r="E448" s="277" t="s">
        <v>10324</v>
      </c>
      <c r="F448" s="278" t="s">
        <v>6619</v>
      </c>
      <c r="G448" s="279" t="s">
        <v>2512</v>
      </c>
      <c r="H448" s="279" t="s">
        <v>2512</v>
      </c>
      <c r="I448" s="279" t="s">
        <v>2512</v>
      </c>
      <c r="J448" s="278" t="s">
        <v>76</v>
      </c>
      <c r="K448" s="280">
        <v>19.850000000000001</v>
      </c>
      <c r="L448" s="281" t="s">
        <v>2057</v>
      </c>
      <c r="M448" s="272" t="s">
        <v>175</v>
      </c>
    </row>
    <row r="449" spans="1:13" ht="15.75" customHeight="1">
      <c r="A449" s="267" t="s">
        <v>6527</v>
      </c>
      <c r="B449" s="251" t="s">
        <v>10971</v>
      </c>
      <c r="C449" s="267" t="s">
        <v>6528</v>
      </c>
      <c r="D449" s="267" t="s">
        <v>10972</v>
      </c>
      <c r="E449" s="277" t="s">
        <v>10324</v>
      </c>
      <c r="F449" s="278" t="s">
        <v>6619</v>
      </c>
      <c r="G449" s="279" t="s">
        <v>2512</v>
      </c>
      <c r="H449" s="279" t="s">
        <v>2512</v>
      </c>
      <c r="I449" s="279" t="s">
        <v>2512</v>
      </c>
      <c r="J449" s="278" t="s">
        <v>76</v>
      </c>
      <c r="K449" s="280">
        <v>63.79</v>
      </c>
      <c r="L449" s="281" t="s">
        <v>2057</v>
      </c>
      <c r="M449" s="272" t="s">
        <v>175</v>
      </c>
    </row>
    <row r="450" spans="1:13" ht="15.75" customHeight="1">
      <c r="A450" s="267" t="s">
        <v>6527</v>
      </c>
      <c r="B450" s="251" t="s">
        <v>10973</v>
      </c>
      <c r="C450" s="267" t="s">
        <v>6528</v>
      </c>
      <c r="D450" s="267" t="s">
        <v>10974</v>
      </c>
      <c r="E450" s="277" t="s">
        <v>10324</v>
      </c>
      <c r="F450" s="278" t="s">
        <v>6619</v>
      </c>
      <c r="G450" s="279" t="s">
        <v>2512</v>
      </c>
      <c r="H450" s="279" t="s">
        <v>2512</v>
      </c>
      <c r="I450" s="279" t="s">
        <v>2512</v>
      </c>
      <c r="J450" s="278" t="s">
        <v>76</v>
      </c>
      <c r="K450" s="280">
        <v>58.37</v>
      </c>
      <c r="L450" s="281" t="s">
        <v>2057</v>
      </c>
      <c r="M450" s="272" t="s">
        <v>175</v>
      </c>
    </row>
    <row r="451" spans="1:13" ht="15.75" customHeight="1">
      <c r="A451" s="267" t="s">
        <v>6527</v>
      </c>
      <c r="B451" s="251" t="s">
        <v>10975</v>
      </c>
      <c r="C451" s="267" t="s">
        <v>6528</v>
      </c>
      <c r="D451" s="267" t="s">
        <v>10976</v>
      </c>
      <c r="E451" s="277" t="s">
        <v>10324</v>
      </c>
      <c r="F451" s="278" t="s">
        <v>6619</v>
      </c>
      <c r="G451" s="279" t="s">
        <v>2512</v>
      </c>
      <c r="H451" s="279" t="s">
        <v>2512</v>
      </c>
      <c r="I451" s="279" t="s">
        <v>2512</v>
      </c>
      <c r="J451" s="278" t="s">
        <v>76</v>
      </c>
      <c r="K451" s="280">
        <v>51.03</v>
      </c>
      <c r="L451" s="281" t="s">
        <v>2057</v>
      </c>
      <c r="M451" s="272" t="s">
        <v>175</v>
      </c>
    </row>
    <row r="452" spans="1:13" ht="15.75" customHeight="1">
      <c r="A452" s="267" t="s">
        <v>6527</v>
      </c>
      <c r="B452" s="251" t="s">
        <v>10977</v>
      </c>
      <c r="C452" s="267" t="s">
        <v>6528</v>
      </c>
      <c r="D452" s="267" t="s">
        <v>10978</v>
      </c>
      <c r="E452" s="277" t="s">
        <v>10324</v>
      </c>
      <c r="F452" s="278" t="s">
        <v>6619</v>
      </c>
      <c r="G452" s="279" t="s">
        <v>2512</v>
      </c>
      <c r="H452" s="279" t="s">
        <v>2512</v>
      </c>
      <c r="I452" s="279" t="s">
        <v>2512</v>
      </c>
      <c r="J452" s="278" t="s">
        <v>76</v>
      </c>
      <c r="K452" s="280">
        <v>44.71</v>
      </c>
      <c r="L452" s="281" t="s">
        <v>2057</v>
      </c>
      <c r="M452" s="272" t="s">
        <v>175</v>
      </c>
    </row>
    <row r="453" spans="1:13" ht="15.75" customHeight="1">
      <c r="A453" s="267" t="s">
        <v>6527</v>
      </c>
      <c r="B453" s="251" t="s">
        <v>10979</v>
      </c>
      <c r="C453" s="267" t="s">
        <v>6528</v>
      </c>
      <c r="D453" s="267" t="s">
        <v>10980</v>
      </c>
      <c r="E453" s="277" t="s">
        <v>10324</v>
      </c>
      <c r="F453" s="278" t="s">
        <v>6619</v>
      </c>
      <c r="G453" s="279" t="s">
        <v>2512</v>
      </c>
      <c r="H453" s="279" t="s">
        <v>2512</v>
      </c>
      <c r="I453" s="279" t="s">
        <v>2512</v>
      </c>
      <c r="J453" s="278" t="s">
        <v>76</v>
      </c>
      <c r="K453" s="280">
        <v>40.909999999999997</v>
      </c>
      <c r="L453" s="281" t="s">
        <v>2057</v>
      </c>
      <c r="M453" s="272" t="s">
        <v>175</v>
      </c>
    </row>
    <row r="454" spans="1:13" ht="15.75" customHeight="1">
      <c r="A454" s="267" t="s">
        <v>6527</v>
      </c>
      <c r="B454" s="251" t="s">
        <v>10981</v>
      </c>
      <c r="C454" s="267" t="s">
        <v>6528</v>
      </c>
      <c r="D454" s="267" t="s">
        <v>10982</v>
      </c>
      <c r="E454" s="277" t="s">
        <v>10324</v>
      </c>
      <c r="F454" s="278" t="s">
        <v>6619</v>
      </c>
      <c r="G454" s="279" t="s">
        <v>2512</v>
      </c>
      <c r="H454" s="279" t="s">
        <v>2512</v>
      </c>
      <c r="I454" s="279" t="s">
        <v>2512</v>
      </c>
      <c r="J454" s="278" t="s">
        <v>76</v>
      </c>
      <c r="K454" s="280">
        <v>37.43</v>
      </c>
      <c r="L454" s="281" t="s">
        <v>2057</v>
      </c>
      <c r="M454" s="272" t="s">
        <v>175</v>
      </c>
    </row>
    <row r="455" spans="1:13" ht="15.75" customHeight="1">
      <c r="A455" s="267" t="s">
        <v>6527</v>
      </c>
      <c r="B455" s="251" t="s">
        <v>10983</v>
      </c>
      <c r="C455" s="267" t="s">
        <v>6528</v>
      </c>
      <c r="D455" s="267" t="s">
        <v>10984</v>
      </c>
      <c r="E455" s="277" t="s">
        <v>10324</v>
      </c>
      <c r="F455" s="278" t="s">
        <v>6619</v>
      </c>
      <c r="G455" s="279" t="s">
        <v>2512</v>
      </c>
      <c r="H455" s="279" t="s">
        <v>2512</v>
      </c>
      <c r="I455" s="279" t="s">
        <v>2512</v>
      </c>
      <c r="J455" s="278" t="s">
        <v>76</v>
      </c>
      <c r="K455" s="280">
        <v>34.25</v>
      </c>
      <c r="L455" s="281" t="s">
        <v>2057</v>
      </c>
      <c r="M455" s="272" t="s">
        <v>175</v>
      </c>
    </row>
    <row r="456" spans="1:13" ht="15.75" customHeight="1">
      <c r="A456" s="267" t="s">
        <v>6527</v>
      </c>
      <c r="B456" s="251" t="s">
        <v>10985</v>
      </c>
      <c r="C456" s="267" t="s">
        <v>6528</v>
      </c>
      <c r="D456" s="267" t="s">
        <v>10986</v>
      </c>
      <c r="E456" s="277" t="s">
        <v>10324</v>
      </c>
      <c r="F456" s="278" t="s">
        <v>6619</v>
      </c>
      <c r="G456" s="279" t="s">
        <v>2512</v>
      </c>
      <c r="H456" s="279" t="s">
        <v>2512</v>
      </c>
      <c r="I456" s="279" t="s">
        <v>2512</v>
      </c>
      <c r="J456" s="278" t="s">
        <v>76</v>
      </c>
      <c r="K456" s="280">
        <v>31.34</v>
      </c>
      <c r="L456" s="281" t="s">
        <v>2057</v>
      </c>
      <c r="M456" s="272" t="s">
        <v>175</v>
      </c>
    </row>
    <row r="457" spans="1:13" ht="15.75" customHeight="1">
      <c r="A457" s="267" t="s">
        <v>6527</v>
      </c>
      <c r="B457" s="251" t="s">
        <v>10987</v>
      </c>
      <c r="C457" s="267" t="s">
        <v>6528</v>
      </c>
      <c r="D457" s="267" t="s">
        <v>10988</v>
      </c>
      <c r="E457" s="277" t="s">
        <v>10324</v>
      </c>
      <c r="F457" s="278" t="s">
        <v>6619</v>
      </c>
      <c r="G457" s="279" t="s">
        <v>2512</v>
      </c>
      <c r="H457" s="279" t="s">
        <v>2512</v>
      </c>
      <c r="I457" s="279" t="s">
        <v>2512</v>
      </c>
      <c r="J457" s="278" t="s">
        <v>76</v>
      </c>
      <c r="K457" s="280">
        <v>25.52</v>
      </c>
      <c r="L457" s="281" t="s">
        <v>2057</v>
      </c>
      <c r="M457" s="272" t="s">
        <v>175</v>
      </c>
    </row>
    <row r="458" spans="1:13" ht="15.75" customHeight="1">
      <c r="A458" s="267" t="s">
        <v>6527</v>
      </c>
      <c r="B458" s="251" t="s">
        <v>10989</v>
      </c>
      <c r="C458" s="267" t="s">
        <v>6528</v>
      </c>
      <c r="D458" s="267" t="s">
        <v>10990</v>
      </c>
      <c r="E458" s="277" t="s">
        <v>133</v>
      </c>
      <c r="F458" s="278" t="s">
        <v>6619</v>
      </c>
      <c r="G458" s="279" t="s">
        <v>2512</v>
      </c>
      <c r="H458" s="279" t="s">
        <v>2512</v>
      </c>
      <c r="I458" s="279" t="s">
        <v>2512</v>
      </c>
      <c r="J458" s="278" t="s">
        <v>76</v>
      </c>
      <c r="K458" s="280">
        <v>118.13</v>
      </c>
      <c r="L458" s="281" t="s">
        <v>2057</v>
      </c>
      <c r="M458" s="272" t="s">
        <v>175</v>
      </c>
    </row>
    <row r="459" spans="1:13" ht="15.75" customHeight="1">
      <c r="A459" s="267" t="s">
        <v>6527</v>
      </c>
      <c r="B459" s="251" t="s">
        <v>10991</v>
      </c>
      <c r="C459" s="267" t="s">
        <v>6528</v>
      </c>
      <c r="D459" s="267" t="s">
        <v>10992</v>
      </c>
      <c r="E459" s="277" t="s">
        <v>133</v>
      </c>
      <c r="F459" s="278" t="s">
        <v>6619</v>
      </c>
      <c r="G459" s="279" t="s">
        <v>2512</v>
      </c>
      <c r="H459" s="279" t="s">
        <v>2512</v>
      </c>
      <c r="I459" s="279" t="s">
        <v>2512</v>
      </c>
      <c r="J459" s="278" t="s">
        <v>76</v>
      </c>
      <c r="K459" s="280">
        <v>100.41</v>
      </c>
      <c r="L459" s="281" t="s">
        <v>2057</v>
      </c>
      <c r="M459" s="272" t="s">
        <v>175</v>
      </c>
    </row>
    <row r="460" spans="1:13" ht="15.75" customHeight="1">
      <c r="A460" s="267" t="s">
        <v>6527</v>
      </c>
      <c r="B460" s="251" t="s">
        <v>10993</v>
      </c>
      <c r="C460" s="267" t="s">
        <v>6528</v>
      </c>
      <c r="D460" s="267" t="s">
        <v>10994</v>
      </c>
      <c r="E460" s="277" t="s">
        <v>133</v>
      </c>
      <c r="F460" s="278" t="s">
        <v>6619</v>
      </c>
      <c r="G460" s="279" t="s">
        <v>2512</v>
      </c>
      <c r="H460" s="279" t="s">
        <v>2512</v>
      </c>
      <c r="I460" s="279" t="s">
        <v>2512</v>
      </c>
      <c r="J460" s="278" t="s">
        <v>76</v>
      </c>
      <c r="K460" s="280">
        <v>88.6</v>
      </c>
      <c r="L460" s="281" t="s">
        <v>2057</v>
      </c>
      <c r="M460" s="272" t="s">
        <v>175</v>
      </c>
    </row>
    <row r="461" spans="1:13" ht="15.75" customHeight="1">
      <c r="A461" s="267" t="s">
        <v>6527</v>
      </c>
      <c r="B461" s="251" t="s">
        <v>10995</v>
      </c>
      <c r="C461" s="267" t="s">
        <v>6528</v>
      </c>
      <c r="D461" s="267" t="s">
        <v>10996</v>
      </c>
      <c r="E461" s="277" t="s">
        <v>133</v>
      </c>
      <c r="F461" s="278" t="s">
        <v>6619</v>
      </c>
      <c r="G461" s="279" t="s">
        <v>2512</v>
      </c>
      <c r="H461" s="279" t="s">
        <v>2512</v>
      </c>
      <c r="I461" s="279" t="s">
        <v>2512</v>
      </c>
      <c r="J461" s="278" t="s">
        <v>76</v>
      </c>
      <c r="K461" s="280">
        <v>88.6</v>
      </c>
      <c r="L461" s="281" t="s">
        <v>2057</v>
      </c>
      <c r="M461" s="272" t="s">
        <v>175</v>
      </c>
    </row>
    <row r="462" spans="1:13" ht="15.75" customHeight="1">
      <c r="A462" s="267" t="s">
        <v>6527</v>
      </c>
      <c r="B462" s="251" t="s">
        <v>10997</v>
      </c>
      <c r="C462" s="267" t="s">
        <v>6528</v>
      </c>
      <c r="D462" s="267" t="s">
        <v>10998</v>
      </c>
      <c r="E462" s="277" t="s">
        <v>133</v>
      </c>
      <c r="F462" s="278" t="s">
        <v>6619</v>
      </c>
      <c r="G462" s="279" t="s">
        <v>2512</v>
      </c>
      <c r="H462" s="279" t="s">
        <v>2512</v>
      </c>
      <c r="I462" s="279" t="s">
        <v>2512</v>
      </c>
      <c r="J462" s="278" t="s">
        <v>76</v>
      </c>
      <c r="K462" s="280">
        <v>31.5</v>
      </c>
      <c r="L462" s="281" t="s">
        <v>2057</v>
      </c>
      <c r="M462" s="272" t="s">
        <v>175</v>
      </c>
    </row>
    <row r="463" spans="1:13" ht="15.75" customHeight="1">
      <c r="A463" s="267" t="s">
        <v>6527</v>
      </c>
      <c r="B463" s="251" t="s">
        <v>10999</v>
      </c>
      <c r="C463" s="267" t="s">
        <v>6528</v>
      </c>
      <c r="D463" s="267" t="s">
        <v>11000</v>
      </c>
      <c r="E463" s="277" t="s">
        <v>133</v>
      </c>
      <c r="F463" s="278" t="s">
        <v>6619</v>
      </c>
      <c r="G463" s="279" t="s">
        <v>2512</v>
      </c>
      <c r="H463" s="279" t="s">
        <v>2512</v>
      </c>
      <c r="I463" s="279" t="s">
        <v>2512</v>
      </c>
      <c r="J463" s="278" t="s">
        <v>76</v>
      </c>
      <c r="K463" s="280">
        <v>26.78</v>
      </c>
      <c r="L463" s="281" t="s">
        <v>2057</v>
      </c>
      <c r="M463" s="272" t="s">
        <v>175</v>
      </c>
    </row>
    <row r="464" spans="1:13" ht="15.75" customHeight="1">
      <c r="A464" s="267" t="s">
        <v>6527</v>
      </c>
      <c r="B464" s="251" t="s">
        <v>11001</v>
      </c>
      <c r="C464" s="267" t="s">
        <v>6528</v>
      </c>
      <c r="D464" s="267" t="s">
        <v>11002</v>
      </c>
      <c r="E464" s="277" t="s">
        <v>133</v>
      </c>
      <c r="F464" s="278" t="s">
        <v>6619</v>
      </c>
      <c r="G464" s="279" t="s">
        <v>2512</v>
      </c>
      <c r="H464" s="279" t="s">
        <v>2512</v>
      </c>
      <c r="I464" s="279" t="s">
        <v>2512</v>
      </c>
      <c r="J464" s="278" t="s">
        <v>76</v>
      </c>
      <c r="K464" s="280">
        <v>23.63</v>
      </c>
      <c r="L464" s="281" t="s">
        <v>2057</v>
      </c>
      <c r="M464" s="272" t="s">
        <v>175</v>
      </c>
    </row>
    <row r="465" spans="1:13" ht="15.75" customHeight="1">
      <c r="A465" s="267" t="s">
        <v>6527</v>
      </c>
      <c r="B465" s="251" t="s">
        <v>11003</v>
      </c>
      <c r="C465" s="267" t="s">
        <v>6528</v>
      </c>
      <c r="D465" s="267" t="s">
        <v>11004</v>
      </c>
      <c r="E465" s="277" t="s">
        <v>133</v>
      </c>
      <c r="F465" s="278" t="s">
        <v>6619</v>
      </c>
      <c r="G465" s="279" t="s">
        <v>2512</v>
      </c>
      <c r="H465" s="279" t="s">
        <v>2512</v>
      </c>
      <c r="I465" s="279" t="s">
        <v>2512</v>
      </c>
      <c r="J465" s="278" t="s">
        <v>76</v>
      </c>
      <c r="K465" s="280">
        <v>23.63</v>
      </c>
      <c r="L465" s="281" t="s">
        <v>2057</v>
      </c>
      <c r="M465" s="272" t="s">
        <v>175</v>
      </c>
    </row>
    <row r="466" spans="1:13" ht="15.75" customHeight="1">
      <c r="A466" s="267" t="s">
        <v>6527</v>
      </c>
      <c r="B466" s="251" t="s">
        <v>11005</v>
      </c>
      <c r="C466" s="267" t="s">
        <v>6528</v>
      </c>
      <c r="D466" s="267" t="s">
        <v>11006</v>
      </c>
      <c r="E466" s="277" t="s">
        <v>133</v>
      </c>
      <c r="F466" s="278" t="s">
        <v>6619</v>
      </c>
      <c r="G466" s="279" t="s">
        <v>2512</v>
      </c>
      <c r="H466" s="279" t="s">
        <v>2512</v>
      </c>
      <c r="I466" s="279" t="s">
        <v>2512</v>
      </c>
      <c r="J466" s="278" t="s">
        <v>76</v>
      </c>
      <c r="K466" s="280">
        <v>275.63</v>
      </c>
      <c r="L466" s="281" t="s">
        <v>2057</v>
      </c>
      <c r="M466" s="272" t="s">
        <v>175</v>
      </c>
    </row>
    <row r="467" spans="1:13" ht="15.75" customHeight="1">
      <c r="A467" s="267" t="s">
        <v>6527</v>
      </c>
      <c r="B467" s="251" t="s">
        <v>11007</v>
      </c>
      <c r="C467" s="267" t="s">
        <v>6528</v>
      </c>
      <c r="D467" s="267" t="s">
        <v>11008</v>
      </c>
      <c r="E467" s="277" t="s">
        <v>133</v>
      </c>
      <c r="F467" s="278" t="s">
        <v>6619</v>
      </c>
      <c r="G467" s="279" t="s">
        <v>2512</v>
      </c>
      <c r="H467" s="279" t="s">
        <v>2512</v>
      </c>
      <c r="I467" s="279" t="s">
        <v>2512</v>
      </c>
      <c r="J467" s="278" t="s">
        <v>76</v>
      </c>
      <c r="K467" s="280">
        <v>234.29</v>
      </c>
      <c r="L467" s="281" t="s">
        <v>2057</v>
      </c>
      <c r="M467" s="272" t="s">
        <v>175</v>
      </c>
    </row>
    <row r="468" spans="1:13" ht="15.75" customHeight="1">
      <c r="A468" s="267" t="s">
        <v>6527</v>
      </c>
      <c r="B468" s="251" t="s">
        <v>11009</v>
      </c>
      <c r="C468" s="267" t="s">
        <v>6528</v>
      </c>
      <c r="D468" s="267" t="s">
        <v>11010</v>
      </c>
      <c r="E468" s="277" t="s">
        <v>133</v>
      </c>
      <c r="F468" s="278" t="s">
        <v>6619</v>
      </c>
      <c r="G468" s="279" t="s">
        <v>2512</v>
      </c>
      <c r="H468" s="279" t="s">
        <v>2512</v>
      </c>
      <c r="I468" s="279" t="s">
        <v>2512</v>
      </c>
      <c r="J468" s="278" t="s">
        <v>76</v>
      </c>
      <c r="K468" s="280">
        <v>206.72</v>
      </c>
      <c r="L468" s="281" t="s">
        <v>2057</v>
      </c>
      <c r="M468" s="272" t="s">
        <v>175</v>
      </c>
    </row>
    <row r="469" spans="1:13" ht="15.75" customHeight="1">
      <c r="A469" s="267" t="s">
        <v>6527</v>
      </c>
      <c r="B469" s="251" t="s">
        <v>11011</v>
      </c>
      <c r="C469" s="267" t="s">
        <v>6528</v>
      </c>
      <c r="D469" s="267" t="s">
        <v>11012</v>
      </c>
      <c r="E469" s="277" t="s">
        <v>133</v>
      </c>
      <c r="F469" s="278" t="s">
        <v>6619</v>
      </c>
      <c r="G469" s="279" t="s">
        <v>2512</v>
      </c>
      <c r="H469" s="279" t="s">
        <v>2512</v>
      </c>
      <c r="I469" s="279" t="s">
        <v>2512</v>
      </c>
      <c r="J469" s="278" t="s">
        <v>76</v>
      </c>
      <c r="K469" s="280">
        <v>206.72</v>
      </c>
      <c r="L469" s="281" t="s">
        <v>2057</v>
      </c>
      <c r="M469" s="272" t="s">
        <v>175</v>
      </c>
    </row>
    <row r="470" spans="1:13" ht="15.75" customHeight="1">
      <c r="A470" s="267" t="s">
        <v>6527</v>
      </c>
      <c r="B470" s="251" t="s">
        <v>11013</v>
      </c>
      <c r="C470" s="267" t="s">
        <v>6528</v>
      </c>
      <c r="D470" s="267" t="s">
        <v>11014</v>
      </c>
      <c r="E470" s="277" t="s">
        <v>133</v>
      </c>
      <c r="F470" s="278" t="s">
        <v>6619</v>
      </c>
      <c r="G470" s="279" t="s">
        <v>2512</v>
      </c>
      <c r="H470" s="279" t="s">
        <v>2512</v>
      </c>
      <c r="I470" s="279" t="s">
        <v>2512</v>
      </c>
      <c r="J470" s="278" t="s">
        <v>76</v>
      </c>
      <c r="K470" s="280">
        <v>47.25</v>
      </c>
      <c r="L470" s="281" t="s">
        <v>2057</v>
      </c>
      <c r="M470" s="272" t="s">
        <v>175</v>
      </c>
    </row>
    <row r="471" spans="1:13" ht="15.75" customHeight="1">
      <c r="A471" s="267" t="s">
        <v>6527</v>
      </c>
      <c r="B471" s="251" t="s">
        <v>11015</v>
      </c>
      <c r="C471" s="267" t="s">
        <v>6528</v>
      </c>
      <c r="D471" s="267" t="s">
        <v>11016</v>
      </c>
      <c r="E471" s="277" t="s">
        <v>133</v>
      </c>
      <c r="F471" s="278" t="s">
        <v>6619</v>
      </c>
      <c r="G471" s="279" t="s">
        <v>2512</v>
      </c>
      <c r="H471" s="279" t="s">
        <v>2512</v>
      </c>
      <c r="I471" s="279" t="s">
        <v>2512</v>
      </c>
      <c r="J471" s="278" t="s">
        <v>76</v>
      </c>
      <c r="K471" s="280">
        <v>40.159999999999997</v>
      </c>
      <c r="L471" s="281" t="s">
        <v>2057</v>
      </c>
      <c r="M471" s="272" t="s">
        <v>175</v>
      </c>
    </row>
    <row r="472" spans="1:13" ht="15.75" customHeight="1">
      <c r="A472" s="267" t="s">
        <v>6527</v>
      </c>
      <c r="B472" s="251" t="s">
        <v>11017</v>
      </c>
      <c r="C472" s="267" t="s">
        <v>6528</v>
      </c>
      <c r="D472" s="267" t="s">
        <v>11018</v>
      </c>
      <c r="E472" s="277" t="s">
        <v>133</v>
      </c>
      <c r="F472" s="278" t="s">
        <v>6619</v>
      </c>
      <c r="G472" s="279" t="s">
        <v>2512</v>
      </c>
      <c r="H472" s="279" t="s">
        <v>2512</v>
      </c>
      <c r="I472" s="279" t="s">
        <v>2512</v>
      </c>
      <c r="J472" s="278" t="s">
        <v>76</v>
      </c>
      <c r="K472" s="280">
        <v>35.44</v>
      </c>
      <c r="L472" s="281" t="s">
        <v>2057</v>
      </c>
      <c r="M472" s="272" t="s">
        <v>175</v>
      </c>
    </row>
    <row r="473" spans="1:13" ht="15.75" customHeight="1">
      <c r="A473" s="267" t="s">
        <v>6527</v>
      </c>
      <c r="B473" s="251" t="s">
        <v>11019</v>
      </c>
      <c r="C473" s="267" t="s">
        <v>6528</v>
      </c>
      <c r="D473" s="267" t="s">
        <v>11020</v>
      </c>
      <c r="E473" s="277" t="s">
        <v>133</v>
      </c>
      <c r="F473" s="278" t="s">
        <v>6619</v>
      </c>
      <c r="G473" s="279" t="s">
        <v>2512</v>
      </c>
      <c r="H473" s="279" t="s">
        <v>2512</v>
      </c>
      <c r="I473" s="279" t="s">
        <v>2512</v>
      </c>
      <c r="J473" s="278" t="s">
        <v>76</v>
      </c>
      <c r="K473" s="280">
        <v>35.44</v>
      </c>
      <c r="L473" s="281" t="s">
        <v>2057</v>
      </c>
      <c r="M473" s="272" t="s">
        <v>175</v>
      </c>
    </row>
    <row r="474" spans="1:13" ht="15.75" customHeight="1">
      <c r="A474" s="267" t="s">
        <v>6527</v>
      </c>
      <c r="B474" s="251" t="s">
        <v>11021</v>
      </c>
      <c r="C474" s="267" t="s">
        <v>6528</v>
      </c>
      <c r="D474" s="267" t="s">
        <v>11022</v>
      </c>
      <c r="E474" s="277" t="s">
        <v>133</v>
      </c>
      <c r="F474" s="278" t="s">
        <v>6619</v>
      </c>
      <c r="G474" s="279" t="s">
        <v>2512</v>
      </c>
      <c r="H474" s="279" t="s">
        <v>2512</v>
      </c>
      <c r="I474" s="279" t="s">
        <v>2512</v>
      </c>
      <c r="J474" s="278" t="s">
        <v>76</v>
      </c>
      <c r="K474" s="280">
        <v>275.63</v>
      </c>
      <c r="L474" s="281" t="s">
        <v>2057</v>
      </c>
      <c r="M474" s="272" t="s">
        <v>175</v>
      </c>
    </row>
    <row r="475" spans="1:13" ht="15.75" customHeight="1">
      <c r="A475" s="267" t="s">
        <v>6527</v>
      </c>
      <c r="B475" s="251" t="s">
        <v>11023</v>
      </c>
      <c r="C475" s="267" t="s">
        <v>6528</v>
      </c>
      <c r="D475" s="267" t="s">
        <v>11024</v>
      </c>
      <c r="E475" s="277" t="s">
        <v>133</v>
      </c>
      <c r="F475" s="278" t="s">
        <v>6619</v>
      </c>
      <c r="G475" s="279" t="s">
        <v>2512</v>
      </c>
      <c r="H475" s="279" t="s">
        <v>2512</v>
      </c>
      <c r="I475" s="279" t="s">
        <v>2512</v>
      </c>
      <c r="J475" s="278" t="s">
        <v>76</v>
      </c>
      <c r="K475" s="280">
        <v>234.29</v>
      </c>
      <c r="L475" s="281" t="s">
        <v>2057</v>
      </c>
      <c r="M475" s="272" t="s">
        <v>175</v>
      </c>
    </row>
    <row r="476" spans="1:13" ht="15.75" customHeight="1">
      <c r="A476" s="267" t="s">
        <v>6527</v>
      </c>
      <c r="B476" s="251" t="s">
        <v>11025</v>
      </c>
      <c r="C476" s="267" t="s">
        <v>6528</v>
      </c>
      <c r="D476" s="267" t="s">
        <v>11026</v>
      </c>
      <c r="E476" s="277" t="s">
        <v>133</v>
      </c>
      <c r="F476" s="278" t="s">
        <v>6619</v>
      </c>
      <c r="G476" s="279" t="s">
        <v>2512</v>
      </c>
      <c r="H476" s="279" t="s">
        <v>2512</v>
      </c>
      <c r="I476" s="279" t="s">
        <v>2512</v>
      </c>
      <c r="J476" s="278" t="s">
        <v>76</v>
      </c>
      <c r="K476" s="280">
        <v>206.72</v>
      </c>
      <c r="L476" s="281" t="s">
        <v>2057</v>
      </c>
      <c r="M476" s="272" t="s">
        <v>175</v>
      </c>
    </row>
    <row r="477" spans="1:13" ht="15.75" customHeight="1">
      <c r="A477" s="267" t="s">
        <v>6527</v>
      </c>
      <c r="B477" s="251" t="s">
        <v>11027</v>
      </c>
      <c r="C477" s="267" t="s">
        <v>6528</v>
      </c>
      <c r="D477" s="267" t="s">
        <v>11028</v>
      </c>
      <c r="E477" s="277" t="s">
        <v>133</v>
      </c>
      <c r="F477" s="278" t="s">
        <v>6619</v>
      </c>
      <c r="G477" s="279" t="s">
        <v>2512</v>
      </c>
      <c r="H477" s="279" t="s">
        <v>2512</v>
      </c>
      <c r="I477" s="279" t="s">
        <v>2512</v>
      </c>
      <c r="J477" s="278" t="s">
        <v>76</v>
      </c>
      <c r="K477" s="280">
        <v>206.72</v>
      </c>
      <c r="L477" s="281" t="s">
        <v>2057</v>
      </c>
      <c r="M477" s="272" t="s">
        <v>175</v>
      </c>
    </row>
    <row r="478" spans="1:13" ht="15.75" customHeight="1">
      <c r="A478" s="267" t="s">
        <v>6527</v>
      </c>
      <c r="B478" s="251" t="s">
        <v>11029</v>
      </c>
      <c r="C478" s="267" t="s">
        <v>6528</v>
      </c>
      <c r="D478" s="267" t="s">
        <v>11030</v>
      </c>
      <c r="E478" s="277" t="s">
        <v>133</v>
      </c>
      <c r="F478" s="278" t="s">
        <v>6619</v>
      </c>
      <c r="G478" s="279" t="s">
        <v>2512</v>
      </c>
      <c r="H478" s="279" t="s">
        <v>2512</v>
      </c>
      <c r="I478" s="279" t="s">
        <v>2512</v>
      </c>
      <c r="J478" s="278" t="s">
        <v>76</v>
      </c>
      <c r="K478" s="280">
        <v>47.25</v>
      </c>
      <c r="L478" s="281" t="s">
        <v>2057</v>
      </c>
      <c r="M478" s="272" t="s">
        <v>175</v>
      </c>
    </row>
    <row r="479" spans="1:13" ht="15.75" customHeight="1">
      <c r="A479" s="267" t="s">
        <v>6527</v>
      </c>
      <c r="B479" s="251" t="s">
        <v>11031</v>
      </c>
      <c r="C479" s="267" t="s">
        <v>6528</v>
      </c>
      <c r="D479" s="267" t="s">
        <v>11032</v>
      </c>
      <c r="E479" s="277" t="s">
        <v>133</v>
      </c>
      <c r="F479" s="278" t="s">
        <v>6619</v>
      </c>
      <c r="G479" s="279" t="s">
        <v>2512</v>
      </c>
      <c r="H479" s="279" t="s">
        <v>2512</v>
      </c>
      <c r="I479" s="279" t="s">
        <v>2512</v>
      </c>
      <c r="J479" s="278" t="s">
        <v>76</v>
      </c>
      <c r="K479" s="280">
        <v>40.159999999999997</v>
      </c>
      <c r="L479" s="281" t="s">
        <v>2057</v>
      </c>
      <c r="M479" s="272" t="s">
        <v>175</v>
      </c>
    </row>
    <row r="480" spans="1:13" ht="15.75" customHeight="1">
      <c r="A480" s="267" t="s">
        <v>6527</v>
      </c>
      <c r="B480" s="251" t="s">
        <v>11033</v>
      </c>
      <c r="C480" s="267" t="s">
        <v>6528</v>
      </c>
      <c r="D480" s="267" t="s">
        <v>11034</v>
      </c>
      <c r="E480" s="277" t="s">
        <v>133</v>
      </c>
      <c r="F480" s="278" t="s">
        <v>6619</v>
      </c>
      <c r="G480" s="279" t="s">
        <v>2512</v>
      </c>
      <c r="H480" s="279" t="s">
        <v>2512</v>
      </c>
      <c r="I480" s="279" t="s">
        <v>2512</v>
      </c>
      <c r="J480" s="278" t="s">
        <v>76</v>
      </c>
      <c r="K480" s="280">
        <v>35.44</v>
      </c>
      <c r="L480" s="281" t="s">
        <v>2057</v>
      </c>
      <c r="M480" s="272" t="s">
        <v>175</v>
      </c>
    </row>
    <row r="481" spans="1:13" ht="15.75" customHeight="1">
      <c r="A481" s="267" t="s">
        <v>6527</v>
      </c>
      <c r="B481" s="251" t="s">
        <v>11035</v>
      </c>
      <c r="C481" s="267" t="s">
        <v>6528</v>
      </c>
      <c r="D481" s="267" t="s">
        <v>11036</v>
      </c>
      <c r="E481" s="277" t="s">
        <v>133</v>
      </c>
      <c r="F481" s="278" t="s">
        <v>6619</v>
      </c>
      <c r="G481" s="279" t="s">
        <v>2512</v>
      </c>
      <c r="H481" s="279" t="s">
        <v>2512</v>
      </c>
      <c r="I481" s="279" t="s">
        <v>2512</v>
      </c>
      <c r="J481" s="278" t="s">
        <v>76</v>
      </c>
      <c r="K481" s="280">
        <v>35.44</v>
      </c>
      <c r="L481" s="281" t="s">
        <v>2057</v>
      </c>
      <c r="M481" s="272" t="s">
        <v>175</v>
      </c>
    </row>
    <row r="482" spans="1:13" ht="15.75" customHeight="1">
      <c r="A482" s="267" t="s">
        <v>6527</v>
      </c>
      <c r="B482" s="251" t="s">
        <v>11037</v>
      </c>
      <c r="C482" s="267" t="s">
        <v>6528</v>
      </c>
      <c r="D482" s="267" t="s">
        <v>11038</v>
      </c>
      <c r="E482" s="277" t="s">
        <v>133</v>
      </c>
      <c r="F482" s="278" t="s">
        <v>6619</v>
      </c>
      <c r="G482" s="279" t="s">
        <v>2512</v>
      </c>
      <c r="H482" s="279" t="s">
        <v>2512</v>
      </c>
      <c r="I482" s="279" t="s">
        <v>2512</v>
      </c>
      <c r="J482" s="278" t="s">
        <v>76</v>
      </c>
      <c r="K482" s="280">
        <v>295.31</v>
      </c>
      <c r="L482" s="281" t="s">
        <v>2057</v>
      </c>
      <c r="M482" s="272" t="s">
        <v>175</v>
      </c>
    </row>
    <row r="483" spans="1:13" ht="15.75" customHeight="1">
      <c r="A483" s="267" t="s">
        <v>6527</v>
      </c>
      <c r="B483" s="251" t="s">
        <v>11039</v>
      </c>
      <c r="C483" s="267" t="s">
        <v>6528</v>
      </c>
      <c r="D483" s="267" t="s">
        <v>11040</v>
      </c>
      <c r="E483" s="277" t="s">
        <v>133</v>
      </c>
      <c r="F483" s="278" t="s">
        <v>6619</v>
      </c>
      <c r="G483" s="279" t="s">
        <v>2512</v>
      </c>
      <c r="H483" s="279" t="s">
        <v>2512</v>
      </c>
      <c r="I483" s="279" t="s">
        <v>2512</v>
      </c>
      <c r="J483" s="278" t="s">
        <v>76</v>
      </c>
      <c r="K483" s="280">
        <v>252</v>
      </c>
      <c r="L483" s="281" t="s">
        <v>2057</v>
      </c>
      <c r="M483" s="272" t="s">
        <v>175</v>
      </c>
    </row>
    <row r="484" spans="1:13" ht="15.75" customHeight="1">
      <c r="A484" s="267" t="s">
        <v>6527</v>
      </c>
      <c r="B484" s="251" t="s">
        <v>11041</v>
      </c>
      <c r="C484" s="267" t="s">
        <v>6528</v>
      </c>
      <c r="D484" s="267" t="s">
        <v>11042</v>
      </c>
      <c r="E484" s="277" t="s">
        <v>133</v>
      </c>
      <c r="F484" s="278" t="s">
        <v>6619</v>
      </c>
      <c r="G484" s="279" t="s">
        <v>2512</v>
      </c>
      <c r="H484" s="279" t="s">
        <v>2512</v>
      </c>
      <c r="I484" s="279" t="s">
        <v>2512</v>
      </c>
      <c r="J484" s="278" t="s">
        <v>76</v>
      </c>
      <c r="K484" s="280">
        <v>220.5</v>
      </c>
      <c r="L484" s="281" t="s">
        <v>2057</v>
      </c>
      <c r="M484" s="272" t="s">
        <v>175</v>
      </c>
    </row>
    <row r="485" spans="1:13" ht="15.75" customHeight="1">
      <c r="A485" s="267" t="s">
        <v>6527</v>
      </c>
      <c r="B485" s="251" t="s">
        <v>11043</v>
      </c>
      <c r="C485" s="267" t="s">
        <v>6528</v>
      </c>
      <c r="D485" s="267" t="s">
        <v>11044</v>
      </c>
      <c r="E485" s="277" t="s">
        <v>133</v>
      </c>
      <c r="F485" s="278" t="s">
        <v>6619</v>
      </c>
      <c r="G485" s="279" t="s">
        <v>2512</v>
      </c>
      <c r="H485" s="279" t="s">
        <v>2512</v>
      </c>
      <c r="I485" s="279" t="s">
        <v>2512</v>
      </c>
      <c r="J485" s="278" t="s">
        <v>76</v>
      </c>
      <c r="K485" s="280">
        <v>189</v>
      </c>
      <c r="L485" s="281" t="s">
        <v>2057</v>
      </c>
      <c r="M485" s="272" t="s">
        <v>175</v>
      </c>
    </row>
    <row r="486" spans="1:13" ht="15.75" customHeight="1">
      <c r="A486" s="267" t="s">
        <v>6527</v>
      </c>
      <c r="B486" s="251" t="s">
        <v>11045</v>
      </c>
      <c r="C486" s="267" t="s">
        <v>6528</v>
      </c>
      <c r="D486" s="267" t="s">
        <v>11046</v>
      </c>
      <c r="E486" s="277" t="s">
        <v>133</v>
      </c>
      <c r="F486" s="278" t="s">
        <v>6619</v>
      </c>
      <c r="G486" s="279" t="s">
        <v>2512</v>
      </c>
      <c r="H486" s="279" t="s">
        <v>2512</v>
      </c>
      <c r="I486" s="279" t="s">
        <v>2512</v>
      </c>
      <c r="J486" s="278" t="s">
        <v>76</v>
      </c>
      <c r="K486" s="280">
        <v>44.3</v>
      </c>
      <c r="L486" s="281" t="s">
        <v>173</v>
      </c>
      <c r="M486" s="272" t="s">
        <v>175</v>
      </c>
    </row>
    <row r="487" spans="1:13" ht="15.75" customHeight="1">
      <c r="A487" s="267" t="s">
        <v>6527</v>
      </c>
      <c r="B487" s="251" t="s">
        <v>11047</v>
      </c>
      <c r="C487" s="267" t="s">
        <v>6528</v>
      </c>
      <c r="D487" s="267" t="s">
        <v>11048</v>
      </c>
      <c r="E487" s="277" t="s">
        <v>133</v>
      </c>
      <c r="F487" s="278" t="s">
        <v>6619</v>
      </c>
      <c r="G487" s="279" t="s">
        <v>2512</v>
      </c>
      <c r="H487" s="279" t="s">
        <v>2512</v>
      </c>
      <c r="I487" s="279" t="s">
        <v>2512</v>
      </c>
      <c r="J487" s="278" t="s">
        <v>76</v>
      </c>
      <c r="K487" s="280">
        <v>37.799999999999997</v>
      </c>
      <c r="L487" s="281" t="s">
        <v>173</v>
      </c>
      <c r="M487" s="272" t="s">
        <v>175</v>
      </c>
    </row>
    <row r="488" spans="1:13" ht="15.75" customHeight="1">
      <c r="A488" s="267" t="s">
        <v>6527</v>
      </c>
      <c r="B488" s="251" t="s">
        <v>11049</v>
      </c>
      <c r="C488" s="267" t="s">
        <v>6528</v>
      </c>
      <c r="D488" s="267" t="s">
        <v>11050</v>
      </c>
      <c r="E488" s="277" t="s">
        <v>133</v>
      </c>
      <c r="F488" s="278" t="s">
        <v>6619</v>
      </c>
      <c r="G488" s="279" t="s">
        <v>2512</v>
      </c>
      <c r="H488" s="279" t="s">
        <v>2512</v>
      </c>
      <c r="I488" s="279" t="s">
        <v>2512</v>
      </c>
      <c r="J488" s="278" t="s">
        <v>76</v>
      </c>
      <c r="K488" s="280">
        <v>33.08</v>
      </c>
      <c r="L488" s="281" t="s">
        <v>173</v>
      </c>
      <c r="M488" s="272" t="s">
        <v>175</v>
      </c>
    </row>
    <row r="489" spans="1:13" ht="15.75" customHeight="1">
      <c r="A489" s="267" t="s">
        <v>6527</v>
      </c>
      <c r="B489" s="251" t="s">
        <v>11051</v>
      </c>
      <c r="C489" s="267" t="s">
        <v>6528</v>
      </c>
      <c r="D489" s="267" t="s">
        <v>11052</v>
      </c>
      <c r="E489" s="277" t="s">
        <v>133</v>
      </c>
      <c r="F489" s="278" t="s">
        <v>6619</v>
      </c>
      <c r="G489" s="279" t="s">
        <v>2512</v>
      </c>
      <c r="H489" s="279" t="s">
        <v>2512</v>
      </c>
      <c r="I489" s="279" t="s">
        <v>2512</v>
      </c>
      <c r="J489" s="278" t="s">
        <v>76</v>
      </c>
      <c r="K489" s="280">
        <v>28.35</v>
      </c>
      <c r="L489" s="281" t="s">
        <v>173</v>
      </c>
      <c r="M489" s="272" t="s">
        <v>175</v>
      </c>
    </row>
    <row r="490" spans="1:13" ht="15.75" customHeight="1">
      <c r="A490" s="267" t="s">
        <v>6527</v>
      </c>
      <c r="B490" s="251" t="s">
        <v>11053</v>
      </c>
      <c r="C490" s="267" t="s">
        <v>6528</v>
      </c>
      <c r="D490" s="267" t="s">
        <v>11054</v>
      </c>
      <c r="E490" s="277" t="s">
        <v>133</v>
      </c>
      <c r="F490" s="278" t="s">
        <v>6619</v>
      </c>
      <c r="G490" s="279" t="s">
        <v>2512</v>
      </c>
      <c r="H490" s="279" t="s">
        <v>2512</v>
      </c>
      <c r="I490" s="279" t="s">
        <v>2512</v>
      </c>
      <c r="J490" s="278" t="s">
        <v>76</v>
      </c>
      <c r="K490" s="280">
        <v>551.25</v>
      </c>
      <c r="L490" s="281" t="s">
        <v>2057</v>
      </c>
      <c r="M490" s="272" t="s">
        <v>175</v>
      </c>
    </row>
    <row r="491" spans="1:13" ht="15.75" customHeight="1">
      <c r="A491" s="267" t="s">
        <v>6527</v>
      </c>
      <c r="B491" s="251" t="s">
        <v>11055</v>
      </c>
      <c r="C491" s="267" t="s">
        <v>6528</v>
      </c>
      <c r="D491" s="267" t="s">
        <v>11056</v>
      </c>
      <c r="E491" s="277" t="s">
        <v>133</v>
      </c>
      <c r="F491" s="278" t="s">
        <v>6619</v>
      </c>
      <c r="G491" s="279" t="s">
        <v>2512</v>
      </c>
      <c r="H491" s="279" t="s">
        <v>2512</v>
      </c>
      <c r="I491" s="279" t="s">
        <v>2512</v>
      </c>
      <c r="J491" s="278" t="s">
        <v>76</v>
      </c>
      <c r="K491" s="280">
        <v>468.56</v>
      </c>
      <c r="L491" s="281" t="s">
        <v>2057</v>
      </c>
      <c r="M491" s="272" t="s">
        <v>175</v>
      </c>
    </row>
    <row r="492" spans="1:13" ht="15.75" customHeight="1">
      <c r="A492" s="267" t="s">
        <v>6527</v>
      </c>
      <c r="B492" s="251" t="s">
        <v>11057</v>
      </c>
      <c r="C492" s="267" t="s">
        <v>6528</v>
      </c>
      <c r="D492" s="267" t="s">
        <v>11058</v>
      </c>
      <c r="E492" s="277" t="s">
        <v>133</v>
      </c>
      <c r="F492" s="278" t="s">
        <v>6619</v>
      </c>
      <c r="G492" s="279" t="s">
        <v>2512</v>
      </c>
      <c r="H492" s="279" t="s">
        <v>2512</v>
      </c>
      <c r="I492" s="279" t="s">
        <v>2512</v>
      </c>
      <c r="J492" s="278" t="s">
        <v>76</v>
      </c>
      <c r="K492" s="280">
        <v>413.44</v>
      </c>
      <c r="L492" s="281" t="s">
        <v>2057</v>
      </c>
      <c r="M492" s="272" t="s">
        <v>175</v>
      </c>
    </row>
    <row r="493" spans="1:13" ht="15.75" customHeight="1">
      <c r="A493" s="267" t="s">
        <v>6527</v>
      </c>
      <c r="B493" s="251" t="s">
        <v>11059</v>
      </c>
      <c r="C493" s="267" t="s">
        <v>6528</v>
      </c>
      <c r="D493" s="267" t="s">
        <v>11060</v>
      </c>
      <c r="E493" s="277" t="s">
        <v>133</v>
      </c>
      <c r="F493" s="278" t="s">
        <v>6619</v>
      </c>
      <c r="G493" s="279" t="s">
        <v>2512</v>
      </c>
      <c r="H493" s="279" t="s">
        <v>2512</v>
      </c>
      <c r="I493" s="279" t="s">
        <v>2512</v>
      </c>
      <c r="J493" s="278" t="s">
        <v>76</v>
      </c>
      <c r="K493" s="280">
        <v>413.44</v>
      </c>
      <c r="L493" s="281" t="s">
        <v>2057</v>
      </c>
      <c r="M493" s="272" t="s">
        <v>175</v>
      </c>
    </row>
    <row r="494" spans="1:13" ht="15.75" customHeight="1">
      <c r="A494" s="267" t="s">
        <v>6527</v>
      </c>
      <c r="B494" s="251" t="s">
        <v>11061</v>
      </c>
      <c r="C494" s="267" t="s">
        <v>6528</v>
      </c>
      <c r="D494" s="267" t="s">
        <v>11062</v>
      </c>
      <c r="E494" s="277" t="s">
        <v>133</v>
      </c>
      <c r="F494" s="278" t="s">
        <v>6619</v>
      </c>
      <c r="G494" s="279" t="s">
        <v>2512</v>
      </c>
      <c r="H494" s="279" t="s">
        <v>2512</v>
      </c>
      <c r="I494" s="279" t="s">
        <v>2512</v>
      </c>
      <c r="J494" s="278" t="s">
        <v>76</v>
      </c>
      <c r="K494" s="280">
        <v>94.5</v>
      </c>
      <c r="L494" s="281" t="s">
        <v>2057</v>
      </c>
      <c r="M494" s="272" t="s">
        <v>175</v>
      </c>
    </row>
    <row r="495" spans="1:13" ht="15.75" customHeight="1">
      <c r="A495" s="267" t="s">
        <v>6527</v>
      </c>
      <c r="B495" s="251" t="s">
        <v>11063</v>
      </c>
      <c r="C495" s="267" t="s">
        <v>6528</v>
      </c>
      <c r="D495" s="267" t="s">
        <v>11064</v>
      </c>
      <c r="E495" s="277" t="s">
        <v>133</v>
      </c>
      <c r="F495" s="278" t="s">
        <v>6619</v>
      </c>
      <c r="G495" s="279" t="s">
        <v>2512</v>
      </c>
      <c r="H495" s="279" t="s">
        <v>2512</v>
      </c>
      <c r="I495" s="279" t="s">
        <v>2512</v>
      </c>
      <c r="J495" s="278" t="s">
        <v>76</v>
      </c>
      <c r="K495" s="280">
        <v>80.33</v>
      </c>
      <c r="L495" s="281" t="s">
        <v>2057</v>
      </c>
      <c r="M495" s="272" t="s">
        <v>175</v>
      </c>
    </row>
    <row r="496" spans="1:13" ht="15.75" customHeight="1">
      <c r="A496" s="267" t="s">
        <v>6527</v>
      </c>
      <c r="B496" s="251" t="s">
        <v>11065</v>
      </c>
      <c r="C496" s="267" t="s">
        <v>6528</v>
      </c>
      <c r="D496" s="267" t="s">
        <v>11066</v>
      </c>
      <c r="E496" s="277" t="s">
        <v>133</v>
      </c>
      <c r="F496" s="278" t="s">
        <v>6619</v>
      </c>
      <c r="G496" s="279" t="s">
        <v>2512</v>
      </c>
      <c r="H496" s="279" t="s">
        <v>2512</v>
      </c>
      <c r="I496" s="279" t="s">
        <v>2512</v>
      </c>
      <c r="J496" s="278" t="s">
        <v>76</v>
      </c>
      <c r="K496" s="280">
        <v>70.88</v>
      </c>
      <c r="L496" s="281" t="s">
        <v>2057</v>
      </c>
      <c r="M496" s="272" t="s">
        <v>175</v>
      </c>
    </row>
    <row r="497" spans="1:13" ht="15.75" customHeight="1">
      <c r="A497" s="267" t="s">
        <v>6527</v>
      </c>
      <c r="B497" s="251" t="s">
        <v>11067</v>
      </c>
      <c r="C497" s="267" t="s">
        <v>6528</v>
      </c>
      <c r="D497" s="267" t="s">
        <v>11068</v>
      </c>
      <c r="E497" s="277" t="s">
        <v>133</v>
      </c>
      <c r="F497" s="278" t="s">
        <v>6619</v>
      </c>
      <c r="G497" s="279" t="s">
        <v>2512</v>
      </c>
      <c r="H497" s="279" t="s">
        <v>2512</v>
      </c>
      <c r="I497" s="279" t="s">
        <v>2512</v>
      </c>
      <c r="J497" s="278" t="s">
        <v>76</v>
      </c>
      <c r="K497" s="280">
        <v>70.88</v>
      </c>
      <c r="L497" s="281" t="s">
        <v>2057</v>
      </c>
      <c r="M497" s="272" t="s">
        <v>175</v>
      </c>
    </row>
    <row r="498" spans="1:13" ht="15.75" customHeight="1">
      <c r="A498" s="267" t="s">
        <v>6527</v>
      </c>
      <c r="B498" s="251" t="s">
        <v>11069</v>
      </c>
      <c r="C498" s="267" t="s">
        <v>6528</v>
      </c>
      <c r="D498" s="267" t="s">
        <v>11070</v>
      </c>
      <c r="E498" s="277" t="s">
        <v>133</v>
      </c>
      <c r="F498" s="278" t="s">
        <v>6619</v>
      </c>
      <c r="G498" s="279" t="s">
        <v>2512</v>
      </c>
      <c r="H498" s="279" t="s">
        <v>2512</v>
      </c>
      <c r="I498" s="279" t="s">
        <v>2512</v>
      </c>
      <c r="J498" s="278" t="s">
        <v>76</v>
      </c>
      <c r="K498" s="280">
        <v>6300</v>
      </c>
      <c r="L498" s="281" t="s">
        <v>173</v>
      </c>
      <c r="M498" s="272" t="s">
        <v>175</v>
      </c>
    </row>
    <row r="499" spans="1:13" ht="15.75" customHeight="1">
      <c r="A499" s="267" t="s">
        <v>6527</v>
      </c>
      <c r="B499" s="251" t="s">
        <v>11071</v>
      </c>
      <c r="C499" s="267" t="s">
        <v>6528</v>
      </c>
      <c r="D499" s="267" t="s">
        <v>11072</v>
      </c>
      <c r="E499" s="277" t="s">
        <v>133</v>
      </c>
      <c r="F499" s="278" t="s">
        <v>6619</v>
      </c>
      <c r="G499" s="279" t="s">
        <v>2512</v>
      </c>
      <c r="H499" s="279" t="s">
        <v>2512</v>
      </c>
      <c r="I499" s="279" t="s">
        <v>2512</v>
      </c>
      <c r="J499" s="278" t="s">
        <v>76</v>
      </c>
      <c r="K499" s="280">
        <v>86.63</v>
      </c>
      <c r="L499" s="281" t="s">
        <v>173</v>
      </c>
      <c r="M499" s="272" t="s">
        <v>175</v>
      </c>
    </row>
    <row r="500" spans="1:13" ht="15.75" customHeight="1">
      <c r="A500" s="267" t="s">
        <v>6527</v>
      </c>
      <c r="B500" s="251" t="s">
        <v>11073</v>
      </c>
      <c r="C500" s="267" t="s">
        <v>6528</v>
      </c>
      <c r="D500" s="267" t="s">
        <v>11074</v>
      </c>
      <c r="E500" s="277" t="s">
        <v>133</v>
      </c>
      <c r="F500" s="278" t="s">
        <v>6619</v>
      </c>
      <c r="G500" s="279" t="s">
        <v>2512</v>
      </c>
      <c r="H500" s="279" t="s">
        <v>2512</v>
      </c>
      <c r="I500" s="279" t="s">
        <v>2512</v>
      </c>
      <c r="J500" s="278" t="s">
        <v>76</v>
      </c>
      <c r="K500" s="280">
        <v>866.25</v>
      </c>
      <c r="L500" s="281" t="s">
        <v>173</v>
      </c>
      <c r="M500" s="272" t="s">
        <v>175</v>
      </c>
    </row>
    <row r="501" spans="1:13" ht="15.75" customHeight="1">
      <c r="A501" s="267" t="s">
        <v>6527</v>
      </c>
      <c r="B501" s="251" t="s">
        <v>11075</v>
      </c>
      <c r="C501" s="267" t="s">
        <v>6528</v>
      </c>
      <c r="D501" s="267" t="s">
        <v>11076</v>
      </c>
      <c r="E501" s="277" t="s">
        <v>133</v>
      </c>
      <c r="F501" s="278" t="s">
        <v>6619</v>
      </c>
      <c r="G501" s="279" t="s">
        <v>2512</v>
      </c>
      <c r="H501" s="279" t="s">
        <v>2512</v>
      </c>
      <c r="I501" s="279" t="s">
        <v>2512</v>
      </c>
      <c r="J501" s="278" t="s">
        <v>76</v>
      </c>
      <c r="K501" s="280">
        <v>7588.35</v>
      </c>
      <c r="L501" s="281" t="s">
        <v>173</v>
      </c>
      <c r="M501" s="272" t="s">
        <v>175</v>
      </c>
    </row>
    <row r="502" spans="1:13" ht="15.75" customHeight="1">
      <c r="A502" s="267" t="s">
        <v>6527</v>
      </c>
      <c r="B502" s="251" t="s">
        <v>11077</v>
      </c>
      <c r="C502" s="267" t="s">
        <v>6528</v>
      </c>
      <c r="D502" s="267" t="s">
        <v>11078</v>
      </c>
      <c r="E502" s="277" t="s">
        <v>133</v>
      </c>
      <c r="F502" s="278" t="s">
        <v>6619</v>
      </c>
      <c r="G502" s="279" t="s">
        <v>2512</v>
      </c>
      <c r="H502" s="279" t="s">
        <v>2512</v>
      </c>
      <c r="I502" s="279" t="s">
        <v>2512</v>
      </c>
      <c r="J502" s="278" t="s">
        <v>76</v>
      </c>
      <c r="K502" s="280">
        <v>6449.63</v>
      </c>
      <c r="L502" s="281" t="s">
        <v>173</v>
      </c>
      <c r="M502" s="272" t="s">
        <v>175</v>
      </c>
    </row>
    <row r="503" spans="1:13" ht="15.75" customHeight="1">
      <c r="A503" s="267" t="s">
        <v>6527</v>
      </c>
      <c r="B503" s="251" t="s">
        <v>11079</v>
      </c>
      <c r="C503" s="267" t="s">
        <v>6528</v>
      </c>
      <c r="D503" s="267" t="s">
        <v>11080</v>
      </c>
      <c r="E503" s="277" t="s">
        <v>133</v>
      </c>
      <c r="F503" s="278" t="s">
        <v>6619</v>
      </c>
      <c r="G503" s="279" t="s">
        <v>2512</v>
      </c>
      <c r="H503" s="279" t="s">
        <v>2512</v>
      </c>
      <c r="I503" s="279" t="s">
        <v>2512</v>
      </c>
      <c r="J503" s="278" t="s">
        <v>76</v>
      </c>
      <c r="K503" s="280">
        <v>5482.58</v>
      </c>
      <c r="L503" s="281" t="s">
        <v>173</v>
      </c>
      <c r="M503" s="272" t="s">
        <v>175</v>
      </c>
    </row>
    <row r="504" spans="1:13" ht="15.75" customHeight="1">
      <c r="A504" s="267" t="s">
        <v>6527</v>
      </c>
      <c r="B504" s="251" t="s">
        <v>11081</v>
      </c>
      <c r="C504" s="267" t="s">
        <v>6528</v>
      </c>
      <c r="D504" s="267" t="s">
        <v>11082</v>
      </c>
      <c r="E504" s="277" t="s">
        <v>133</v>
      </c>
      <c r="F504" s="278" t="s">
        <v>6619</v>
      </c>
      <c r="G504" s="279" t="s">
        <v>2512</v>
      </c>
      <c r="H504" s="279" t="s">
        <v>2512</v>
      </c>
      <c r="I504" s="279" t="s">
        <v>2512</v>
      </c>
      <c r="J504" s="278" t="s">
        <v>76</v>
      </c>
      <c r="K504" s="280">
        <v>4660.43</v>
      </c>
      <c r="L504" s="281" t="s">
        <v>173</v>
      </c>
      <c r="M504" s="272" t="s">
        <v>175</v>
      </c>
    </row>
    <row r="505" spans="1:13" ht="15.75" customHeight="1">
      <c r="A505" s="267" t="s">
        <v>6527</v>
      </c>
      <c r="B505" s="251" t="s">
        <v>11083</v>
      </c>
      <c r="C505" s="267" t="s">
        <v>6528</v>
      </c>
      <c r="D505" s="267" t="s">
        <v>11084</v>
      </c>
      <c r="E505" s="277" t="s">
        <v>133</v>
      </c>
      <c r="F505" s="278" t="s">
        <v>6619</v>
      </c>
      <c r="G505" s="279" t="s">
        <v>2512</v>
      </c>
      <c r="H505" s="279" t="s">
        <v>2512</v>
      </c>
      <c r="I505" s="279" t="s">
        <v>2512</v>
      </c>
      <c r="J505" s="278" t="s">
        <v>76</v>
      </c>
      <c r="K505" s="280">
        <v>2362.5</v>
      </c>
      <c r="L505" s="281" t="s">
        <v>173</v>
      </c>
      <c r="M505" s="272" t="s">
        <v>175</v>
      </c>
    </row>
    <row r="506" spans="1:13" ht="15.75" customHeight="1">
      <c r="A506" s="267" t="s">
        <v>6527</v>
      </c>
      <c r="B506" s="251" t="s">
        <v>11085</v>
      </c>
      <c r="C506" s="267" t="s">
        <v>6528</v>
      </c>
      <c r="D506" s="267" t="s">
        <v>11086</v>
      </c>
      <c r="E506" s="277" t="s">
        <v>133</v>
      </c>
      <c r="F506" s="278" t="s">
        <v>6619</v>
      </c>
      <c r="G506" s="279" t="s">
        <v>2512</v>
      </c>
      <c r="H506" s="279" t="s">
        <v>2512</v>
      </c>
      <c r="I506" s="279" t="s">
        <v>2512</v>
      </c>
      <c r="J506" s="278" t="s">
        <v>76</v>
      </c>
      <c r="K506" s="280">
        <v>2047.5</v>
      </c>
      <c r="L506" s="281" t="s">
        <v>173</v>
      </c>
      <c r="M506" s="272" t="s">
        <v>175</v>
      </c>
    </row>
    <row r="507" spans="1:13" ht="15.75" customHeight="1">
      <c r="A507" s="267" t="s">
        <v>6527</v>
      </c>
      <c r="B507" s="251" t="s">
        <v>11087</v>
      </c>
      <c r="C507" s="267" t="s">
        <v>6528</v>
      </c>
      <c r="D507" s="267" t="s">
        <v>11088</v>
      </c>
      <c r="E507" s="277" t="s">
        <v>133</v>
      </c>
      <c r="F507" s="278" t="s">
        <v>6619</v>
      </c>
      <c r="G507" s="279" t="s">
        <v>2512</v>
      </c>
      <c r="H507" s="279" t="s">
        <v>2512</v>
      </c>
      <c r="I507" s="279" t="s">
        <v>2512</v>
      </c>
      <c r="J507" s="278" t="s">
        <v>76</v>
      </c>
      <c r="K507" s="280">
        <v>1890</v>
      </c>
      <c r="L507" s="281" t="s">
        <v>173</v>
      </c>
      <c r="M507" s="272" t="s">
        <v>175</v>
      </c>
    </row>
    <row r="508" spans="1:13" ht="15.75" customHeight="1">
      <c r="A508" s="267" t="s">
        <v>6527</v>
      </c>
      <c r="B508" s="251" t="s">
        <v>11089</v>
      </c>
      <c r="C508" s="267" t="s">
        <v>6528</v>
      </c>
      <c r="D508" s="267" t="s">
        <v>11090</v>
      </c>
      <c r="E508" s="277" t="s">
        <v>133</v>
      </c>
      <c r="F508" s="278" t="s">
        <v>6619</v>
      </c>
      <c r="G508" s="279" t="s">
        <v>2512</v>
      </c>
      <c r="H508" s="279" t="s">
        <v>2512</v>
      </c>
      <c r="I508" s="279" t="s">
        <v>2512</v>
      </c>
      <c r="J508" s="278" t="s">
        <v>76</v>
      </c>
      <c r="K508" s="280">
        <v>1732.5</v>
      </c>
      <c r="L508" s="281" t="s">
        <v>173</v>
      </c>
      <c r="M508" s="272" t="s">
        <v>175</v>
      </c>
    </row>
    <row r="509" spans="1:13" ht="15.75" customHeight="1">
      <c r="A509" s="267" t="s">
        <v>6527</v>
      </c>
      <c r="B509" s="251" t="s">
        <v>11091</v>
      </c>
      <c r="C509" s="267" t="s">
        <v>6528</v>
      </c>
      <c r="D509" s="267" t="s">
        <v>11092</v>
      </c>
      <c r="E509" s="277" t="s">
        <v>133</v>
      </c>
      <c r="F509" s="278" t="s">
        <v>6619</v>
      </c>
      <c r="G509" s="279" t="s">
        <v>2512</v>
      </c>
      <c r="H509" s="279" t="s">
        <v>2512</v>
      </c>
      <c r="I509" s="279" t="s">
        <v>2512</v>
      </c>
      <c r="J509" s="278" t="s">
        <v>76</v>
      </c>
      <c r="K509" s="280">
        <v>19687.5</v>
      </c>
      <c r="L509" s="281" t="s">
        <v>173</v>
      </c>
      <c r="M509" s="272" t="s">
        <v>175</v>
      </c>
    </row>
    <row r="510" spans="1:13" ht="15.75" customHeight="1">
      <c r="A510" s="267" t="s">
        <v>6527</v>
      </c>
      <c r="B510" s="251" t="s">
        <v>11093</v>
      </c>
      <c r="C510" s="267" t="s">
        <v>6528</v>
      </c>
      <c r="D510" s="267" t="s">
        <v>11094</v>
      </c>
      <c r="E510" s="277" t="s">
        <v>133</v>
      </c>
      <c r="F510" s="278" t="s">
        <v>6619</v>
      </c>
      <c r="G510" s="279" t="s">
        <v>2512</v>
      </c>
      <c r="H510" s="279" t="s">
        <v>2512</v>
      </c>
      <c r="I510" s="279" t="s">
        <v>2512</v>
      </c>
      <c r="J510" s="278" t="s">
        <v>76</v>
      </c>
      <c r="K510" s="280">
        <v>17718.75</v>
      </c>
      <c r="L510" s="281" t="s">
        <v>173</v>
      </c>
      <c r="M510" s="272" t="s">
        <v>175</v>
      </c>
    </row>
    <row r="511" spans="1:13" ht="15.75" customHeight="1">
      <c r="A511" s="267" t="s">
        <v>6527</v>
      </c>
      <c r="B511" s="251" t="s">
        <v>11095</v>
      </c>
      <c r="C511" s="267" t="s">
        <v>6528</v>
      </c>
      <c r="D511" s="267" t="s">
        <v>11096</v>
      </c>
      <c r="E511" s="277" t="s">
        <v>133</v>
      </c>
      <c r="F511" s="278" t="s">
        <v>6619</v>
      </c>
      <c r="G511" s="279" t="s">
        <v>2512</v>
      </c>
      <c r="H511" s="279" t="s">
        <v>2512</v>
      </c>
      <c r="I511" s="279" t="s">
        <v>2512</v>
      </c>
      <c r="J511" s="278" t="s">
        <v>76</v>
      </c>
      <c r="K511" s="280">
        <v>11812.5</v>
      </c>
      <c r="L511" s="281" t="s">
        <v>173</v>
      </c>
      <c r="M511" s="272" t="s">
        <v>175</v>
      </c>
    </row>
    <row r="512" spans="1:13" ht="15.75" customHeight="1">
      <c r="A512" s="267" t="s">
        <v>6527</v>
      </c>
      <c r="B512" s="251" t="s">
        <v>11097</v>
      </c>
      <c r="C512" s="267" t="s">
        <v>6528</v>
      </c>
      <c r="D512" s="267" t="s">
        <v>11098</v>
      </c>
      <c r="E512" s="277" t="s">
        <v>133</v>
      </c>
      <c r="F512" s="278" t="s">
        <v>6619</v>
      </c>
      <c r="G512" s="279" t="s">
        <v>2512</v>
      </c>
      <c r="H512" s="279" t="s">
        <v>2512</v>
      </c>
      <c r="I512" s="279" t="s">
        <v>2512</v>
      </c>
      <c r="J512" s="278" t="s">
        <v>76</v>
      </c>
      <c r="K512" s="280">
        <v>5250</v>
      </c>
      <c r="L512" s="281" t="s">
        <v>173</v>
      </c>
      <c r="M512" s="272" t="s">
        <v>175</v>
      </c>
    </row>
    <row r="513" spans="1:13" ht="15.75" customHeight="1">
      <c r="A513" s="267" t="s">
        <v>6527</v>
      </c>
      <c r="B513" s="251" t="s">
        <v>11099</v>
      </c>
      <c r="C513" s="267" t="s">
        <v>6528</v>
      </c>
      <c r="D513" s="267" t="s">
        <v>11100</v>
      </c>
      <c r="E513" s="277" t="s">
        <v>133</v>
      </c>
      <c r="F513" s="278" t="s">
        <v>6619</v>
      </c>
      <c r="G513" s="279" t="s">
        <v>2512</v>
      </c>
      <c r="H513" s="279" t="s">
        <v>2512</v>
      </c>
      <c r="I513" s="279" t="s">
        <v>2512</v>
      </c>
      <c r="J513" s="278" t="s">
        <v>76</v>
      </c>
      <c r="K513" s="280">
        <v>3780</v>
      </c>
      <c r="L513" s="281" t="s">
        <v>173</v>
      </c>
      <c r="M513" s="272" t="s">
        <v>175</v>
      </c>
    </row>
    <row r="514" spans="1:13" ht="15.75" customHeight="1">
      <c r="A514" s="267" t="s">
        <v>6527</v>
      </c>
      <c r="B514" s="251" t="s">
        <v>11101</v>
      </c>
      <c r="C514" s="267" t="s">
        <v>6528</v>
      </c>
      <c r="D514" s="267" t="s">
        <v>11102</v>
      </c>
      <c r="E514" s="277" t="s">
        <v>133</v>
      </c>
      <c r="F514" s="278" t="s">
        <v>6619</v>
      </c>
      <c r="G514" s="279" t="s">
        <v>2512</v>
      </c>
      <c r="H514" s="279" t="s">
        <v>2512</v>
      </c>
      <c r="I514" s="279" t="s">
        <v>2512</v>
      </c>
      <c r="J514" s="278" t="s">
        <v>76</v>
      </c>
      <c r="K514" s="280">
        <v>35437.5</v>
      </c>
      <c r="L514" s="281" t="s">
        <v>173</v>
      </c>
      <c r="M514" s="272" t="s">
        <v>175</v>
      </c>
    </row>
    <row r="515" spans="1:13" ht="15.75" customHeight="1">
      <c r="A515" s="267" t="s">
        <v>6527</v>
      </c>
      <c r="B515" s="251" t="s">
        <v>11103</v>
      </c>
      <c r="C515" s="267" t="s">
        <v>6528</v>
      </c>
      <c r="D515" s="267" t="s">
        <v>11104</v>
      </c>
      <c r="E515" s="277" t="s">
        <v>133</v>
      </c>
      <c r="F515" s="278" t="s">
        <v>6619</v>
      </c>
      <c r="G515" s="279" t="s">
        <v>2512</v>
      </c>
      <c r="H515" s="279" t="s">
        <v>2512</v>
      </c>
      <c r="I515" s="279" t="s">
        <v>2512</v>
      </c>
      <c r="J515" s="278" t="s">
        <v>76</v>
      </c>
      <c r="K515" s="280">
        <v>5827.5</v>
      </c>
      <c r="L515" s="281" t="s">
        <v>173</v>
      </c>
      <c r="M515" s="272" t="s">
        <v>175</v>
      </c>
    </row>
    <row r="516" spans="1:13" ht="15.75" customHeight="1">
      <c r="A516" s="267" t="s">
        <v>6527</v>
      </c>
      <c r="B516" s="251" t="s">
        <v>11105</v>
      </c>
      <c r="C516" s="267" t="s">
        <v>6528</v>
      </c>
      <c r="D516" s="267" t="s">
        <v>11106</v>
      </c>
      <c r="E516" s="277" t="s">
        <v>10324</v>
      </c>
      <c r="F516" s="278" t="s">
        <v>6619</v>
      </c>
      <c r="G516" s="279" t="s">
        <v>2512</v>
      </c>
      <c r="H516" s="279" t="s">
        <v>2512</v>
      </c>
      <c r="I516" s="279" t="s">
        <v>2512</v>
      </c>
      <c r="J516" s="278" t="s">
        <v>76</v>
      </c>
      <c r="K516" s="280">
        <v>21.83</v>
      </c>
      <c r="L516" s="281" t="s">
        <v>2057</v>
      </c>
      <c r="M516" s="272" t="s">
        <v>175</v>
      </c>
    </row>
    <row r="517" spans="1:13" ht="15.75" customHeight="1">
      <c r="A517" s="267" t="s">
        <v>6527</v>
      </c>
      <c r="B517" s="251" t="s">
        <v>11107</v>
      </c>
      <c r="C517" s="267" t="s">
        <v>6528</v>
      </c>
      <c r="D517" s="267" t="s">
        <v>11108</v>
      </c>
      <c r="E517" s="277" t="s">
        <v>10324</v>
      </c>
      <c r="F517" s="278" t="s">
        <v>6619</v>
      </c>
      <c r="G517" s="279" t="s">
        <v>2512</v>
      </c>
      <c r="H517" s="279" t="s">
        <v>2512</v>
      </c>
      <c r="I517" s="279" t="s">
        <v>2512</v>
      </c>
      <c r="J517" s="278" t="s">
        <v>76</v>
      </c>
      <c r="K517" s="280">
        <v>20.74</v>
      </c>
      <c r="L517" s="281" t="s">
        <v>2057</v>
      </c>
      <c r="M517" s="272" t="s">
        <v>175</v>
      </c>
    </row>
    <row r="518" spans="1:13" ht="15.75" customHeight="1">
      <c r="A518" s="267" t="s">
        <v>6527</v>
      </c>
      <c r="B518" s="251" t="s">
        <v>11109</v>
      </c>
      <c r="C518" s="267" t="s">
        <v>6528</v>
      </c>
      <c r="D518" s="267" t="s">
        <v>11110</v>
      </c>
      <c r="E518" s="277" t="s">
        <v>10324</v>
      </c>
      <c r="F518" s="278" t="s">
        <v>6619</v>
      </c>
      <c r="G518" s="279" t="s">
        <v>2512</v>
      </c>
      <c r="H518" s="279" t="s">
        <v>2512</v>
      </c>
      <c r="I518" s="279" t="s">
        <v>2512</v>
      </c>
      <c r="J518" s="278" t="s">
        <v>76</v>
      </c>
      <c r="K518" s="280">
        <v>20.3</v>
      </c>
      <c r="L518" s="281" t="s">
        <v>2057</v>
      </c>
      <c r="M518" s="272" t="s">
        <v>175</v>
      </c>
    </row>
    <row r="519" spans="1:13" ht="15.75" customHeight="1">
      <c r="A519" s="267" t="s">
        <v>6527</v>
      </c>
      <c r="B519" s="251" t="s">
        <v>11111</v>
      </c>
      <c r="C519" s="267" t="s">
        <v>6528</v>
      </c>
      <c r="D519" s="267" t="s">
        <v>11112</v>
      </c>
      <c r="E519" s="277" t="s">
        <v>10324</v>
      </c>
      <c r="F519" s="278" t="s">
        <v>6619</v>
      </c>
      <c r="G519" s="279" t="s">
        <v>2512</v>
      </c>
      <c r="H519" s="279" t="s">
        <v>2512</v>
      </c>
      <c r="I519" s="279" t="s">
        <v>2512</v>
      </c>
      <c r="J519" s="278" t="s">
        <v>76</v>
      </c>
      <c r="K519" s="280">
        <v>15.93</v>
      </c>
      <c r="L519" s="281" t="s">
        <v>2057</v>
      </c>
      <c r="M519" s="272" t="s">
        <v>175</v>
      </c>
    </row>
    <row r="520" spans="1:13" ht="15.75" customHeight="1">
      <c r="A520" s="267" t="s">
        <v>6527</v>
      </c>
      <c r="B520" s="251" t="s">
        <v>11113</v>
      </c>
      <c r="C520" s="267" t="s">
        <v>6528</v>
      </c>
      <c r="D520" s="267" t="s">
        <v>11114</v>
      </c>
      <c r="E520" s="277" t="s">
        <v>10324</v>
      </c>
      <c r="F520" s="278" t="s">
        <v>6619</v>
      </c>
      <c r="G520" s="279" t="s">
        <v>2512</v>
      </c>
      <c r="H520" s="279" t="s">
        <v>2512</v>
      </c>
      <c r="I520" s="279" t="s">
        <v>2512</v>
      </c>
      <c r="J520" s="278" t="s">
        <v>76</v>
      </c>
      <c r="K520" s="280">
        <v>13.98</v>
      </c>
      <c r="L520" s="281" t="s">
        <v>2057</v>
      </c>
      <c r="M520" s="272" t="s">
        <v>175</v>
      </c>
    </row>
    <row r="521" spans="1:13" ht="15.75" customHeight="1">
      <c r="A521" s="267" t="s">
        <v>6527</v>
      </c>
      <c r="B521" s="251" t="s">
        <v>11115</v>
      </c>
      <c r="C521" s="267" t="s">
        <v>6528</v>
      </c>
      <c r="D521" s="267" t="s">
        <v>11116</v>
      </c>
      <c r="E521" s="277" t="s">
        <v>10324</v>
      </c>
      <c r="F521" s="278" t="s">
        <v>6619</v>
      </c>
      <c r="G521" s="279" t="s">
        <v>2512</v>
      </c>
      <c r="H521" s="279" t="s">
        <v>2512</v>
      </c>
      <c r="I521" s="279" t="s">
        <v>2512</v>
      </c>
      <c r="J521" s="278" t="s">
        <v>76</v>
      </c>
      <c r="K521" s="280">
        <v>12.19</v>
      </c>
      <c r="L521" s="281" t="s">
        <v>2057</v>
      </c>
      <c r="M521" s="272" t="s">
        <v>175</v>
      </c>
    </row>
    <row r="522" spans="1:13" ht="15.75" customHeight="1">
      <c r="A522" s="267" t="s">
        <v>6527</v>
      </c>
      <c r="B522" s="251" t="s">
        <v>11117</v>
      </c>
      <c r="C522" s="267" t="s">
        <v>6528</v>
      </c>
      <c r="D522" s="267" t="s">
        <v>11118</v>
      </c>
      <c r="E522" s="277" t="s">
        <v>10324</v>
      </c>
      <c r="F522" s="278" t="s">
        <v>6619</v>
      </c>
      <c r="G522" s="279" t="s">
        <v>2512</v>
      </c>
      <c r="H522" s="279" t="s">
        <v>2512</v>
      </c>
      <c r="I522" s="279" t="s">
        <v>2512</v>
      </c>
      <c r="J522" s="278" t="s">
        <v>76</v>
      </c>
      <c r="K522" s="280">
        <v>9.6199999999999992</v>
      </c>
      <c r="L522" s="281" t="s">
        <v>2057</v>
      </c>
      <c r="M522" s="272" t="s">
        <v>175</v>
      </c>
    </row>
    <row r="523" spans="1:13" ht="15.75" customHeight="1">
      <c r="A523" s="267" t="s">
        <v>6527</v>
      </c>
      <c r="B523" s="251" t="s">
        <v>11119</v>
      </c>
      <c r="C523" s="267" t="s">
        <v>6528</v>
      </c>
      <c r="D523" s="267" t="s">
        <v>11120</v>
      </c>
      <c r="E523" s="277" t="s">
        <v>10324</v>
      </c>
      <c r="F523" s="278" t="s">
        <v>6619</v>
      </c>
      <c r="G523" s="279" t="s">
        <v>2512</v>
      </c>
      <c r="H523" s="279" t="s">
        <v>2512</v>
      </c>
      <c r="I523" s="279" t="s">
        <v>2512</v>
      </c>
      <c r="J523" s="278" t="s">
        <v>76</v>
      </c>
      <c r="K523" s="280">
        <v>8.09</v>
      </c>
      <c r="L523" s="281" t="s">
        <v>2057</v>
      </c>
      <c r="M523" s="272" t="s">
        <v>175</v>
      </c>
    </row>
    <row r="524" spans="1:13" ht="15.75" customHeight="1">
      <c r="A524" s="267" t="s">
        <v>6527</v>
      </c>
      <c r="B524" s="251" t="s">
        <v>11121</v>
      </c>
      <c r="C524" s="267" t="s">
        <v>6528</v>
      </c>
      <c r="D524" s="267" t="s">
        <v>11122</v>
      </c>
      <c r="E524" s="277" t="s">
        <v>10324</v>
      </c>
      <c r="F524" s="278" t="s">
        <v>6619</v>
      </c>
      <c r="G524" s="279" t="s">
        <v>2512</v>
      </c>
      <c r="H524" s="279" t="s">
        <v>2512</v>
      </c>
      <c r="I524" s="279" t="s">
        <v>2512</v>
      </c>
      <c r="J524" s="278" t="s">
        <v>76</v>
      </c>
      <c r="K524" s="280">
        <v>7.19</v>
      </c>
      <c r="L524" s="281" t="s">
        <v>2057</v>
      </c>
      <c r="M524" s="272" t="s">
        <v>175</v>
      </c>
    </row>
    <row r="525" spans="1:13" ht="15.75" customHeight="1">
      <c r="A525" s="267" t="s">
        <v>6527</v>
      </c>
      <c r="B525" s="251" t="s">
        <v>11123</v>
      </c>
      <c r="C525" s="267" t="s">
        <v>6528</v>
      </c>
      <c r="D525" s="267" t="s">
        <v>11124</v>
      </c>
      <c r="E525" s="277" t="s">
        <v>10324</v>
      </c>
      <c r="F525" s="278" t="s">
        <v>6619</v>
      </c>
      <c r="G525" s="279" t="s">
        <v>2512</v>
      </c>
      <c r="H525" s="279" t="s">
        <v>2512</v>
      </c>
      <c r="I525" s="279" t="s">
        <v>2512</v>
      </c>
      <c r="J525" s="278" t="s">
        <v>76</v>
      </c>
      <c r="K525" s="280">
        <v>6.55</v>
      </c>
      <c r="L525" s="281" t="s">
        <v>2057</v>
      </c>
      <c r="M525" s="272" t="s">
        <v>175</v>
      </c>
    </row>
    <row r="526" spans="1:13" ht="15.75" customHeight="1">
      <c r="A526" s="267" t="s">
        <v>6527</v>
      </c>
      <c r="B526" s="251" t="s">
        <v>11125</v>
      </c>
      <c r="C526" s="267" t="s">
        <v>6528</v>
      </c>
      <c r="D526" s="267" t="s">
        <v>11126</v>
      </c>
      <c r="E526" s="277" t="s">
        <v>10324</v>
      </c>
      <c r="F526" s="278" t="s">
        <v>6619</v>
      </c>
      <c r="G526" s="279" t="s">
        <v>2512</v>
      </c>
      <c r="H526" s="279" t="s">
        <v>2512</v>
      </c>
      <c r="I526" s="279" t="s">
        <v>2512</v>
      </c>
      <c r="J526" s="278" t="s">
        <v>76</v>
      </c>
      <c r="K526" s="280">
        <v>6.55</v>
      </c>
      <c r="L526" s="281" t="s">
        <v>2057</v>
      </c>
      <c r="M526" s="272" t="s">
        <v>175</v>
      </c>
    </row>
    <row r="527" spans="1:13" ht="15.75" customHeight="1">
      <c r="A527" s="267" t="s">
        <v>6527</v>
      </c>
      <c r="B527" s="251" t="s">
        <v>11127</v>
      </c>
      <c r="C527" s="267" t="s">
        <v>6528</v>
      </c>
      <c r="D527" s="267" t="s">
        <v>11128</v>
      </c>
      <c r="E527" s="277" t="s">
        <v>10324</v>
      </c>
      <c r="F527" s="278" t="s">
        <v>6619</v>
      </c>
      <c r="G527" s="279" t="s">
        <v>2512</v>
      </c>
      <c r="H527" s="279" t="s">
        <v>2512</v>
      </c>
      <c r="I527" s="279" t="s">
        <v>2512</v>
      </c>
      <c r="J527" s="278" t="s">
        <v>76</v>
      </c>
      <c r="K527" s="280">
        <v>19.690000000000001</v>
      </c>
      <c r="L527" s="281" t="s">
        <v>2057</v>
      </c>
      <c r="M527" s="272" t="s">
        <v>175</v>
      </c>
    </row>
    <row r="528" spans="1:13" ht="15.75" customHeight="1">
      <c r="A528" s="267" t="s">
        <v>6527</v>
      </c>
      <c r="B528" s="251" t="s">
        <v>11129</v>
      </c>
      <c r="C528" s="267" t="s">
        <v>6528</v>
      </c>
      <c r="D528" s="267" t="s">
        <v>11130</v>
      </c>
      <c r="E528" s="277" t="s">
        <v>10324</v>
      </c>
      <c r="F528" s="278" t="s">
        <v>6619</v>
      </c>
      <c r="G528" s="279" t="s">
        <v>2512</v>
      </c>
      <c r="H528" s="279" t="s">
        <v>2512</v>
      </c>
      <c r="I528" s="279" t="s">
        <v>2512</v>
      </c>
      <c r="J528" s="278" t="s">
        <v>76</v>
      </c>
      <c r="K528" s="280">
        <v>15.75</v>
      </c>
      <c r="L528" s="281" t="s">
        <v>2057</v>
      </c>
      <c r="M528" s="272" t="s">
        <v>175</v>
      </c>
    </row>
    <row r="529" spans="1:13" ht="15.75" customHeight="1">
      <c r="A529" s="267" t="s">
        <v>6527</v>
      </c>
      <c r="B529" s="251" t="s">
        <v>11131</v>
      </c>
      <c r="C529" s="267" t="s">
        <v>6528</v>
      </c>
      <c r="D529" s="267" t="s">
        <v>11132</v>
      </c>
      <c r="E529" s="277" t="s">
        <v>10324</v>
      </c>
      <c r="F529" s="278" t="s">
        <v>6619</v>
      </c>
      <c r="G529" s="279" t="s">
        <v>2512</v>
      </c>
      <c r="H529" s="279" t="s">
        <v>2512</v>
      </c>
      <c r="I529" s="279" t="s">
        <v>2512</v>
      </c>
      <c r="J529" s="278" t="s">
        <v>76</v>
      </c>
      <c r="K529" s="280">
        <v>12.6</v>
      </c>
      <c r="L529" s="281" t="s">
        <v>2057</v>
      </c>
      <c r="M529" s="272" t="s">
        <v>175</v>
      </c>
    </row>
    <row r="530" spans="1:13" ht="15.75" customHeight="1">
      <c r="A530" s="267" t="s">
        <v>6527</v>
      </c>
      <c r="B530" s="251" t="s">
        <v>11133</v>
      </c>
      <c r="C530" s="267" t="s">
        <v>6528</v>
      </c>
      <c r="D530" s="267" t="s">
        <v>11134</v>
      </c>
      <c r="E530" s="277" t="s">
        <v>10324</v>
      </c>
      <c r="F530" s="278" t="s">
        <v>6619</v>
      </c>
      <c r="G530" s="279" t="s">
        <v>2512</v>
      </c>
      <c r="H530" s="279" t="s">
        <v>2512</v>
      </c>
      <c r="I530" s="279" t="s">
        <v>2512</v>
      </c>
      <c r="J530" s="278" t="s">
        <v>76</v>
      </c>
      <c r="K530" s="280">
        <v>10.24</v>
      </c>
      <c r="L530" s="281" t="s">
        <v>2057</v>
      </c>
      <c r="M530" s="272" t="s">
        <v>175</v>
      </c>
    </row>
    <row r="531" spans="1:13" ht="15.75" customHeight="1">
      <c r="A531" s="267" t="s">
        <v>6527</v>
      </c>
      <c r="B531" s="251" t="s">
        <v>11135</v>
      </c>
      <c r="C531" s="267" t="s">
        <v>6528</v>
      </c>
      <c r="D531" s="267" t="s">
        <v>11136</v>
      </c>
      <c r="E531" s="277" t="s">
        <v>10324</v>
      </c>
      <c r="F531" s="278" t="s">
        <v>6619</v>
      </c>
      <c r="G531" s="279" t="s">
        <v>2512</v>
      </c>
      <c r="H531" s="279" t="s">
        <v>2512</v>
      </c>
      <c r="I531" s="279" t="s">
        <v>2512</v>
      </c>
      <c r="J531" s="278" t="s">
        <v>76</v>
      </c>
      <c r="K531" s="280">
        <v>8.66</v>
      </c>
      <c r="L531" s="281" t="s">
        <v>2057</v>
      </c>
      <c r="M531" s="272" t="s">
        <v>175</v>
      </c>
    </row>
    <row r="532" spans="1:13" ht="15.75" customHeight="1">
      <c r="A532" s="267" t="s">
        <v>6527</v>
      </c>
      <c r="B532" s="251" t="s">
        <v>11137</v>
      </c>
      <c r="C532" s="267" t="s">
        <v>6528</v>
      </c>
      <c r="D532" s="267" t="s">
        <v>11138</v>
      </c>
      <c r="E532" s="277" t="s">
        <v>10324</v>
      </c>
      <c r="F532" s="278" t="s">
        <v>6619</v>
      </c>
      <c r="G532" s="279" t="s">
        <v>2512</v>
      </c>
      <c r="H532" s="279" t="s">
        <v>2512</v>
      </c>
      <c r="I532" s="279" t="s">
        <v>2512</v>
      </c>
      <c r="J532" s="278" t="s">
        <v>76</v>
      </c>
      <c r="K532" s="280">
        <v>7.09</v>
      </c>
      <c r="L532" s="281" t="s">
        <v>2057</v>
      </c>
      <c r="M532" s="272" t="s">
        <v>175</v>
      </c>
    </row>
    <row r="533" spans="1:13" ht="15.75" customHeight="1">
      <c r="A533" s="267" t="s">
        <v>6527</v>
      </c>
      <c r="B533" s="251" t="s">
        <v>11139</v>
      </c>
      <c r="C533" s="267" t="s">
        <v>6528</v>
      </c>
      <c r="D533" s="267" t="s">
        <v>11140</v>
      </c>
      <c r="E533" s="277" t="s">
        <v>10324</v>
      </c>
      <c r="F533" s="278" t="s">
        <v>6619</v>
      </c>
      <c r="G533" s="279" t="s">
        <v>2512</v>
      </c>
      <c r="H533" s="279" t="s">
        <v>2512</v>
      </c>
      <c r="I533" s="279" t="s">
        <v>2512</v>
      </c>
      <c r="J533" s="278" t="s">
        <v>76</v>
      </c>
      <c r="K533" s="280">
        <v>5.91</v>
      </c>
      <c r="L533" s="281" t="s">
        <v>2057</v>
      </c>
      <c r="M533" s="272" t="s">
        <v>175</v>
      </c>
    </row>
    <row r="534" spans="1:13" ht="15.75" customHeight="1">
      <c r="A534" s="267" t="s">
        <v>6527</v>
      </c>
      <c r="B534" s="251" t="s">
        <v>11141</v>
      </c>
      <c r="C534" s="267" t="s">
        <v>6528</v>
      </c>
      <c r="D534" s="267" t="s">
        <v>11142</v>
      </c>
      <c r="E534" s="277" t="s">
        <v>10324</v>
      </c>
      <c r="F534" s="278" t="s">
        <v>6619</v>
      </c>
      <c r="G534" s="279" t="s">
        <v>2512</v>
      </c>
      <c r="H534" s="279" t="s">
        <v>2512</v>
      </c>
      <c r="I534" s="279" t="s">
        <v>2512</v>
      </c>
      <c r="J534" s="278" t="s">
        <v>76</v>
      </c>
      <c r="K534" s="280">
        <v>945</v>
      </c>
      <c r="L534" s="281" t="s">
        <v>2057</v>
      </c>
      <c r="M534" s="272" t="s">
        <v>175</v>
      </c>
    </row>
    <row r="535" spans="1:13" ht="15.75" customHeight="1">
      <c r="A535" s="267" t="s">
        <v>6527</v>
      </c>
      <c r="B535" s="251" t="s">
        <v>11143</v>
      </c>
      <c r="C535" s="267" t="s">
        <v>6528</v>
      </c>
      <c r="D535" s="267" t="s">
        <v>11144</v>
      </c>
      <c r="E535" s="277" t="s">
        <v>10324</v>
      </c>
      <c r="F535" s="278" t="s">
        <v>6619</v>
      </c>
      <c r="G535" s="279" t="s">
        <v>2512</v>
      </c>
      <c r="H535" s="279" t="s">
        <v>2512</v>
      </c>
      <c r="I535" s="279" t="s">
        <v>2512</v>
      </c>
      <c r="J535" s="278" t="s">
        <v>76</v>
      </c>
      <c r="K535" s="280">
        <v>756</v>
      </c>
      <c r="L535" s="281" t="s">
        <v>2057</v>
      </c>
      <c r="M535" s="272" t="s">
        <v>175</v>
      </c>
    </row>
    <row r="536" spans="1:13" ht="15.75" customHeight="1">
      <c r="A536" s="267" t="s">
        <v>6527</v>
      </c>
      <c r="B536" s="251" t="s">
        <v>11145</v>
      </c>
      <c r="C536" s="267" t="s">
        <v>6528</v>
      </c>
      <c r="D536" s="267" t="s">
        <v>11146</v>
      </c>
      <c r="E536" s="277" t="s">
        <v>10324</v>
      </c>
      <c r="F536" s="278" t="s">
        <v>6619</v>
      </c>
      <c r="G536" s="279" t="s">
        <v>2512</v>
      </c>
      <c r="H536" s="279" t="s">
        <v>2512</v>
      </c>
      <c r="I536" s="279" t="s">
        <v>2512</v>
      </c>
      <c r="J536" s="278" t="s">
        <v>76</v>
      </c>
      <c r="K536" s="280">
        <v>604.79999999999995</v>
      </c>
      <c r="L536" s="281" t="s">
        <v>2057</v>
      </c>
      <c r="M536" s="272" t="s">
        <v>175</v>
      </c>
    </row>
    <row r="537" spans="1:13" ht="15.75" customHeight="1">
      <c r="A537" s="267" t="s">
        <v>6527</v>
      </c>
      <c r="B537" s="251" t="s">
        <v>11147</v>
      </c>
      <c r="C537" s="267" t="s">
        <v>6528</v>
      </c>
      <c r="D537" s="267" t="s">
        <v>11148</v>
      </c>
      <c r="E537" s="277" t="s">
        <v>10324</v>
      </c>
      <c r="F537" s="278" t="s">
        <v>6619</v>
      </c>
      <c r="G537" s="279" t="s">
        <v>2512</v>
      </c>
      <c r="H537" s="279" t="s">
        <v>2512</v>
      </c>
      <c r="I537" s="279" t="s">
        <v>2512</v>
      </c>
      <c r="J537" s="278" t="s">
        <v>76</v>
      </c>
      <c r="K537" s="280">
        <v>484.31</v>
      </c>
      <c r="L537" s="281" t="s">
        <v>2057</v>
      </c>
      <c r="M537" s="272" t="s">
        <v>175</v>
      </c>
    </row>
    <row r="538" spans="1:13" ht="15.75" customHeight="1">
      <c r="A538" s="267" t="s">
        <v>6527</v>
      </c>
      <c r="B538" s="251" t="s">
        <v>11149</v>
      </c>
      <c r="C538" s="267" t="s">
        <v>6528</v>
      </c>
      <c r="D538" s="267" t="s">
        <v>11150</v>
      </c>
      <c r="E538" s="277" t="s">
        <v>10324</v>
      </c>
      <c r="F538" s="278" t="s">
        <v>6619</v>
      </c>
      <c r="G538" s="279" t="s">
        <v>2512</v>
      </c>
      <c r="H538" s="279" t="s">
        <v>2512</v>
      </c>
      <c r="I538" s="279" t="s">
        <v>2512</v>
      </c>
      <c r="J538" s="278" t="s">
        <v>76</v>
      </c>
      <c r="K538" s="280">
        <v>393.75</v>
      </c>
      <c r="L538" s="281" t="s">
        <v>2057</v>
      </c>
      <c r="M538" s="272" t="s">
        <v>175</v>
      </c>
    </row>
    <row r="539" spans="1:13" ht="15.75" customHeight="1">
      <c r="A539" s="267" t="s">
        <v>6527</v>
      </c>
      <c r="B539" s="251" t="s">
        <v>11151</v>
      </c>
      <c r="C539" s="267" t="s">
        <v>6528</v>
      </c>
      <c r="D539" s="267" t="s">
        <v>11152</v>
      </c>
      <c r="E539" s="277" t="s">
        <v>133</v>
      </c>
      <c r="F539" s="278" t="s">
        <v>6619</v>
      </c>
      <c r="G539" s="279" t="s">
        <v>2512</v>
      </c>
      <c r="H539" s="279" t="s">
        <v>2512</v>
      </c>
      <c r="I539" s="279" t="s">
        <v>2512</v>
      </c>
      <c r="J539" s="278" t="s">
        <v>76</v>
      </c>
      <c r="K539" s="280">
        <v>25200</v>
      </c>
      <c r="L539" s="281" t="s">
        <v>2057</v>
      </c>
      <c r="M539" s="272" t="s">
        <v>175</v>
      </c>
    </row>
    <row r="540" spans="1:13" ht="15.75" customHeight="1">
      <c r="A540" s="267" t="s">
        <v>6527</v>
      </c>
      <c r="B540" s="251" t="s">
        <v>11153</v>
      </c>
      <c r="C540" s="267" t="s">
        <v>6528</v>
      </c>
      <c r="D540" s="267" t="s">
        <v>11154</v>
      </c>
      <c r="E540" s="277" t="s">
        <v>133</v>
      </c>
      <c r="F540" s="278" t="s">
        <v>6619</v>
      </c>
      <c r="G540" s="279" t="s">
        <v>2512</v>
      </c>
      <c r="H540" s="279" t="s">
        <v>2512</v>
      </c>
      <c r="I540" s="279" t="s">
        <v>2512</v>
      </c>
      <c r="J540" s="278" t="s">
        <v>76</v>
      </c>
      <c r="K540" s="280">
        <v>25200</v>
      </c>
      <c r="L540" s="281" t="s">
        <v>2057</v>
      </c>
      <c r="M540" s="272" t="s">
        <v>175</v>
      </c>
    </row>
    <row r="541" spans="1:13" ht="15.75" customHeight="1">
      <c r="A541" s="267" t="s">
        <v>6527</v>
      </c>
      <c r="B541" s="251" t="s">
        <v>11155</v>
      </c>
      <c r="C541" s="267" t="s">
        <v>6528</v>
      </c>
      <c r="D541" s="267" t="s">
        <v>11156</v>
      </c>
      <c r="E541" s="277" t="s">
        <v>133</v>
      </c>
      <c r="F541" s="278" t="s">
        <v>6619</v>
      </c>
      <c r="G541" s="279" t="s">
        <v>2512</v>
      </c>
      <c r="H541" s="279" t="s">
        <v>2512</v>
      </c>
      <c r="I541" s="279" t="s">
        <v>2512</v>
      </c>
      <c r="J541" s="278" t="s">
        <v>76</v>
      </c>
      <c r="K541" s="280">
        <v>43312.5</v>
      </c>
      <c r="L541" s="281" t="s">
        <v>2057</v>
      </c>
      <c r="M541" s="272" t="s">
        <v>175</v>
      </c>
    </row>
    <row r="542" spans="1:13" ht="15.75" customHeight="1">
      <c r="A542" s="267" t="s">
        <v>6527</v>
      </c>
      <c r="B542" s="251" t="s">
        <v>11157</v>
      </c>
      <c r="C542" s="267" t="s">
        <v>6528</v>
      </c>
      <c r="D542" s="267" t="s">
        <v>11158</v>
      </c>
      <c r="E542" s="277" t="s">
        <v>133</v>
      </c>
      <c r="F542" s="278" t="s">
        <v>6619</v>
      </c>
      <c r="G542" s="279" t="s">
        <v>2512</v>
      </c>
      <c r="H542" s="279" t="s">
        <v>2512</v>
      </c>
      <c r="I542" s="279" t="s">
        <v>2512</v>
      </c>
      <c r="J542" s="278" t="s">
        <v>76</v>
      </c>
      <c r="K542" s="280">
        <v>63000</v>
      </c>
      <c r="L542" s="281" t="s">
        <v>2057</v>
      </c>
      <c r="M542" s="272" t="s">
        <v>175</v>
      </c>
    </row>
    <row r="543" spans="1:13" ht="15.75" customHeight="1">
      <c r="A543" s="267" t="s">
        <v>6527</v>
      </c>
      <c r="B543" s="251" t="s">
        <v>11159</v>
      </c>
      <c r="C543" s="267" t="s">
        <v>6528</v>
      </c>
      <c r="D543" s="267" t="s">
        <v>11160</v>
      </c>
      <c r="E543" s="277" t="s">
        <v>133</v>
      </c>
      <c r="F543" s="278" t="s">
        <v>6619</v>
      </c>
      <c r="G543" s="279" t="s">
        <v>2512</v>
      </c>
      <c r="H543" s="279" t="s">
        <v>2512</v>
      </c>
      <c r="I543" s="279" t="s">
        <v>2512</v>
      </c>
      <c r="J543" s="278" t="s">
        <v>76</v>
      </c>
      <c r="K543" s="280">
        <v>49809.38</v>
      </c>
      <c r="L543" s="281" t="s">
        <v>2057</v>
      </c>
      <c r="M543" s="272" t="s">
        <v>175</v>
      </c>
    </row>
    <row r="544" spans="1:13" ht="15.75" customHeight="1">
      <c r="A544" s="267" t="s">
        <v>6527</v>
      </c>
      <c r="B544" s="251" t="s">
        <v>11161</v>
      </c>
      <c r="C544" s="267" t="s">
        <v>6528</v>
      </c>
      <c r="D544" s="267" t="s">
        <v>11162</v>
      </c>
      <c r="E544" s="277" t="s">
        <v>133</v>
      </c>
      <c r="F544" s="278" t="s">
        <v>6619</v>
      </c>
      <c r="G544" s="279" t="s">
        <v>2512</v>
      </c>
      <c r="H544" s="279" t="s">
        <v>2512</v>
      </c>
      <c r="I544" s="279" t="s">
        <v>2512</v>
      </c>
      <c r="J544" s="278" t="s">
        <v>76</v>
      </c>
      <c r="K544" s="280">
        <v>72450</v>
      </c>
      <c r="L544" s="281" t="s">
        <v>2057</v>
      </c>
      <c r="M544" s="272" t="s">
        <v>175</v>
      </c>
    </row>
    <row r="545" spans="1:13" ht="15.75" customHeight="1">
      <c r="A545" s="267" t="s">
        <v>6527</v>
      </c>
      <c r="B545" s="251" t="s">
        <v>11163</v>
      </c>
      <c r="C545" s="267" t="s">
        <v>6528</v>
      </c>
      <c r="D545" s="267" t="s">
        <v>11164</v>
      </c>
      <c r="E545" s="277" t="s">
        <v>133</v>
      </c>
      <c r="F545" s="278" t="s">
        <v>6619</v>
      </c>
      <c r="G545" s="279" t="s">
        <v>2512</v>
      </c>
      <c r="H545" s="279" t="s">
        <v>2512</v>
      </c>
      <c r="I545" s="279" t="s">
        <v>2512</v>
      </c>
      <c r="J545" s="278" t="s">
        <v>76</v>
      </c>
      <c r="K545" s="280">
        <v>17325</v>
      </c>
      <c r="L545" s="281" t="s">
        <v>2057</v>
      </c>
      <c r="M545" s="272" t="s">
        <v>175</v>
      </c>
    </row>
    <row r="546" spans="1:13" ht="15.75" customHeight="1">
      <c r="A546" s="267" t="s">
        <v>6527</v>
      </c>
      <c r="B546" s="251" t="s">
        <v>11165</v>
      </c>
      <c r="C546" s="267" t="s">
        <v>6528</v>
      </c>
      <c r="D546" s="267" t="s">
        <v>11166</v>
      </c>
      <c r="E546" s="277" t="s">
        <v>133</v>
      </c>
      <c r="F546" s="278" t="s">
        <v>6619</v>
      </c>
      <c r="G546" s="279" t="s">
        <v>2512</v>
      </c>
      <c r="H546" s="279" t="s">
        <v>2512</v>
      </c>
      <c r="I546" s="279" t="s">
        <v>2512</v>
      </c>
      <c r="J546" s="278" t="s">
        <v>76</v>
      </c>
      <c r="K546" s="280">
        <v>25200</v>
      </c>
      <c r="L546" s="281" t="s">
        <v>2057</v>
      </c>
      <c r="M546" s="272" t="s">
        <v>175</v>
      </c>
    </row>
    <row r="547" spans="1:13" ht="15.75" customHeight="1">
      <c r="A547" s="267" t="s">
        <v>6527</v>
      </c>
      <c r="B547" s="251" t="s">
        <v>11167</v>
      </c>
      <c r="C547" s="267" t="s">
        <v>6528</v>
      </c>
      <c r="D547" s="267" t="s">
        <v>11168</v>
      </c>
      <c r="E547" s="277" t="s">
        <v>133</v>
      </c>
      <c r="F547" s="278" t="s">
        <v>6619</v>
      </c>
      <c r="G547" s="279" t="s">
        <v>2512</v>
      </c>
      <c r="H547" s="279" t="s">
        <v>2512</v>
      </c>
      <c r="I547" s="279" t="s">
        <v>2512</v>
      </c>
      <c r="J547" s="278" t="s">
        <v>76</v>
      </c>
      <c r="K547" s="280">
        <v>49809.38</v>
      </c>
      <c r="L547" s="281" t="s">
        <v>2057</v>
      </c>
      <c r="M547" s="272" t="s">
        <v>175</v>
      </c>
    </row>
    <row r="548" spans="1:13" ht="15.75" customHeight="1">
      <c r="A548" s="267" t="s">
        <v>6527</v>
      </c>
      <c r="B548" s="251" t="s">
        <v>11169</v>
      </c>
      <c r="C548" s="267" t="s">
        <v>6528</v>
      </c>
      <c r="D548" s="267" t="s">
        <v>11170</v>
      </c>
      <c r="E548" s="277" t="s">
        <v>133</v>
      </c>
      <c r="F548" s="278" t="s">
        <v>6619</v>
      </c>
      <c r="G548" s="279" t="s">
        <v>2512</v>
      </c>
      <c r="H548" s="279" t="s">
        <v>2512</v>
      </c>
      <c r="I548" s="279" t="s">
        <v>2512</v>
      </c>
      <c r="J548" s="278" t="s">
        <v>76</v>
      </c>
      <c r="K548" s="280">
        <v>72450</v>
      </c>
      <c r="L548" s="281" t="s">
        <v>2057</v>
      </c>
      <c r="M548" s="272" t="s">
        <v>175</v>
      </c>
    </row>
    <row r="549" spans="1:13" ht="15.75" customHeight="1">
      <c r="A549" s="267" t="s">
        <v>6527</v>
      </c>
      <c r="B549" s="251" t="s">
        <v>11171</v>
      </c>
      <c r="C549" s="267" t="s">
        <v>6528</v>
      </c>
      <c r="D549" s="267" t="s">
        <v>11172</v>
      </c>
      <c r="E549" s="277" t="s">
        <v>133</v>
      </c>
      <c r="F549" s="278" t="s">
        <v>6619</v>
      </c>
      <c r="G549" s="279" t="s">
        <v>2512</v>
      </c>
      <c r="H549" s="279" t="s">
        <v>2512</v>
      </c>
      <c r="I549" s="279" t="s">
        <v>2512</v>
      </c>
      <c r="J549" s="278" t="s">
        <v>76</v>
      </c>
      <c r="K549" s="280">
        <v>3543.75</v>
      </c>
      <c r="L549" s="281" t="s">
        <v>173</v>
      </c>
      <c r="M549" s="272" t="s">
        <v>175</v>
      </c>
    </row>
    <row r="550" spans="1:13" ht="15.75" customHeight="1">
      <c r="A550" s="267" t="s">
        <v>6527</v>
      </c>
      <c r="B550" s="251" t="s">
        <v>11173</v>
      </c>
      <c r="C550" s="267" t="s">
        <v>6528</v>
      </c>
      <c r="D550" s="267" t="s">
        <v>11174</v>
      </c>
      <c r="E550" s="277" t="s">
        <v>133</v>
      </c>
      <c r="F550" s="278" t="s">
        <v>6619</v>
      </c>
      <c r="G550" s="279" t="s">
        <v>2512</v>
      </c>
      <c r="H550" s="279" t="s">
        <v>2512</v>
      </c>
      <c r="I550" s="279" t="s">
        <v>2512</v>
      </c>
      <c r="J550" s="278" t="s">
        <v>76</v>
      </c>
      <c r="K550" s="280">
        <v>6496.88</v>
      </c>
      <c r="L550" s="281" t="s">
        <v>173</v>
      </c>
      <c r="M550" s="272" t="s">
        <v>175</v>
      </c>
    </row>
    <row r="551" spans="1:13" ht="15.75" customHeight="1">
      <c r="A551" s="267" t="s">
        <v>6527</v>
      </c>
      <c r="B551" s="251" t="s">
        <v>11175</v>
      </c>
      <c r="C551" s="267" t="s">
        <v>6528</v>
      </c>
      <c r="D551" s="267" t="s">
        <v>11176</v>
      </c>
      <c r="E551" s="277" t="s">
        <v>133</v>
      </c>
      <c r="F551" s="278" t="s">
        <v>6619</v>
      </c>
      <c r="G551" s="279" t="s">
        <v>2512</v>
      </c>
      <c r="H551" s="279" t="s">
        <v>2512</v>
      </c>
      <c r="I551" s="279" t="s">
        <v>2512</v>
      </c>
      <c r="J551" s="278" t="s">
        <v>76</v>
      </c>
      <c r="K551" s="280">
        <v>9450</v>
      </c>
      <c r="L551" s="281" t="s">
        <v>173</v>
      </c>
      <c r="M551" s="272" t="s">
        <v>175</v>
      </c>
    </row>
    <row r="552" spans="1:13" ht="15.75" customHeight="1">
      <c r="A552" s="267" t="s">
        <v>6527</v>
      </c>
      <c r="B552" s="251" t="s">
        <v>11177</v>
      </c>
      <c r="C552" s="267" t="s">
        <v>6528</v>
      </c>
      <c r="D552" s="267" t="s">
        <v>11178</v>
      </c>
      <c r="E552" s="277" t="s">
        <v>133</v>
      </c>
      <c r="F552" s="278" t="s">
        <v>6619</v>
      </c>
      <c r="G552" s="279" t="s">
        <v>2512</v>
      </c>
      <c r="H552" s="279" t="s">
        <v>2512</v>
      </c>
      <c r="I552" s="279" t="s">
        <v>2512</v>
      </c>
      <c r="J552" s="278" t="s">
        <v>76</v>
      </c>
      <c r="K552" s="280">
        <v>50793.75</v>
      </c>
      <c r="L552" s="281" t="s">
        <v>2057</v>
      </c>
      <c r="M552" s="272" t="s">
        <v>175</v>
      </c>
    </row>
    <row r="553" spans="1:13" ht="15.75" customHeight="1">
      <c r="A553" s="267" t="s">
        <v>6527</v>
      </c>
      <c r="B553" s="251" t="s">
        <v>11179</v>
      </c>
      <c r="C553" s="267" t="s">
        <v>6528</v>
      </c>
      <c r="D553" s="267" t="s">
        <v>11180</v>
      </c>
      <c r="E553" s="277" t="s">
        <v>133</v>
      </c>
      <c r="F553" s="278" t="s">
        <v>6619</v>
      </c>
      <c r="G553" s="279" t="s">
        <v>2512</v>
      </c>
      <c r="H553" s="279" t="s">
        <v>2512</v>
      </c>
      <c r="I553" s="279" t="s">
        <v>2512</v>
      </c>
      <c r="J553" s="278" t="s">
        <v>76</v>
      </c>
      <c r="K553" s="280">
        <v>73434.38</v>
      </c>
      <c r="L553" s="281" t="s">
        <v>2057</v>
      </c>
      <c r="M553" s="272" t="s">
        <v>175</v>
      </c>
    </row>
    <row r="554" spans="1:13" ht="15.75" customHeight="1">
      <c r="A554" s="267" t="s">
        <v>6527</v>
      </c>
      <c r="B554" s="251" t="s">
        <v>11181</v>
      </c>
      <c r="C554" s="267" t="s">
        <v>6528</v>
      </c>
      <c r="D554" s="267" t="s">
        <v>11182</v>
      </c>
      <c r="E554" s="277" t="s">
        <v>133</v>
      </c>
      <c r="F554" s="278" t="s">
        <v>6619</v>
      </c>
      <c r="G554" s="279" t="s">
        <v>2512</v>
      </c>
      <c r="H554" s="279" t="s">
        <v>2512</v>
      </c>
      <c r="I554" s="279" t="s">
        <v>2512</v>
      </c>
      <c r="J554" s="278" t="s">
        <v>76</v>
      </c>
      <c r="K554" s="280">
        <v>96075</v>
      </c>
      <c r="L554" s="281" t="s">
        <v>2057</v>
      </c>
      <c r="M554" s="272" t="s">
        <v>175</v>
      </c>
    </row>
    <row r="555" spans="1:13" ht="15.75" customHeight="1">
      <c r="A555" s="267" t="s">
        <v>6527</v>
      </c>
      <c r="B555" s="251" t="s">
        <v>11183</v>
      </c>
      <c r="C555" s="267" t="s">
        <v>6528</v>
      </c>
      <c r="D555" s="267" t="s">
        <v>11184</v>
      </c>
      <c r="E555" s="277" t="s">
        <v>10324</v>
      </c>
      <c r="F555" s="278" t="s">
        <v>6619</v>
      </c>
      <c r="G555" s="279" t="s">
        <v>2512</v>
      </c>
      <c r="H555" s="279" t="s">
        <v>2512</v>
      </c>
      <c r="I555" s="279" t="s">
        <v>2512</v>
      </c>
      <c r="J555" s="278" t="s">
        <v>76</v>
      </c>
      <c r="K555" s="280">
        <v>39.380000000000003</v>
      </c>
      <c r="L555" s="281" t="s">
        <v>2057</v>
      </c>
      <c r="M555" s="272" t="s">
        <v>175</v>
      </c>
    </row>
    <row r="556" spans="1:13" ht="15.75" customHeight="1">
      <c r="A556" s="267" t="s">
        <v>6527</v>
      </c>
      <c r="B556" s="251" t="s">
        <v>11185</v>
      </c>
      <c r="C556" s="267" t="s">
        <v>6528</v>
      </c>
      <c r="D556" s="267" t="s">
        <v>11186</v>
      </c>
      <c r="E556" s="277" t="s">
        <v>10324</v>
      </c>
      <c r="F556" s="278" t="s">
        <v>6619</v>
      </c>
      <c r="G556" s="279" t="s">
        <v>2512</v>
      </c>
      <c r="H556" s="279" t="s">
        <v>2512</v>
      </c>
      <c r="I556" s="279" t="s">
        <v>2512</v>
      </c>
      <c r="J556" s="278" t="s">
        <v>76</v>
      </c>
      <c r="K556" s="280">
        <v>27.56</v>
      </c>
      <c r="L556" s="281" t="s">
        <v>2057</v>
      </c>
      <c r="M556" s="272" t="s">
        <v>175</v>
      </c>
    </row>
    <row r="557" spans="1:13" ht="15.75" customHeight="1">
      <c r="A557" s="267" t="s">
        <v>6527</v>
      </c>
      <c r="B557" s="251" t="s">
        <v>11187</v>
      </c>
      <c r="C557" s="267" t="s">
        <v>6528</v>
      </c>
      <c r="D557" s="267" t="s">
        <v>11188</v>
      </c>
      <c r="E557" s="277" t="s">
        <v>10324</v>
      </c>
      <c r="F557" s="278" t="s">
        <v>6619</v>
      </c>
      <c r="G557" s="279" t="s">
        <v>2512</v>
      </c>
      <c r="H557" s="279" t="s">
        <v>2512</v>
      </c>
      <c r="I557" s="279" t="s">
        <v>2512</v>
      </c>
      <c r="J557" s="278" t="s">
        <v>76</v>
      </c>
      <c r="K557" s="280">
        <v>18.899999999999999</v>
      </c>
      <c r="L557" s="281" t="s">
        <v>2057</v>
      </c>
      <c r="M557" s="272" t="s">
        <v>175</v>
      </c>
    </row>
    <row r="558" spans="1:13" ht="15.75" customHeight="1">
      <c r="A558" s="267" t="s">
        <v>6527</v>
      </c>
      <c r="B558" s="251" t="s">
        <v>11189</v>
      </c>
      <c r="C558" s="267" t="s">
        <v>6528</v>
      </c>
      <c r="D558" s="267" t="s">
        <v>11190</v>
      </c>
      <c r="E558" s="277" t="s">
        <v>10324</v>
      </c>
      <c r="F558" s="278" t="s">
        <v>6619</v>
      </c>
      <c r="G558" s="279" t="s">
        <v>2512</v>
      </c>
      <c r="H558" s="279" t="s">
        <v>2512</v>
      </c>
      <c r="I558" s="279" t="s">
        <v>2512</v>
      </c>
      <c r="J558" s="278" t="s">
        <v>76</v>
      </c>
      <c r="K558" s="280">
        <v>12.6</v>
      </c>
      <c r="L558" s="281" t="s">
        <v>2057</v>
      </c>
      <c r="M558" s="272" t="s">
        <v>175</v>
      </c>
    </row>
    <row r="559" spans="1:13" ht="15.75" customHeight="1">
      <c r="A559" s="267" t="s">
        <v>6527</v>
      </c>
      <c r="B559" s="251" t="s">
        <v>11191</v>
      </c>
      <c r="C559" s="267" t="s">
        <v>6528</v>
      </c>
      <c r="D559" s="267" t="s">
        <v>11192</v>
      </c>
      <c r="E559" s="277" t="s">
        <v>10324</v>
      </c>
      <c r="F559" s="278" t="s">
        <v>6619</v>
      </c>
      <c r="G559" s="279" t="s">
        <v>2512</v>
      </c>
      <c r="H559" s="279" t="s">
        <v>2512</v>
      </c>
      <c r="I559" s="279" t="s">
        <v>2512</v>
      </c>
      <c r="J559" s="278" t="s">
        <v>76</v>
      </c>
      <c r="K559" s="280">
        <v>8.66</v>
      </c>
      <c r="L559" s="281" t="s">
        <v>2057</v>
      </c>
      <c r="M559" s="272" t="s">
        <v>175</v>
      </c>
    </row>
    <row r="560" spans="1:13" ht="15.75" customHeight="1">
      <c r="A560" s="267" t="s">
        <v>6527</v>
      </c>
      <c r="B560" s="251" t="s">
        <v>11193</v>
      </c>
      <c r="C560" s="267" t="s">
        <v>6528</v>
      </c>
      <c r="D560" s="267" t="s">
        <v>11194</v>
      </c>
      <c r="E560" s="277" t="s">
        <v>10324</v>
      </c>
      <c r="F560" s="278" t="s">
        <v>6619</v>
      </c>
      <c r="G560" s="279" t="s">
        <v>2512</v>
      </c>
      <c r="H560" s="279" t="s">
        <v>2512</v>
      </c>
      <c r="I560" s="279" t="s">
        <v>2512</v>
      </c>
      <c r="J560" s="278" t="s">
        <v>76</v>
      </c>
      <c r="K560" s="280">
        <v>33.86</v>
      </c>
      <c r="L560" s="281" t="s">
        <v>2057</v>
      </c>
      <c r="M560" s="272" t="s">
        <v>175</v>
      </c>
    </row>
    <row r="561" spans="1:13" ht="15.75" customHeight="1">
      <c r="A561" s="267" t="s">
        <v>6527</v>
      </c>
      <c r="B561" s="251" t="s">
        <v>11195</v>
      </c>
      <c r="C561" s="267" t="s">
        <v>6528</v>
      </c>
      <c r="D561" s="267" t="s">
        <v>11196</v>
      </c>
      <c r="E561" s="277" t="s">
        <v>10324</v>
      </c>
      <c r="F561" s="278" t="s">
        <v>6619</v>
      </c>
      <c r="G561" s="279" t="s">
        <v>2512</v>
      </c>
      <c r="H561" s="279" t="s">
        <v>2512</v>
      </c>
      <c r="I561" s="279" t="s">
        <v>2512</v>
      </c>
      <c r="J561" s="278" t="s">
        <v>76</v>
      </c>
      <c r="K561" s="280">
        <v>15.75</v>
      </c>
      <c r="L561" s="281" t="s">
        <v>2057</v>
      </c>
      <c r="M561" s="272" t="s">
        <v>175</v>
      </c>
    </row>
    <row r="562" spans="1:13" ht="15.75" customHeight="1">
      <c r="A562" s="267" t="s">
        <v>6527</v>
      </c>
      <c r="B562" s="251" t="s">
        <v>11197</v>
      </c>
      <c r="C562" s="267" t="s">
        <v>6528</v>
      </c>
      <c r="D562" s="267" t="s">
        <v>11198</v>
      </c>
      <c r="E562" s="277" t="s">
        <v>10324</v>
      </c>
      <c r="F562" s="278" t="s">
        <v>6619</v>
      </c>
      <c r="G562" s="279" t="s">
        <v>2512</v>
      </c>
      <c r="H562" s="279" t="s">
        <v>2512</v>
      </c>
      <c r="I562" s="279" t="s">
        <v>2512</v>
      </c>
      <c r="J562" s="278" t="s">
        <v>76</v>
      </c>
      <c r="K562" s="280">
        <v>11.81</v>
      </c>
      <c r="L562" s="281" t="s">
        <v>2057</v>
      </c>
      <c r="M562" s="272" t="s">
        <v>175</v>
      </c>
    </row>
    <row r="563" spans="1:13" ht="15.75" customHeight="1">
      <c r="A563" s="267" t="s">
        <v>6527</v>
      </c>
      <c r="B563" s="251" t="s">
        <v>11199</v>
      </c>
      <c r="C563" s="267" t="s">
        <v>6528</v>
      </c>
      <c r="D563" s="267" t="s">
        <v>11200</v>
      </c>
      <c r="E563" s="277" t="s">
        <v>10324</v>
      </c>
      <c r="F563" s="278" t="s">
        <v>6619</v>
      </c>
      <c r="G563" s="279" t="s">
        <v>2512</v>
      </c>
      <c r="H563" s="279" t="s">
        <v>2512</v>
      </c>
      <c r="I563" s="279" t="s">
        <v>2512</v>
      </c>
      <c r="J563" s="278" t="s">
        <v>76</v>
      </c>
      <c r="K563" s="280">
        <v>8.66</v>
      </c>
      <c r="L563" s="281" t="s">
        <v>2057</v>
      </c>
      <c r="M563" s="272" t="s">
        <v>175</v>
      </c>
    </row>
    <row r="564" spans="1:13" ht="15.75" customHeight="1">
      <c r="A564" s="267" t="s">
        <v>6527</v>
      </c>
      <c r="B564" s="251" t="s">
        <v>11201</v>
      </c>
      <c r="C564" s="267" t="s">
        <v>6528</v>
      </c>
      <c r="D564" s="267" t="s">
        <v>11202</v>
      </c>
      <c r="E564" s="277" t="s">
        <v>10324</v>
      </c>
      <c r="F564" s="278" t="s">
        <v>6619</v>
      </c>
      <c r="G564" s="279" t="s">
        <v>2512</v>
      </c>
      <c r="H564" s="279" t="s">
        <v>2512</v>
      </c>
      <c r="I564" s="279" t="s">
        <v>2512</v>
      </c>
      <c r="J564" s="278" t="s">
        <v>76</v>
      </c>
      <c r="K564" s="280">
        <v>73.239999999999995</v>
      </c>
      <c r="L564" s="281" t="s">
        <v>2057</v>
      </c>
      <c r="M564" s="272" t="s">
        <v>175</v>
      </c>
    </row>
    <row r="565" spans="1:13" ht="15.75" customHeight="1">
      <c r="A565" s="267" t="s">
        <v>6527</v>
      </c>
      <c r="B565" s="251" t="s">
        <v>11203</v>
      </c>
      <c r="C565" s="267" t="s">
        <v>6528</v>
      </c>
      <c r="D565" s="267" t="s">
        <v>11204</v>
      </c>
      <c r="E565" s="277" t="s">
        <v>10324</v>
      </c>
      <c r="F565" s="278" t="s">
        <v>6619</v>
      </c>
      <c r="G565" s="279" t="s">
        <v>2512</v>
      </c>
      <c r="H565" s="279" t="s">
        <v>2512</v>
      </c>
      <c r="I565" s="279" t="s">
        <v>2512</v>
      </c>
      <c r="J565" s="278" t="s">
        <v>76</v>
      </c>
      <c r="K565" s="280">
        <v>43.31</v>
      </c>
      <c r="L565" s="281" t="s">
        <v>2057</v>
      </c>
      <c r="M565" s="272" t="s">
        <v>175</v>
      </c>
    </row>
    <row r="566" spans="1:13" ht="15.75" customHeight="1">
      <c r="A566" s="267" t="s">
        <v>6527</v>
      </c>
      <c r="B566" s="251" t="s">
        <v>11205</v>
      </c>
      <c r="C566" s="267" t="s">
        <v>6528</v>
      </c>
      <c r="D566" s="267" t="s">
        <v>11206</v>
      </c>
      <c r="E566" s="277" t="s">
        <v>10324</v>
      </c>
      <c r="F566" s="278" t="s">
        <v>6619</v>
      </c>
      <c r="G566" s="279" t="s">
        <v>2512</v>
      </c>
      <c r="H566" s="279" t="s">
        <v>2512</v>
      </c>
      <c r="I566" s="279" t="s">
        <v>2512</v>
      </c>
      <c r="J566" s="278" t="s">
        <v>76</v>
      </c>
      <c r="K566" s="280">
        <v>30.71</v>
      </c>
      <c r="L566" s="281" t="s">
        <v>2057</v>
      </c>
      <c r="M566" s="272" t="s">
        <v>175</v>
      </c>
    </row>
    <row r="567" spans="1:13" ht="15.75" customHeight="1">
      <c r="A567" s="267" t="s">
        <v>6527</v>
      </c>
      <c r="B567" s="251" t="s">
        <v>11207</v>
      </c>
      <c r="C567" s="267" t="s">
        <v>6528</v>
      </c>
      <c r="D567" s="267" t="s">
        <v>11208</v>
      </c>
      <c r="E567" s="277" t="s">
        <v>10324</v>
      </c>
      <c r="F567" s="278" t="s">
        <v>6619</v>
      </c>
      <c r="G567" s="279" t="s">
        <v>2512</v>
      </c>
      <c r="H567" s="279" t="s">
        <v>2512</v>
      </c>
      <c r="I567" s="279" t="s">
        <v>2512</v>
      </c>
      <c r="J567" s="278" t="s">
        <v>76</v>
      </c>
      <c r="K567" s="280">
        <v>22.05</v>
      </c>
      <c r="L567" s="281" t="s">
        <v>2057</v>
      </c>
      <c r="M567" s="272" t="s">
        <v>175</v>
      </c>
    </row>
    <row r="568" spans="1:13" ht="15.75" customHeight="1">
      <c r="A568" s="267" t="s">
        <v>6527</v>
      </c>
      <c r="B568" s="251" t="s">
        <v>11209</v>
      </c>
      <c r="C568" s="267" t="s">
        <v>6528</v>
      </c>
      <c r="D568" s="267" t="s">
        <v>11210</v>
      </c>
      <c r="E568" s="277" t="s">
        <v>10324</v>
      </c>
      <c r="F568" s="278" t="s">
        <v>6619</v>
      </c>
      <c r="G568" s="279" t="s">
        <v>2512</v>
      </c>
      <c r="H568" s="279" t="s">
        <v>2512</v>
      </c>
      <c r="I568" s="279" t="s">
        <v>2512</v>
      </c>
      <c r="J568" s="278" t="s">
        <v>76</v>
      </c>
      <c r="K568" s="280">
        <v>17.329999999999998</v>
      </c>
      <c r="L568" s="281" t="s">
        <v>2057</v>
      </c>
      <c r="M568" s="272" t="s">
        <v>175</v>
      </c>
    </row>
    <row r="569" spans="1:13" ht="15.75" customHeight="1">
      <c r="A569" s="267" t="s">
        <v>6527</v>
      </c>
      <c r="B569" s="251" t="s">
        <v>11211</v>
      </c>
      <c r="C569" s="267" t="s">
        <v>6528</v>
      </c>
      <c r="D569" s="267" t="s">
        <v>11212</v>
      </c>
      <c r="E569" s="277" t="s">
        <v>133</v>
      </c>
      <c r="F569" s="278" t="s">
        <v>6619</v>
      </c>
      <c r="G569" s="279" t="s">
        <v>2512</v>
      </c>
      <c r="H569" s="279" t="s">
        <v>2512</v>
      </c>
      <c r="I569" s="279" t="s">
        <v>2512</v>
      </c>
      <c r="J569" s="278" t="s">
        <v>76</v>
      </c>
      <c r="K569" s="280">
        <v>30.8</v>
      </c>
      <c r="L569" s="281" t="s">
        <v>173</v>
      </c>
      <c r="M569" s="272" t="s">
        <v>175</v>
      </c>
    </row>
    <row r="570" spans="1:13" ht="15.75" customHeight="1">
      <c r="A570" s="267" t="s">
        <v>6527</v>
      </c>
      <c r="B570" s="251" t="s">
        <v>11213</v>
      </c>
      <c r="C570" s="267" t="s">
        <v>6528</v>
      </c>
      <c r="D570" s="267" t="s">
        <v>11214</v>
      </c>
      <c r="E570" s="277" t="s">
        <v>133</v>
      </c>
      <c r="F570" s="278" t="s">
        <v>6619</v>
      </c>
      <c r="G570" s="279" t="s">
        <v>2512</v>
      </c>
      <c r="H570" s="279" t="s">
        <v>2512</v>
      </c>
      <c r="I570" s="279" t="s">
        <v>2512</v>
      </c>
      <c r="J570" s="278" t="s">
        <v>76</v>
      </c>
      <c r="K570" s="280">
        <v>23.13</v>
      </c>
      <c r="L570" s="281" t="s">
        <v>173</v>
      </c>
      <c r="M570" s="272" t="s">
        <v>175</v>
      </c>
    </row>
    <row r="571" spans="1:13" ht="15.75" customHeight="1">
      <c r="A571" s="267" t="s">
        <v>6527</v>
      </c>
      <c r="B571" s="251" t="s">
        <v>11215</v>
      </c>
      <c r="C571" s="267" t="s">
        <v>6528</v>
      </c>
      <c r="D571" s="267" t="s">
        <v>11216</v>
      </c>
      <c r="E571" s="277" t="s">
        <v>133</v>
      </c>
      <c r="F571" s="278" t="s">
        <v>6619</v>
      </c>
      <c r="G571" s="279" t="s">
        <v>2512</v>
      </c>
      <c r="H571" s="279" t="s">
        <v>2512</v>
      </c>
      <c r="I571" s="279" t="s">
        <v>2512</v>
      </c>
      <c r="J571" s="278" t="s">
        <v>76</v>
      </c>
      <c r="K571" s="280">
        <v>21</v>
      </c>
      <c r="L571" s="281" t="s">
        <v>173</v>
      </c>
      <c r="M571" s="272" t="s">
        <v>175</v>
      </c>
    </row>
    <row r="572" spans="1:13" ht="15.75" customHeight="1">
      <c r="A572" s="267" t="s">
        <v>6527</v>
      </c>
      <c r="B572" s="251" t="s">
        <v>11217</v>
      </c>
      <c r="C572" s="267" t="s">
        <v>6528</v>
      </c>
      <c r="D572" s="267" t="s">
        <v>11218</v>
      </c>
      <c r="E572" s="277" t="s">
        <v>133</v>
      </c>
      <c r="F572" s="278" t="s">
        <v>6619</v>
      </c>
      <c r="G572" s="279" t="s">
        <v>2512</v>
      </c>
      <c r="H572" s="279" t="s">
        <v>2512</v>
      </c>
      <c r="I572" s="279" t="s">
        <v>2512</v>
      </c>
      <c r="J572" s="278" t="s">
        <v>76</v>
      </c>
      <c r="K572" s="280">
        <v>18.03</v>
      </c>
      <c r="L572" s="281" t="s">
        <v>173</v>
      </c>
      <c r="M572" s="272" t="s">
        <v>175</v>
      </c>
    </row>
    <row r="573" spans="1:13" ht="15.75" customHeight="1">
      <c r="A573" s="267" t="s">
        <v>6527</v>
      </c>
      <c r="B573" s="251" t="s">
        <v>11219</v>
      </c>
      <c r="C573" s="267" t="s">
        <v>6528</v>
      </c>
      <c r="D573" s="267" t="s">
        <v>11220</v>
      </c>
      <c r="E573" s="277" t="s">
        <v>133</v>
      </c>
      <c r="F573" s="278" t="s">
        <v>6619</v>
      </c>
      <c r="G573" s="279" t="s">
        <v>2512</v>
      </c>
      <c r="H573" s="279" t="s">
        <v>2512</v>
      </c>
      <c r="I573" s="279" t="s">
        <v>2512</v>
      </c>
      <c r="J573" s="278" t="s">
        <v>76</v>
      </c>
      <c r="K573" s="280">
        <v>16.34</v>
      </c>
      <c r="L573" s="281" t="s">
        <v>173</v>
      </c>
      <c r="M573" s="272" t="s">
        <v>175</v>
      </c>
    </row>
    <row r="574" spans="1:13" ht="15.75" customHeight="1">
      <c r="A574" s="267" t="s">
        <v>6527</v>
      </c>
      <c r="B574" s="251" t="s">
        <v>11221</v>
      </c>
      <c r="C574" s="267" t="s">
        <v>6528</v>
      </c>
      <c r="D574" s="267" t="s">
        <v>11222</v>
      </c>
      <c r="E574" s="277" t="s">
        <v>133</v>
      </c>
      <c r="F574" s="278" t="s">
        <v>6619</v>
      </c>
      <c r="G574" s="279" t="s">
        <v>2512</v>
      </c>
      <c r="H574" s="279" t="s">
        <v>2512</v>
      </c>
      <c r="I574" s="279" t="s">
        <v>2512</v>
      </c>
      <c r="J574" s="278" t="s">
        <v>76</v>
      </c>
      <c r="K574" s="280">
        <v>16.34</v>
      </c>
      <c r="L574" s="281" t="s">
        <v>173</v>
      </c>
      <c r="M574" s="272" t="s">
        <v>175</v>
      </c>
    </row>
    <row r="575" spans="1:13" ht="15.75" customHeight="1">
      <c r="A575" s="267" t="s">
        <v>6527</v>
      </c>
      <c r="B575" s="251" t="s">
        <v>11223</v>
      </c>
      <c r="C575" s="267" t="s">
        <v>6528</v>
      </c>
      <c r="D575" s="267" t="s">
        <v>11224</v>
      </c>
      <c r="E575" s="277" t="s">
        <v>133</v>
      </c>
      <c r="F575" s="278" t="s">
        <v>6619</v>
      </c>
      <c r="G575" s="279" t="s">
        <v>2512</v>
      </c>
      <c r="H575" s="279" t="s">
        <v>2512</v>
      </c>
      <c r="I575" s="279" t="s">
        <v>2512</v>
      </c>
      <c r="J575" s="278" t="s">
        <v>76</v>
      </c>
      <c r="K575" s="280">
        <v>12075</v>
      </c>
      <c r="L575" s="281" t="s">
        <v>173</v>
      </c>
      <c r="M575" s="272" t="s">
        <v>175</v>
      </c>
    </row>
    <row r="576" spans="1:13" ht="15.75" customHeight="1">
      <c r="A576" s="267" t="s">
        <v>6527</v>
      </c>
      <c r="B576" s="251" t="s">
        <v>11225</v>
      </c>
      <c r="C576" s="267" t="s">
        <v>6528</v>
      </c>
      <c r="D576" s="267" t="s">
        <v>11226</v>
      </c>
      <c r="E576" s="277" t="s">
        <v>133</v>
      </c>
      <c r="F576" s="278" t="s">
        <v>6619</v>
      </c>
      <c r="G576" s="279" t="s">
        <v>2512</v>
      </c>
      <c r="H576" s="279" t="s">
        <v>2512</v>
      </c>
      <c r="I576" s="279" t="s">
        <v>2512</v>
      </c>
      <c r="J576" s="278" t="s">
        <v>76</v>
      </c>
      <c r="K576" s="280">
        <v>17850</v>
      </c>
      <c r="L576" s="281" t="s">
        <v>173</v>
      </c>
      <c r="M576" s="272" t="s">
        <v>175</v>
      </c>
    </row>
    <row r="577" spans="1:13" ht="15.75" customHeight="1">
      <c r="A577" s="267" t="s">
        <v>6527</v>
      </c>
      <c r="B577" s="251" t="s">
        <v>11227</v>
      </c>
      <c r="C577" s="267" t="s">
        <v>6528</v>
      </c>
      <c r="D577" s="267" t="s">
        <v>11228</v>
      </c>
      <c r="E577" s="277" t="s">
        <v>133</v>
      </c>
      <c r="F577" s="278" t="s">
        <v>6619</v>
      </c>
      <c r="G577" s="279" t="s">
        <v>2512</v>
      </c>
      <c r="H577" s="279" t="s">
        <v>2512</v>
      </c>
      <c r="I577" s="279" t="s">
        <v>2512</v>
      </c>
      <c r="J577" s="278" t="s">
        <v>76</v>
      </c>
      <c r="K577" s="280">
        <v>36750</v>
      </c>
      <c r="L577" s="281" t="s">
        <v>173</v>
      </c>
      <c r="M577" s="272" t="s">
        <v>175</v>
      </c>
    </row>
    <row r="578" spans="1:13" ht="15.75" customHeight="1">
      <c r="A578" s="267" t="s">
        <v>6527</v>
      </c>
      <c r="B578" s="251" t="s">
        <v>11229</v>
      </c>
      <c r="C578" s="267" t="s">
        <v>6528</v>
      </c>
      <c r="D578" s="267" t="s">
        <v>11230</v>
      </c>
      <c r="E578" s="277" t="s">
        <v>133</v>
      </c>
      <c r="F578" s="278" t="s">
        <v>6619</v>
      </c>
      <c r="G578" s="279" t="s">
        <v>2512</v>
      </c>
      <c r="H578" s="279" t="s">
        <v>2512</v>
      </c>
      <c r="I578" s="279" t="s">
        <v>2512</v>
      </c>
      <c r="J578" s="278" t="s">
        <v>76</v>
      </c>
      <c r="K578" s="280">
        <v>72765</v>
      </c>
      <c r="L578" s="281" t="s">
        <v>173</v>
      </c>
      <c r="M578" s="272" t="s">
        <v>175</v>
      </c>
    </row>
    <row r="579" spans="1:13" ht="15.75" customHeight="1">
      <c r="A579" s="267" t="s">
        <v>6527</v>
      </c>
      <c r="B579" s="251" t="s">
        <v>11231</v>
      </c>
      <c r="C579" s="267" t="s">
        <v>6528</v>
      </c>
      <c r="D579" s="267" t="s">
        <v>11232</v>
      </c>
      <c r="E579" s="277" t="s">
        <v>133</v>
      </c>
      <c r="F579" s="278" t="s">
        <v>6619</v>
      </c>
      <c r="G579" s="279" t="s">
        <v>2512</v>
      </c>
      <c r="H579" s="279" t="s">
        <v>2512</v>
      </c>
      <c r="I579" s="279" t="s">
        <v>2512</v>
      </c>
      <c r="J579" s="278" t="s">
        <v>76</v>
      </c>
      <c r="K579" s="280">
        <v>30.8</v>
      </c>
      <c r="L579" s="281" t="s">
        <v>173</v>
      </c>
      <c r="M579" s="272" t="s">
        <v>175</v>
      </c>
    </row>
    <row r="580" spans="1:13" ht="15.75" customHeight="1">
      <c r="A580" s="267" t="s">
        <v>6527</v>
      </c>
      <c r="B580" s="251" t="s">
        <v>11233</v>
      </c>
      <c r="C580" s="267" t="s">
        <v>6528</v>
      </c>
      <c r="D580" s="267" t="s">
        <v>11234</v>
      </c>
      <c r="E580" s="277" t="s">
        <v>133</v>
      </c>
      <c r="F580" s="278" t="s">
        <v>6619</v>
      </c>
      <c r="G580" s="279" t="s">
        <v>2512</v>
      </c>
      <c r="H580" s="279" t="s">
        <v>2512</v>
      </c>
      <c r="I580" s="279" t="s">
        <v>2512</v>
      </c>
      <c r="J580" s="278" t="s">
        <v>76</v>
      </c>
      <c r="K580" s="280">
        <v>23.1</v>
      </c>
      <c r="L580" s="281" t="s">
        <v>173</v>
      </c>
      <c r="M580" s="272" t="s">
        <v>175</v>
      </c>
    </row>
    <row r="581" spans="1:13" ht="15.75" customHeight="1">
      <c r="A581" s="267" t="s">
        <v>6527</v>
      </c>
      <c r="B581" s="251" t="s">
        <v>11235</v>
      </c>
      <c r="C581" s="267" t="s">
        <v>6528</v>
      </c>
      <c r="D581" s="267" t="s">
        <v>11236</v>
      </c>
      <c r="E581" s="277" t="s">
        <v>133</v>
      </c>
      <c r="F581" s="278" t="s">
        <v>6619</v>
      </c>
      <c r="G581" s="279" t="s">
        <v>2512</v>
      </c>
      <c r="H581" s="279" t="s">
        <v>2512</v>
      </c>
      <c r="I581" s="279" t="s">
        <v>2512</v>
      </c>
      <c r="J581" s="278" t="s">
        <v>76</v>
      </c>
      <c r="K581" s="280">
        <v>21</v>
      </c>
      <c r="L581" s="281" t="s">
        <v>173</v>
      </c>
      <c r="M581" s="272" t="s">
        <v>175</v>
      </c>
    </row>
    <row r="582" spans="1:13" ht="15.75" customHeight="1">
      <c r="A582" s="267" t="s">
        <v>6527</v>
      </c>
      <c r="B582" s="251" t="s">
        <v>11237</v>
      </c>
      <c r="C582" s="267" t="s">
        <v>6528</v>
      </c>
      <c r="D582" s="267" t="s">
        <v>11238</v>
      </c>
      <c r="E582" s="277" t="s">
        <v>133</v>
      </c>
      <c r="F582" s="278" t="s">
        <v>6619</v>
      </c>
      <c r="G582" s="279" t="s">
        <v>2512</v>
      </c>
      <c r="H582" s="279" t="s">
        <v>2512</v>
      </c>
      <c r="I582" s="279" t="s">
        <v>2512</v>
      </c>
      <c r="J582" s="278" t="s">
        <v>76</v>
      </c>
      <c r="K582" s="280">
        <v>18.03</v>
      </c>
      <c r="L582" s="281" t="s">
        <v>173</v>
      </c>
      <c r="M582" s="272" t="s">
        <v>175</v>
      </c>
    </row>
    <row r="583" spans="1:13" ht="15.75" customHeight="1">
      <c r="A583" s="267" t="s">
        <v>6527</v>
      </c>
      <c r="B583" s="251" t="s">
        <v>11239</v>
      </c>
      <c r="C583" s="267" t="s">
        <v>6528</v>
      </c>
      <c r="D583" s="267" t="s">
        <v>11240</v>
      </c>
      <c r="E583" s="277" t="s">
        <v>133</v>
      </c>
      <c r="F583" s="278" t="s">
        <v>6619</v>
      </c>
      <c r="G583" s="279" t="s">
        <v>2512</v>
      </c>
      <c r="H583" s="279" t="s">
        <v>2512</v>
      </c>
      <c r="I583" s="279" t="s">
        <v>2512</v>
      </c>
      <c r="J583" s="278" t="s">
        <v>76</v>
      </c>
      <c r="K583" s="280">
        <v>16.34</v>
      </c>
      <c r="L583" s="281" t="s">
        <v>173</v>
      </c>
      <c r="M583" s="272" t="s">
        <v>175</v>
      </c>
    </row>
    <row r="584" spans="1:13" ht="15.75" customHeight="1">
      <c r="A584" s="267" t="s">
        <v>6527</v>
      </c>
      <c r="B584" s="251" t="s">
        <v>11241</v>
      </c>
      <c r="C584" s="267" t="s">
        <v>6528</v>
      </c>
      <c r="D584" s="267" t="s">
        <v>11242</v>
      </c>
      <c r="E584" s="277" t="s">
        <v>133</v>
      </c>
      <c r="F584" s="278" t="s">
        <v>6619</v>
      </c>
      <c r="G584" s="279" t="s">
        <v>2512</v>
      </c>
      <c r="H584" s="279" t="s">
        <v>2512</v>
      </c>
      <c r="I584" s="279" t="s">
        <v>2512</v>
      </c>
      <c r="J584" s="278" t="s">
        <v>76</v>
      </c>
      <c r="K584" s="280">
        <v>16.34</v>
      </c>
      <c r="L584" s="281" t="s">
        <v>173</v>
      </c>
      <c r="M584" s="272" t="s">
        <v>175</v>
      </c>
    </row>
    <row r="585" spans="1:13" ht="15.75" customHeight="1">
      <c r="A585" s="267" t="s">
        <v>6527</v>
      </c>
      <c r="B585" s="251" t="s">
        <v>11243</v>
      </c>
      <c r="C585" s="267" t="s">
        <v>6528</v>
      </c>
      <c r="D585" s="267" t="s">
        <v>11244</v>
      </c>
      <c r="E585" s="277" t="s">
        <v>133</v>
      </c>
      <c r="F585" s="278" t="s">
        <v>6619</v>
      </c>
      <c r="G585" s="279" t="s">
        <v>2512</v>
      </c>
      <c r="H585" s="279" t="s">
        <v>2512</v>
      </c>
      <c r="I585" s="279" t="s">
        <v>2512</v>
      </c>
      <c r="J585" s="278" t="s">
        <v>76</v>
      </c>
      <c r="K585" s="280">
        <v>46.2</v>
      </c>
      <c r="L585" s="281" t="s">
        <v>173</v>
      </c>
      <c r="M585" s="272" t="s">
        <v>175</v>
      </c>
    </row>
    <row r="586" spans="1:13" ht="15.75" customHeight="1">
      <c r="A586" s="267" t="s">
        <v>6527</v>
      </c>
      <c r="B586" s="251" t="s">
        <v>11245</v>
      </c>
      <c r="C586" s="267" t="s">
        <v>6528</v>
      </c>
      <c r="D586" s="267" t="s">
        <v>11246</v>
      </c>
      <c r="E586" s="277" t="s">
        <v>133</v>
      </c>
      <c r="F586" s="278" t="s">
        <v>6619</v>
      </c>
      <c r="G586" s="279" t="s">
        <v>2512</v>
      </c>
      <c r="H586" s="279" t="s">
        <v>2512</v>
      </c>
      <c r="I586" s="279" t="s">
        <v>2512</v>
      </c>
      <c r="J586" s="278" t="s">
        <v>76</v>
      </c>
      <c r="K586" s="280">
        <v>34.65</v>
      </c>
      <c r="L586" s="281" t="s">
        <v>173</v>
      </c>
      <c r="M586" s="272" t="s">
        <v>175</v>
      </c>
    </row>
    <row r="587" spans="1:13" ht="15.75" customHeight="1">
      <c r="A587" s="267" t="s">
        <v>6527</v>
      </c>
      <c r="B587" s="251" t="s">
        <v>11247</v>
      </c>
      <c r="C587" s="267" t="s">
        <v>6528</v>
      </c>
      <c r="D587" s="267" t="s">
        <v>11248</v>
      </c>
      <c r="E587" s="277" t="s">
        <v>133</v>
      </c>
      <c r="F587" s="278" t="s">
        <v>6619</v>
      </c>
      <c r="G587" s="279" t="s">
        <v>2512</v>
      </c>
      <c r="H587" s="279" t="s">
        <v>2512</v>
      </c>
      <c r="I587" s="279" t="s">
        <v>2512</v>
      </c>
      <c r="J587" s="278" t="s">
        <v>76</v>
      </c>
      <c r="K587" s="280">
        <v>26.25</v>
      </c>
      <c r="L587" s="281" t="s">
        <v>173</v>
      </c>
      <c r="M587" s="272" t="s">
        <v>175</v>
      </c>
    </row>
    <row r="588" spans="1:13" ht="15.75" customHeight="1">
      <c r="A588" s="267" t="s">
        <v>6527</v>
      </c>
      <c r="B588" s="251" t="s">
        <v>11249</v>
      </c>
      <c r="C588" s="267" t="s">
        <v>6528</v>
      </c>
      <c r="D588" s="267" t="s">
        <v>11250</v>
      </c>
      <c r="E588" s="277" t="s">
        <v>133</v>
      </c>
      <c r="F588" s="278" t="s">
        <v>6619</v>
      </c>
      <c r="G588" s="279" t="s">
        <v>2512</v>
      </c>
      <c r="H588" s="279" t="s">
        <v>2512</v>
      </c>
      <c r="I588" s="279" t="s">
        <v>2512</v>
      </c>
      <c r="J588" s="278" t="s">
        <v>76</v>
      </c>
      <c r="K588" s="280">
        <v>19.95</v>
      </c>
      <c r="L588" s="281" t="s">
        <v>173</v>
      </c>
      <c r="M588" s="272" t="s">
        <v>175</v>
      </c>
    </row>
    <row r="589" spans="1:13" ht="15.75" customHeight="1">
      <c r="A589" s="267" t="s">
        <v>6527</v>
      </c>
      <c r="B589" s="251" t="s">
        <v>11251</v>
      </c>
      <c r="C589" s="267" t="s">
        <v>6528</v>
      </c>
      <c r="D589" s="267" t="s">
        <v>11252</v>
      </c>
      <c r="E589" s="277" t="s">
        <v>133</v>
      </c>
      <c r="F589" s="278" t="s">
        <v>6619</v>
      </c>
      <c r="G589" s="279" t="s">
        <v>2512</v>
      </c>
      <c r="H589" s="279" t="s">
        <v>2512</v>
      </c>
      <c r="I589" s="279" t="s">
        <v>2512</v>
      </c>
      <c r="J589" s="278" t="s">
        <v>76</v>
      </c>
      <c r="K589" s="280">
        <v>18.38</v>
      </c>
      <c r="L589" s="281" t="s">
        <v>173</v>
      </c>
      <c r="M589" s="272" t="s">
        <v>175</v>
      </c>
    </row>
    <row r="590" spans="1:13" ht="15.75" customHeight="1">
      <c r="A590" s="267" t="s">
        <v>6527</v>
      </c>
      <c r="B590" s="251" t="s">
        <v>11253</v>
      </c>
      <c r="C590" s="267" t="s">
        <v>6528</v>
      </c>
      <c r="D590" s="267" t="s">
        <v>11254</v>
      </c>
      <c r="E590" s="277" t="s">
        <v>133</v>
      </c>
      <c r="F590" s="278" t="s">
        <v>6619</v>
      </c>
      <c r="G590" s="279" t="s">
        <v>2512</v>
      </c>
      <c r="H590" s="279" t="s">
        <v>2512</v>
      </c>
      <c r="I590" s="279" t="s">
        <v>2512</v>
      </c>
      <c r="J590" s="278" t="s">
        <v>76</v>
      </c>
      <c r="K590" s="280">
        <v>3150</v>
      </c>
      <c r="L590" s="281" t="s">
        <v>173</v>
      </c>
      <c r="M590" s="272" t="s">
        <v>175</v>
      </c>
    </row>
    <row r="591" spans="1:13" ht="15.75" customHeight="1">
      <c r="A591" s="267" t="s">
        <v>6527</v>
      </c>
      <c r="B591" s="251" t="s">
        <v>11255</v>
      </c>
      <c r="C591" s="267" t="s">
        <v>6528</v>
      </c>
      <c r="D591" s="267" t="s">
        <v>11256</v>
      </c>
      <c r="E591" s="277" t="s">
        <v>133</v>
      </c>
      <c r="F591" s="282" t="s">
        <v>6619</v>
      </c>
      <c r="G591" s="283" t="s">
        <v>2512</v>
      </c>
      <c r="H591" s="283" t="s">
        <v>2512</v>
      </c>
      <c r="I591" s="283" t="s">
        <v>2512</v>
      </c>
      <c r="J591" s="278" t="s">
        <v>76</v>
      </c>
      <c r="K591" s="280">
        <v>23000</v>
      </c>
      <c r="L591" s="281" t="s">
        <v>173</v>
      </c>
      <c r="M591" s="272" t="s">
        <v>175</v>
      </c>
    </row>
    <row r="592" spans="1:13" ht="15.75" customHeight="1">
      <c r="A592" s="267" t="s">
        <v>6527</v>
      </c>
      <c r="B592" s="251" t="s">
        <v>11257</v>
      </c>
      <c r="C592" s="267" t="s">
        <v>6528</v>
      </c>
      <c r="D592" s="267" t="s">
        <v>11258</v>
      </c>
      <c r="E592" s="277" t="s">
        <v>133</v>
      </c>
      <c r="F592" s="282" t="s">
        <v>6619</v>
      </c>
      <c r="G592" s="283" t="s">
        <v>2512</v>
      </c>
      <c r="H592" s="283" t="s">
        <v>2512</v>
      </c>
      <c r="I592" s="283" t="s">
        <v>2512</v>
      </c>
      <c r="J592" s="278" t="s">
        <v>76</v>
      </c>
      <c r="K592" s="280">
        <v>18000</v>
      </c>
      <c r="L592" s="281" t="s">
        <v>173</v>
      </c>
      <c r="M592" s="272" t="s">
        <v>175</v>
      </c>
    </row>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autoFilter ref="A5:M109"/>
  <mergeCells count="1">
    <mergeCell ref="A1:M4"/>
  </mergeCells>
  <conditionalFormatting sqref="B5">
    <cfRule type="duplicateValues" dxfId="16" priority="7"/>
  </conditionalFormatting>
  <conditionalFormatting sqref="A6:K125 A126:C303 E126:K303">
    <cfRule type="expression" dxfId="15" priority="2">
      <formula>ISERROR(A6)</formula>
    </cfRule>
  </conditionalFormatting>
  <conditionalFormatting sqref="D126:D592">
    <cfRule type="expression" dxfId="14" priority="1">
      <formula>ISERROR(D126)</formula>
    </cfRule>
  </conditionalFormatting>
  <dataValidations count="3">
    <dataValidation type="list" allowBlank="1" showErrorMessage="1" sqref="M593:M998">
      <formula1>"COP,USD"</formula1>
    </dataValidation>
    <dataValidation type="list" allowBlank="1" showInputMessage="1" showErrorMessage="1" error="Solo se admite COP/USD" sqref="M6:M592">
      <formula1>"COP,USD"</formula1>
    </dataValidation>
    <dataValidation type="list" allowBlank="1" showInputMessage="1" showErrorMessage="1" error="Solo se admite Sí/No" sqref="L6:L303">
      <formula1>"Sí,No"</formula1>
    </dataValidation>
  </dataValidations>
  <pageMargins left="0.25" right="0.25" top="0.75" bottom="0.75" header="0" footer="0"/>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3"/>
  <sheetViews>
    <sheetView zoomScale="90" zoomScaleNormal="90" workbookViewId="0">
      <selection activeCell="D2" sqref="D2"/>
    </sheetView>
  </sheetViews>
  <sheetFormatPr baseColWidth="10" defaultColWidth="11.54296875" defaultRowHeight="14.5"/>
  <cols>
    <col min="1" max="1" width="17" style="8" customWidth="1"/>
    <col min="2" max="2" width="24.54296875" style="8" customWidth="1"/>
    <col min="3" max="3" width="29.08984375" style="8" customWidth="1"/>
    <col min="4" max="4" width="43.6328125" style="8" customWidth="1"/>
    <col min="5" max="5" width="17.36328125" style="8" bestFit="1" customWidth="1"/>
    <col min="6" max="9" width="11.54296875" style="8"/>
    <col min="10" max="10" width="18" style="8" bestFit="1" customWidth="1"/>
    <col min="11" max="11" width="14" style="8" bestFit="1" customWidth="1"/>
    <col min="12" max="12" width="16.6328125" style="15" bestFit="1" customWidth="1"/>
    <col min="13" max="16384" width="11.54296875" style="8"/>
  </cols>
  <sheetData>
    <row r="1" spans="1:14" ht="16">
      <c r="A1" s="3" t="s">
        <v>0</v>
      </c>
      <c r="B1" s="3" t="s">
        <v>1</v>
      </c>
      <c r="C1" s="3" t="s">
        <v>2</v>
      </c>
      <c r="D1" s="3" t="s">
        <v>4</v>
      </c>
      <c r="E1" s="3" t="s">
        <v>5</v>
      </c>
      <c r="F1" s="3" t="s">
        <v>6</v>
      </c>
      <c r="G1" s="5" t="s">
        <v>7</v>
      </c>
      <c r="H1" s="5" t="s">
        <v>8</v>
      </c>
      <c r="I1" s="5" t="s">
        <v>9</v>
      </c>
      <c r="J1" s="3" t="s">
        <v>10</v>
      </c>
      <c r="K1" s="3" t="s">
        <v>11</v>
      </c>
      <c r="L1" s="14" t="s">
        <v>12</v>
      </c>
      <c r="M1" s="6" t="s">
        <v>13</v>
      </c>
      <c r="N1" s="4" t="s">
        <v>3</v>
      </c>
    </row>
    <row r="2" spans="1:14" ht="15.5">
      <c r="A2" s="202" t="s">
        <v>763</v>
      </c>
      <c r="B2" s="202" t="s">
        <v>764</v>
      </c>
      <c r="C2" s="202" t="s">
        <v>840</v>
      </c>
      <c r="D2" s="202" t="s">
        <v>841</v>
      </c>
      <c r="E2" s="202" t="s">
        <v>917</v>
      </c>
      <c r="F2" s="202" t="s">
        <v>16</v>
      </c>
      <c r="G2" s="202" t="s">
        <v>17</v>
      </c>
      <c r="H2" s="202" t="s">
        <v>26</v>
      </c>
      <c r="I2" s="202" t="s">
        <v>15</v>
      </c>
      <c r="J2" s="202" t="s">
        <v>64</v>
      </c>
      <c r="K2" s="203">
        <v>397250</v>
      </c>
      <c r="L2" s="202" t="s">
        <v>173</v>
      </c>
      <c r="M2" s="204" t="s">
        <v>14</v>
      </c>
    </row>
    <row r="3" spans="1:14" ht="15.5">
      <c r="A3" s="202" t="s">
        <v>763</v>
      </c>
      <c r="B3" s="202" t="s">
        <v>765</v>
      </c>
      <c r="C3" s="202" t="s">
        <v>840</v>
      </c>
      <c r="D3" s="202" t="s">
        <v>842</v>
      </c>
      <c r="E3" s="202" t="s">
        <v>917</v>
      </c>
      <c r="F3" s="202" t="s">
        <v>16</v>
      </c>
      <c r="G3" s="202" t="s">
        <v>17</v>
      </c>
      <c r="H3" s="202" t="s">
        <v>26</v>
      </c>
      <c r="I3" s="202" t="s">
        <v>15</v>
      </c>
      <c r="J3" s="202" t="s">
        <v>64</v>
      </c>
      <c r="K3" s="203">
        <v>1021500</v>
      </c>
      <c r="L3" s="202" t="s">
        <v>173</v>
      </c>
      <c r="M3" s="204" t="s">
        <v>14</v>
      </c>
    </row>
    <row r="4" spans="1:14" ht="15.5">
      <c r="A4" s="202" t="s">
        <v>763</v>
      </c>
      <c r="B4" s="202" t="s">
        <v>766</v>
      </c>
      <c r="C4" s="202" t="s">
        <v>840</v>
      </c>
      <c r="D4" s="202" t="s">
        <v>843</v>
      </c>
      <c r="E4" s="202" t="s">
        <v>917</v>
      </c>
      <c r="F4" s="202" t="s">
        <v>16</v>
      </c>
      <c r="G4" s="202" t="s">
        <v>17</v>
      </c>
      <c r="H4" s="202" t="s">
        <v>26</v>
      </c>
      <c r="I4" s="202" t="s">
        <v>15</v>
      </c>
      <c r="J4" s="202" t="s">
        <v>64</v>
      </c>
      <c r="K4" s="203">
        <v>1248500</v>
      </c>
      <c r="L4" s="202" t="s">
        <v>173</v>
      </c>
      <c r="M4" s="204" t="s">
        <v>14</v>
      </c>
    </row>
    <row r="5" spans="1:14" ht="15.5">
      <c r="A5" s="202" t="s">
        <v>763</v>
      </c>
      <c r="B5" s="202" t="s">
        <v>767</v>
      </c>
      <c r="C5" s="202" t="s">
        <v>840</v>
      </c>
      <c r="D5" s="202" t="s">
        <v>844</v>
      </c>
      <c r="E5" s="202" t="s">
        <v>917</v>
      </c>
      <c r="F5" s="202" t="s">
        <v>16</v>
      </c>
      <c r="G5" s="202" t="s">
        <v>17</v>
      </c>
      <c r="H5" s="202" t="s">
        <v>26</v>
      </c>
      <c r="I5" s="202" t="s">
        <v>15</v>
      </c>
      <c r="J5" s="202" t="s">
        <v>64</v>
      </c>
      <c r="K5" s="203">
        <v>1475500</v>
      </c>
      <c r="L5" s="202" t="s">
        <v>173</v>
      </c>
      <c r="M5" s="204" t="s">
        <v>14</v>
      </c>
    </row>
    <row r="6" spans="1:14" ht="15.5">
      <c r="A6" s="202" t="s">
        <v>763</v>
      </c>
      <c r="B6" s="202" t="s">
        <v>768</v>
      </c>
      <c r="C6" s="202" t="s">
        <v>840</v>
      </c>
      <c r="D6" s="202" t="s">
        <v>845</v>
      </c>
      <c r="E6" s="202" t="s">
        <v>917</v>
      </c>
      <c r="F6" s="202" t="s">
        <v>16</v>
      </c>
      <c r="G6" s="202" t="s">
        <v>17</v>
      </c>
      <c r="H6" s="202" t="s">
        <v>26</v>
      </c>
      <c r="I6" s="202" t="s">
        <v>15</v>
      </c>
      <c r="J6" s="202" t="s">
        <v>64</v>
      </c>
      <c r="K6" s="203">
        <v>1679800</v>
      </c>
      <c r="L6" s="202" t="s">
        <v>173</v>
      </c>
      <c r="M6" s="204" t="s">
        <v>14</v>
      </c>
    </row>
    <row r="7" spans="1:14" ht="15.5">
      <c r="A7" s="202" t="s">
        <v>763</v>
      </c>
      <c r="B7" s="202" t="s">
        <v>769</v>
      </c>
      <c r="C7" s="202" t="s">
        <v>840</v>
      </c>
      <c r="D7" s="202" t="s">
        <v>846</v>
      </c>
      <c r="E7" s="202" t="s">
        <v>917</v>
      </c>
      <c r="F7" s="202" t="s">
        <v>16</v>
      </c>
      <c r="G7" s="202" t="s">
        <v>17</v>
      </c>
      <c r="H7" s="202" t="s">
        <v>26</v>
      </c>
      <c r="I7" s="202" t="s">
        <v>15</v>
      </c>
      <c r="J7" s="202" t="s">
        <v>64</v>
      </c>
      <c r="K7" s="203">
        <v>1986250</v>
      </c>
      <c r="L7" s="202" t="s">
        <v>173</v>
      </c>
      <c r="M7" s="204" t="s">
        <v>14</v>
      </c>
    </row>
    <row r="8" spans="1:14" ht="15.5">
      <c r="A8" s="202" t="s">
        <v>763</v>
      </c>
      <c r="B8" s="202" t="s">
        <v>770</v>
      </c>
      <c r="C8" s="202" t="s">
        <v>840</v>
      </c>
      <c r="D8" s="202" t="s">
        <v>847</v>
      </c>
      <c r="E8" s="202" t="s">
        <v>917</v>
      </c>
      <c r="F8" s="202" t="s">
        <v>16</v>
      </c>
      <c r="G8" s="202" t="s">
        <v>17</v>
      </c>
      <c r="H8" s="202" t="s">
        <v>26</v>
      </c>
      <c r="I8" s="202" t="s">
        <v>15</v>
      </c>
      <c r="J8" s="202" t="s">
        <v>64</v>
      </c>
      <c r="K8" s="203">
        <v>2099750</v>
      </c>
      <c r="L8" s="202" t="s">
        <v>173</v>
      </c>
      <c r="M8" s="204" t="s">
        <v>14</v>
      </c>
    </row>
    <row r="9" spans="1:14" ht="15.5">
      <c r="A9" s="202" t="s">
        <v>763</v>
      </c>
      <c r="B9" s="202" t="s">
        <v>9200</v>
      </c>
      <c r="C9" s="202" t="s">
        <v>840</v>
      </c>
      <c r="D9" s="202" t="s">
        <v>9201</v>
      </c>
      <c r="E9" s="202" t="s">
        <v>168</v>
      </c>
      <c r="F9" s="202" t="s">
        <v>16</v>
      </c>
      <c r="G9" s="202" t="s">
        <v>17</v>
      </c>
      <c r="H9" s="202" t="s">
        <v>26</v>
      </c>
      <c r="I9" s="202" t="s">
        <v>15</v>
      </c>
      <c r="J9" s="202" t="s">
        <v>918</v>
      </c>
      <c r="K9" s="203">
        <v>7661250</v>
      </c>
      <c r="L9" s="202" t="s">
        <v>2057</v>
      </c>
      <c r="M9" s="204" t="s">
        <v>14</v>
      </c>
    </row>
    <row r="10" spans="1:14" ht="15.5">
      <c r="A10" s="202" t="s">
        <v>763</v>
      </c>
      <c r="B10" s="202" t="s">
        <v>9202</v>
      </c>
      <c r="C10" s="202" t="s">
        <v>840</v>
      </c>
      <c r="D10" s="202" t="s">
        <v>9203</v>
      </c>
      <c r="E10" s="202" t="s">
        <v>168</v>
      </c>
      <c r="F10" s="202" t="s">
        <v>16</v>
      </c>
      <c r="G10" s="202" t="s">
        <v>17</v>
      </c>
      <c r="H10" s="202" t="s">
        <v>26</v>
      </c>
      <c r="I10" s="202" t="s">
        <v>15</v>
      </c>
      <c r="J10" s="202" t="s">
        <v>918</v>
      </c>
      <c r="K10" s="203">
        <v>30815250</v>
      </c>
      <c r="L10" s="202" t="s">
        <v>2057</v>
      </c>
      <c r="M10" s="204" t="s">
        <v>14</v>
      </c>
    </row>
    <row r="11" spans="1:14" ht="15.5">
      <c r="A11" s="202" t="s">
        <v>763</v>
      </c>
      <c r="B11" s="202" t="s">
        <v>9204</v>
      </c>
      <c r="C11" s="202" t="s">
        <v>840</v>
      </c>
      <c r="D11" s="202" t="s">
        <v>9205</v>
      </c>
      <c r="E11" s="202" t="s">
        <v>168</v>
      </c>
      <c r="F11" s="202" t="s">
        <v>16</v>
      </c>
      <c r="G11" s="202" t="s">
        <v>17</v>
      </c>
      <c r="H11" s="202" t="s">
        <v>26</v>
      </c>
      <c r="I11" s="202" t="s">
        <v>15</v>
      </c>
      <c r="J11" s="202" t="s">
        <v>918</v>
      </c>
      <c r="K11" s="203">
        <v>41541000</v>
      </c>
      <c r="L11" s="202" t="s">
        <v>2057</v>
      </c>
      <c r="M11" s="204" t="s">
        <v>14</v>
      </c>
    </row>
    <row r="12" spans="1:14" ht="15.5">
      <c r="A12" s="202" t="s">
        <v>763</v>
      </c>
      <c r="B12" s="202" t="s">
        <v>9206</v>
      </c>
      <c r="C12" s="202" t="s">
        <v>840</v>
      </c>
      <c r="D12" s="202" t="s">
        <v>844</v>
      </c>
      <c r="E12" s="202" t="s">
        <v>168</v>
      </c>
      <c r="F12" s="202" t="s">
        <v>16</v>
      </c>
      <c r="G12" s="202" t="s">
        <v>17</v>
      </c>
      <c r="H12" s="202" t="s">
        <v>26</v>
      </c>
      <c r="I12" s="202" t="s">
        <v>15</v>
      </c>
      <c r="J12" s="202" t="s">
        <v>918</v>
      </c>
      <c r="K12" s="203">
        <v>52096500</v>
      </c>
      <c r="L12" s="202" t="s">
        <v>2057</v>
      </c>
      <c r="M12" s="204" t="s">
        <v>14</v>
      </c>
    </row>
    <row r="13" spans="1:14" ht="15.5">
      <c r="A13" s="202" t="s">
        <v>763</v>
      </c>
      <c r="B13" s="202" t="s">
        <v>9207</v>
      </c>
      <c r="C13" s="202" t="s">
        <v>840</v>
      </c>
      <c r="D13" s="202" t="s">
        <v>845</v>
      </c>
      <c r="E13" s="202" t="s">
        <v>168</v>
      </c>
      <c r="F13" s="202" t="s">
        <v>16</v>
      </c>
      <c r="G13" s="202" t="s">
        <v>17</v>
      </c>
      <c r="H13" s="202" t="s">
        <v>26</v>
      </c>
      <c r="I13" s="202" t="s">
        <v>15</v>
      </c>
      <c r="J13" s="202" t="s">
        <v>918</v>
      </c>
      <c r="K13" s="203">
        <v>62595250</v>
      </c>
      <c r="L13" s="202" t="s">
        <v>2057</v>
      </c>
      <c r="M13" s="204" t="s">
        <v>14</v>
      </c>
    </row>
    <row r="14" spans="1:14" ht="15.5">
      <c r="A14" s="202" t="s">
        <v>763</v>
      </c>
      <c r="B14" s="202" t="s">
        <v>9208</v>
      </c>
      <c r="C14" s="202" t="s">
        <v>840</v>
      </c>
      <c r="D14" s="202" t="s">
        <v>9209</v>
      </c>
      <c r="E14" s="202" t="s">
        <v>168</v>
      </c>
      <c r="F14" s="202" t="s">
        <v>16</v>
      </c>
      <c r="G14" s="202" t="s">
        <v>17</v>
      </c>
      <c r="H14" s="202" t="s">
        <v>26</v>
      </c>
      <c r="I14" s="202" t="s">
        <v>15</v>
      </c>
      <c r="J14" s="202" t="s">
        <v>918</v>
      </c>
      <c r="K14" s="203">
        <v>72810250</v>
      </c>
      <c r="L14" s="202" t="s">
        <v>2057</v>
      </c>
      <c r="M14" s="204" t="s">
        <v>14</v>
      </c>
    </row>
    <row r="15" spans="1:14" ht="15.5">
      <c r="A15" s="202" t="s">
        <v>763</v>
      </c>
      <c r="B15" s="202" t="s">
        <v>9210</v>
      </c>
      <c r="C15" s="202" t="s">
        <v>840</v>
      </c>
      <c r="D15" s="202" t="s">
        <v>847</v>
      </c>
      <c r="E15" s="202" t="s">
        <v>168</v>
      </c>
      <c r="F15" s="202" t="s">
        <v>16</v>
      </c>
      <c r="G15" s="202" t="s">
        <v>17</v>
      </c>
      <c r="H15" s="202" t="s">
        <v>26</v>
      </c>
      <c r="I15" s="202" t="s">
        <v>15</v>
      </c>
      <c r="J15" s="202" t="s">
        <v>918</v>
      </c>
      <c r="K15" s="203">
        <v>96475000</v>
      </c>
      <c r="L15" s="202" t="s">
        <v>2057</v>
      </c>
      <c r="M15" s="204" t="s">
        <v>14</v>
      </c>
    </row>
    <row r="16" spans="1:14" ht="15.5">
      <c r="A16" s="202" t="s">
        <v>763</v>
      </c>
      <c r="B16" s="202" t="s">
        <v>771</v>
      </c>
      <c r="C16" s="202" t="s">
        <v>840</v>
      </c>
      <c r="D16" s="202" t="s">
        <v>848</v>
      </c>
      <c r="E16" s="202" t="s">
        <v>917</v>
      </c>
      <c r="F16" s="202" t="s">
        <v>16</v>
      </c>
      <c r="G16" s="202" t="s">
        <v>17</v>
      </c>
      <c r="H16" s="202" t="s">
        <v>26</v>
      </c>
      <c r="I16" s="202" t="s">
        <v>15</v>
      </c>
      <c r="J16" s="202" t="s">
        <v>64</v>
      </c>
      <c r="K16" s="203">
        <v>964750</v>
      </c>
      <c r="L16" s="202" t="s">
        <v>173</v>
      </c>
      <c r="M16" s="204" t="s">
        <v>14</v>
      </c>
    </row>
    <row r="17" spans="1:13" ht="15.5">
      <c r="A17" s="202" t="s">
        <v>763</v>
      </c>
      <c r="B17" s="202" t="s">
        <v>772</v>
      </c>
      <c r="C17" s="202" t="s">
        <v>840</v>
      </c>
      <c r="D17" s="202" t="s">
        <v>849</v>
      </c>
      <c r="E17" s="202" t="s">
        <v>917</v>
      </c>
      <c r="F17" s="202" t="s">
        <v>16</v>
      </c>
      <c r="G17" s="202" t="s">
        <v>17</v>
      </c>
      <c r="H17" s="202" t="s">
        <v>26</v>
      </c>
      <c r="I17" s="202" t="s">
        <v>15</v>
      </c>
      <c r="J17" s="202" t="s">
        <v>64</v>
      </c>
      <c r="K17" s="203">
        <v>1305250</v>
      </c>
      <c r="L17" s="202" t="s">
        <v>173</v>
      </c>
      <c r="M17" s="204" t="s">
        <v>14</v>
      </c>
    </row>
    <row r="18" spans="1:13" ht="15.5">
      <c r="A18" s="202" t="s">
        <v>763</v>
      </c>
      <c r="B18" s="202" t="s">
        <v>773</v>
      </c>
      <c r="C18" s="202" t="s">
        <v>840</v>
      </c>
      <c r="D18" s="202" t="s">
        <v>850</v>
      </c>
      <c r="E18" s="202" t="s">
        <v>917</v>
      </c>
      <c r="F18" s="202" t="s">
        <v>16</v>
      </c>
      <c r="G18" s="202" t="s">
        <v>17</v>
      </c>
      <c r="H18" s="202" t="s">
        <v>26</v>
      </c>
      <c r="I18" s="202" t="s">
        <v>15</v>
      </c>
      <c r="J18" s="202" t="s">
        <v>64</v>
      </c>
      <c r="K18" s="203">
        <v>1532250</v>
      </c>
      <c r="L18" s="202" t="s">
        <v>173</v>
      </c>
      <c r="M18" s="204" t="s">
        <v>14</v>
      </c>
    </row>
    <row r="19" spans="1:13" ht="15.5">
      <c r="A19" s="202" t="s">
        <v>763</v>
      </c>
      <c r="B19" s="202" t="s">
        <v>774</v>
      </c>
      <c r="C19" s="202" t="s">
        <v>840</v>
      </c>
      <c r="D19" s="202" t="s">
        <v>851</v>
      </c>
      <c r="E19" s="202" t="s">
        <v>917</v>
      </c>
      <c r="F19" s="202" t="s">
        <v>16</v>
      </c>
      <c r="G19" s="202" t="s">
        <v>17</v>
      </c>
      <c r="H19" s="202" t="s">
        <v>26</v>
      </c>
      <c r="I19" s="202" t="s">
        <v>15</v>
      </c>
      <c r="J19" s="202" t="s">
        <v>64</v>
      </c>
      <c r="K19" s="203">
        <v>1759250</v>
      </c>
      <c r="L19" s="202" t="s">
        <v>173</v>
      </c>
      <c r="M19" s="204" t="s">
        <v>14</v>
      </c>
    </row>
    <row r="20" spans="1:13" ht="15.5">
      <c r="A20" s="202" t="s">
        <v>763</v>
      </c>
      <c r="B20" s="202" t="s">
        <v>775</v>
      </c>
      <c r="C20" s="202" t="s">
        <v>840</v>
      </c>
      <c r="D20" s="202" t="s">
        <v>852</v>
      </c>
      <c r="E20" s="202" t="s">
        <v>917</v>
      </c>
      <c r="F20" s="202" t="s">
        <v>16</v>
      </c>
      <c r="G20" s="202" t="s">
        <v>17</v>
      </c>
      <c r="H20" s="202" t="s">
        <v>26</v>
      </c>
      <c r="I20" s="202" t="s">
        <v>15</v>
      </c>
      <c r="J20" s="202" t="s">
        <v>64</v>
      </c>
      <c r="K20" s="203">
        <v>2099750</v>
      </c>
      <c r="L20" s="202" t="s">
        <v>173</v>
      </c>
      <c r="M20" s="204" t="s">
        <v>14</v>
      </c>
    </row>
    <row r="21" spans="1:13" ht="15.5">
      <c r="A21" s="202" t="s">
        <v>763</v>
      </c>
      <c r="B21" s="202" t="s">
        <v>776</v>
      </c>
      <c r="C21" s="202" t="s">
        <v>840</v>
      </c>
      <c r="D21" s="202" t="s">
        <v>853</v>
      </c>
      <c r="E21" s="202" t="s">
        <v>917</v>
      </c>
      <c r="F21" s="202" t="s">
        <v>16</v>
      </c>
      <c r="G21" s="202" t="s">
        <v>17</v>
      </c>
      <c r="H21" s="202" t="s">
        <v>26</v>
      </c>
      <c r="I21" s="202" t="s">
        <v>15</v>
      </c>
      <c r="J21" s="202" t="s">
        <v>64</v>
      </c>
      <c r="K21" s="203">
        <v>2440250</v>
      </c>
      <c r="L21" s="202" t="s">
        <v>173</v>
      </c>
      <c r="M21" s="204" t="s">
        <v>14</v>
      </c>
    </row>
    <row r="22" spans="1:13" ht="15.5">
      <c r="A22" s="202" t="s">
        <v>763</v>
      </c>
      <c r="B22" s="202" t="s">
        <v>9211</v>
      </c>
      <c r="C22" s="202" t="s">
        <v>840</v>
      </c>
      <c r="D22" s="202" t="s">
        <v>848</v>
      </c>
      <c r="E22" s="202" t="s">
        <v>168</v>
      </c>
      <c r="F22" s="202" t="s">
        <v>16</v>
      </c>
      <c r="G22" s="202" t="s">
        <v>17</v>
      </c>
      <c r="H22" s="202" t="s">
        <v>26</v>
      </c>
      <c r="I22" s="202" t="s">
        <v>15</v>
      </c>
      <c r="J22" s="202" t="s">
        <v>918</v>
      </c>
      <c r="K22" s="203">
        <v>29680250</v>
      </c>
      <c r="L22" s="202" t="s">
        <v>2057</v>
      </c>
      <c r="M22" s="204" t="s">
        <v>14</v>
      </c>
    </row>
    <row r="23" spans="1:13" ht="15.5">
      <c r="A23" s="202" t="s">
        <v>763</v>
      </c>
      <c r="B23" s="202" t="s">
        <v>9212</v>
      </c>
      <c r="C23" s="202" t="s">
        <v>840</v>
      </c>
      <c r="D23" s="202" t="s">
        <v>849</v>
      </c>
      <c r="E23" s="202" t="s">
        <v>168</v>
      </c>
      <c r="F23" s="202" t="s">
        <v>16</v>
      </c>
      <c r="G23" s="202" t="s">
        <v>17</v>
      </c>
      <c r="H23" s="202" t="s">
        <v>26</v>
      </c>
      <c r="I23" s="202" t="s">
        <v>15</v>
      </c>
      <c r="J23" s="202" t="s">
        <v>918</v>
      </c>
      <c r="K23" s="203">
        <v>42732750</v>
      </c>
      <c r="L23" s="202" t="s">
        <v>2057</v>
      </c>
      <c r="M23" s="204" t="s">
        <v>14</v>
      </c>
    </row>
    <row r="24" spans="1:13" ht="15.5">
      <c r="A24" s="202" t="s">
        <v>763</v>
      </c>
      <c r="B24" s="202" t="s">
        <v>9213</v>
      </c>
      <c r="C24" s="202" t="s">
        <v>840</v>
      </c>
      <c r="D24" s="202" t="s">
        <v>850</v>
      </c>
      <c r="E24" s="202" t="s">
        <v>168</v>
      </c>
      <c r="F24" s="202" t="s">
        <v>16</v>
      </c>
      <c r="G24" s="202" t="s">
        <v>17</v>
      </c>
      <c r="H24" s="202" t="s">
        <v>26</v>
      </c>
      <c r="I24" s="202" t="s">
        <v>15</v>
      </c>
      <c r="J24" s="202" t="s">
        <v>918</v>
      </c>
      <c r="K24" s="203">
        <v>52153250</v>
      </c>
      <c r="L24" s="202" t="s">
        <v>2057</v>
      </c>
      <c r="M24" s="204" t="s">
        <v>14</v>
      </c>
    </row>
    <row r="25" spans="1:13" ht="15.5">
      <c r="A25" s="202" t="s">
        <v>763</v>
      </c>
      <c r="B25" s="202" t="s">
        <v>9214</v>
      </c>
      <c r="C25" s="202" t="s">
        <v>840</v>
      </c>
      <c r="D25" s="202" t="s">
        <v>851</v>
      </c>
      <c r="E25" s="202" t="s">
        <v>168</v>
      </c>
      <c r="F25" s="202" t="s">
        <v>16</v>
      </c>
      <c r="G25" s="202" t="s">
        <v>17</v>
      </c>
      <c r="H25" s="202" t="s">
        <v>26</v>
      </c>
      <c r="I25" s="202" t="s">
        <v>15</v>
      </c>
      <c r="J25" s="202" t="s">
        <v>918</v>
      </c>
      <c r="K25" s="203">
        <v>62595250</v>
      </c>
      <c r="L25" s="202" t="s">
        <v>2057</v>
      </c>
      <c r="M25" s="204" t="s">
        <v>14</v>
      </c>
    </row>
    <row r="26" spans="1:13" ht="15.5">
      <c r="A26" s="202" t="s">
        <v>763</v>
      </c>
      <c r="B26" s="202" t="s">
        <v>9215</v>
      </c>
      <c r="C26" s="202" t="s">
        <v>840</v>
      </c>
      <c r="D26" s="202" t="s">
        <v>852</v>
      </c>
      <c r="E26" s="202" t="s">
        <v>168</v>
      </c>
      <c r="F26" s="202" t="s">
        <v>16</v>
      </c>
      <c r="G26" s="202" t="s">
        <v>17</v>
      </c>
      <c r="H26" s="202" t="s">
        <v>26</v>
      </c>
      <c r="I26" s="202" t="s">
        <v>15</v>
      </c>
      <c r="J26" s="202" t="s">
        <v>918</v>
      </c>
      <c r="K26" s="203">
        <v>72810250</v>
      </c>
      <c r="L26" s="202" t="s">
        <v>2057</v>
      </c>
      <c r="M26" s="204" t="s">
        <v>14</v>
      </c>
    </row>
    <row r="27" spans="1:13" ht="15.5">
      <c r="A27" s="202" t="s">
        <v>763</v>
      </c>
      <c r="B27" s="202" t="s">
        <v>9216</v>
      </c>
      <c r="C27" s="202" t="s">
        <v>840</v>
      </c>
      <c r="D27" s="202" t="s">
        <v>853</v>
      </c>
      <c r="E27" s="202" t="s">
        <v>168</v>
      </c>
      <c r="F27" s="202" t="s">
        <v>16</v>
      </c>
      <c r="G27" s="202" t="s">
        <v>17</v>
      </c>
      <c r="H27" s="202" t="s">
        <v>26</v>
      </c>
      <c r="I27" s="202" t="s">
        <v>15</v>
      </c>
      <c r="J27" s="202" t="s">
        <v>918</v>
      </c>
      <c r="K27" s="203">
        <v>95510250</v>
      </c>
      <c r="L27" s="202" t="s">
        <v>2057</v>
      </c>
      <c r="M27" s="204" t="s">
        <v>14</v>
      </c>
    </row>
    <row r="28" spans="1:13" ht="15.5">
      <c r="A28" s="202" t="s">
        <v>763</v>
      </c>
      <c r="B28" s="202" t="s">
        <v>777</v>
      </c>
      <c r="C28" s="202" t="s">
        <v>840</v>
      </c>
      <c r="D28" s="202" t="s">
        <v>854</v>
      </c>
      <c r="E28" s="202" t="s">
        <v>917</v>
      </c>
      <c r="F28" s="202" t="s">
        <v>16</v>
      </c>
      <c r="G28" s="202" t="s">
        <v>17</v>
      </c>
      <c r="H28" s="202" t="s">
        <v>26</v>
      </c>
      <c r="I28" s="202" t="s">
        <v>15</v>
      </c>
      <c r="J28" s="202" t="s">
        <v>64</v>
      </c>
      <c r="K28" s="203">
        <v>283750</v>
      </c>
      <c r="L28" s="202" t="s">
        <v>173</v>
      </c>
      <c r="M28" s="204" t="s">
        <v>14</v>
      </c>
    </row>
    <row r="29" spans="1:13" ht="15.5">
      <c r="A29" s="202" t="s">
        <v>763</v>
      </c>
      <c r="B29" s="202" t="s">
        <v>778</v>
      </c>
      <c r="C29" s="202" t="s">
        <v>840</v>
      </c>
      <c r="D29" s="202" t="s">
        <v>855</v>
      </c>
      <c r="E29" s="202" t="s">
        <v>917</v>
      </c>
      <c r="F29" s="202" t="s">
        <v>16</v>
      </c>
      <c r="G29" s="202" t="s">
        <v>17</v>
      </c>
      <c r="H29" s="202" t="s">
        <v>26</v>
      </c>
      <c r="I29" s="202" t="s">
        <v>15</v>
      </c>
      <c r="J29" s="202" t="s">
        <v>64</v>
      </c>
      <c r="K29" s="203">
        <v>964750</v>
      </c>
      <c r="L29" s="202" t="s">
        <v>173</v>
      </c>
      <c r="M29" s="204" t="s">
        <v>14</v>
      </c>
    </row>
    <row r="30" spans="1:13" ht="15.5">
      <c r="A30" s="202" t="s">
        <v>763</v>
      </c>
      <c r="B30" s="202" t="s">
        <v>779</v>
      </c>
      <c r="C30" s="202" t="s">
        <v>840</v>
      </c>
      <c r="D30" s="202" t="s">
        <v>856</v>
      </c>
      <c r="E30" s="202" t="s">
        <v>917</v>
      </c>
      <c r="F30" s="202" t="s">
        <v>16</v>
      </c>
      <c r="G30" s="202" t="s">
        <v>17</v>
      </c>
      <c r="H30" s="202" t="s">
        <v>26</v>
      </c>
      <c r="I30" s="202" t="s">
        <v>15</v>
      </c>
      <c r="J30" s="202" t="s">
        <v>64</v>
      </c>
      <c r="K30" s="203">
        <v>1305250</v>
      </c>
      <c r="L30" s="202" t="s">
        <v>173</v>
      </c>
      <c r="M30" s="204" t="s">
        <v>14</v>
      </c>
    </row>
    <row r="31" spans="1:13" ht="15.5">
      <c r="A31" s="202" t="s">
        <v>763</v>
      </c>
      <c r="B31" s="202" t="s">
        <v>780</v>
      </c>
      <c r="C31" s="202" t="s">
        <v>840</v>
      </c>
      <c r="D31" s="202" t="s">
        <v>857</v>
      </c>
      <c r="E31" s="202" t="s">
        <v>917</v>
      </c>
      <c r="F31" s="202" t="s">
        <v>16</v>
      </c>
      <c r="G31" s="202" t="s">
        <v>17</v>
      </c>
      <c r="H31" s="202" t="s">
        <v>26</v>
      </c>
      <c r="I31" s="202" t="s">
        <v>15</v>
      </c>
      <c r="J31" s="202" t="s">
        <v>64</v>
      </c>
      <c r="K31" s="203">
        <v>1532250</v>
      </c>
      <c r="L31" s="202" t="s">
        <v>173</v>
      </c>
      <c r="M31" s="204" t="s">
        <v>14</v>
      </c>
    </row>
    <row r="32" spans="1:13" ht="15.5">
      <c r="A32" s="202" t="s">
        <v>763</v>
      </c>
      <c r="B32" s="202" t="s">
        <v>781</v>
      </c>
      <c r="C32" s="202" t="s">
        <v>840</v>
      </c>
      <c r="D32" s="202" t="s">
        <v>858</v>
      </c>
      <c r="E32" s="202" t="s">
        <v>917</v>
      </c>
      <c r="F32" s="202" t="s">
        <v>16</v>
      </c>
      <c r="G32" s="202" t="s">
        <v>17</v>
      </c>
      <c r="H32" s="202" t="s">
        <v>26</v>
      </c>
      <c r="I32" s="202" t="s">
        <v>15</v>
      </c>
      <c r="J32" s="202" t="s">
        <v>64</v>
      </c>
      <c r="K32" s="203">
        <v>1645750</v>
      </c>
      <c r="L32" s="202" t="s">
        <v>173</v>
      </c>
      <c r="M32" s="204" t="s">
        <v>14</v>
      </c>
    </row>
    <row r="33" spans="1:13" ht="15.5">
      <c r="A33" s="202" t="s">
        <v>763</v>
      </c>
      <c r="B33" s="202" t="s">
        <v>782</v>
      </c>
      <c r="C33" s="202" t="s">
        <v>840</v>
      </c>
      <c r="D33" s="202" t="s">
        <v>859</v>
      </c>
      <c r="E33" s="202" t="s">
        <v>917</v>
      </c>
      <c r="F33" s="202" t="s">
        <v>16</v>
      </c>
      <c r="G33" s="202" t="s">
        <v>17</v>
      </c>
      <c r="H33" s="202" t="s">
        <v>26</v>
      </c>
      <c r="I33" s="202" t="s">
        <v>15</v>
      </c>
      <c r="J33" s="202" t="s">
        <v>64</v>
      </c>
      <c r="K33" s="203">
        <v>1986250</v>
      </c>
      <c r="L33" s="202" t="s">
        <v>173</v>
      </c>
      <c r="M33" s="204" t="s">
        <v>14</v>
      </c>
    </row>
    <row r="34" spans="1:13" ht="15.5">
      <c r="A34" s="202" t="s">
        <v>763</v>
      </c>
      <c r="B34" s="202" t="s">
        <v>783</v>
      </c>
      <c r="C34" s="202" t="s">
        <v>840</v>
      </c>
      <c r="D34" s="202" t="s">
        <v>860</v>
      </c>
      <c r="E34" s="202" t="s">
        <v>917</v>
      </c>
      <c r="F34" s="202" t="s">
        <v>16</v>
      </c>
      <c r="G34" s="202" t="s">
        <v>17</v>
      </c>
      <c r="H34" s="202" t="s">
        <v>26</v>
      </c>
      <c r="I34" s="202" t="s">
        <v>15</v>
      </c>
      <c r="J34" s="202" t="s">
        <v>64</v>
      </c>
      <c r="K34" s="203">
        <v>2440250</v>
      </c>
      <c r="L34" s="202" t="s">
        <v>173</v>
      </c>
      <c r="M34" s="204" t="s">
        <v>14</v>
      </c>
    </row>
    <row r="35" spans="1:13" ht="15.5">
      <c r="A35" s="202" t="s">
        <v>763</v>
      </c>
      <c r="B35" s="202" t="s">
        <v>9217</v>
      </c>
      <c r="C35" s="202" t="s">
        <v>840</v>
      </c>
      <c r="D35" s="202" t="s">
        <v>854</v>
      </c>
      <c r="E35" s="202" t="s">
        <v>168</v>
      </c>
      <c r="F35" s="202" t="s">
        <v>16</v>
      </c>
      <c r="G35" s="202" t="s">
        <v>17</v>
      </c>
      <c r="H35" s="202" t="s">
        <v>26</v>
      </c>
      <c r="I35" s="202" t="s">
        <v>15</v>
      </c>
      <c r="J35" s="202" t="s">
        <v>918</v>
      </c>
      <c r="K35" s="203">
        <v>11917500</v>
      </c>
      <c r="L35" s="202" t="s">
        <v>2057</v>
      </c>
      <c r="M35" s="204" t="s">
        <v>14</v>
      </c>
    </row>
    <row r="36" spans="1:13" ht="15.5">
      <c r="A36" s="202" t="s">
        <v>763</v>
      </c>
      <c r="B36" s="202" t="s">
        <v>9218</v>
      </c>
      <c r="C36" s="202" t="s">
        <v>840</v>
      </c>
      <c r="D36" s="202" t="s">
        <v>9219</v>
      </c>
      <c r="E36" s="202" t="s">
        <v>168</v>
      </c>
      <c r="F36" s="202" t="s">
        <v>16</v>
      </c>
      <c r="G36" s="202" t="s">
        <v>17</v>
      </c>
      <c r="H36" s="202" t="s">
        <v>26</v>
      </c>
      <c r="I36" s="202" t="s">
        <v>15</v>
      </c>
      <c r="J36" s="202" t="s">
        <v>918</v>
      </c>
      <c r="K36" s="203">
        <v>24041570</v>
      </c>
      <c r="L36" s="202" t="s">
        <v>2057</v>
      </c>
      <c r="M36" s="204" t="s">
        <v>14</v>
      </c>
    </row>
    <row r="37" spans="1:13" ht="15.5">
      <c r="A37" s="202" t="s">
        <v>763</v>
      </c>
      <c r="B37" s="202" t="s">
        <v>9220</v>
      </c>
      <c r="C37" s="202" t="s">
        <v>840</v>
      </c>
      <c r="D37" s="202" t="s">
        <v>856</v>
      </c>
      <c r="E37" s="202" t="s">
        <v>168</v>
      </c>
      <c r="F37" s="202" t="s">
        <v>16</v>
      </c>
      <c r="G37" s="202" t="s">
        <v>17</v>
      </c>
      <c r="H37" s="202" t="s">
        <v>26</v>
      </c>
      <c r="I37" s="202" t="s">
        <v>15</v>
      </c>
      <c r="J37" s="202" t="s">
        <v>918</v>
      </c>
      <c r="K37" s="203">
        <v>41484250</v>
      </c>
      <c r="L37" s="202" t="s">
        <v>2057</v>
      </c>
      <c r="M37" s="204" t="s">
        <v>14</v>
      </c>
    </row>
    <row r="38" spans="1:13" ht="15.5">
      <c r="A38" s="202" t="s">
        <v>763</v>
      </c>
      <c r="B38" s="202" t="s">
        <v>9221</v>
      </c>
      <c r="C38" s="202" t="s">
        <v>840</v>
      </c>
      <c r="D38" s="202" t="s">
        <v>857</v>
      </c>
      <c r="E38" s="202" t="s">
        <v>168</v>
      </c>
      <c r="F38" s="202" t="s">
        <v>16</v>
      </c>
      <c r="G38" s="202" t="s">
        <v>17</v>
      </c>
      <c r="H38" s="202" t="s">
        <v>26</v>
      </c>
      <c r="I38" s="202" t="s">
        <v>15</v>
      </c>
      <c r="J38" s="202" t="s">
        <v>918</v>
      </c>
      <c r="K38" s="203">
        <v>51018250</v>
      </c>
      <c r="L38" s="202" t="s">
        <v>2057</v>
      </c>
      <c r="M38" s="204" t="s">
        <v>14</v>
      </c>
    </row>
    <row r="39" spans="1:13" ht="15.5">
      <c r="A39" s="202" t="s">
        <v>763</v>
      </c>
      <c r="B39" s="202" t="s">
        <v>9222</v>
      </c>
      <c r="C39" s="202" t="s">
        <v>840</v>
      </c>
      <c r="D39" s="202" t="s">
        <v>858</v>
      </c>
      <c r="E39" s="202" t="s">
        <v>168</v>
      </c>
      <c r="F39" s="202" t="s">
        <v>16</v>
      </c>
      <c r="G39" s="202" t="s">
        <v>17</v>
      </c>
      <c r="H39" s="202" t="s">
        <v>26</v>
      </c>
      <c r="I39" s="202" t="s">
        <v>15</v>
      </c>
      <c r="J39" s="202" t="s">
        <v>918</v>
      </c>
      <c r="K39" s="203">
        <v>61006250</v>
      </c>
      <c r="L39" s="202" t="s">
        <v>2057</v>
      </c>
      <c r="M39" s="204" t="s">
        <v>14</v>
      </c>
    </row>
    <row r="40" spans="1:13" ht="15.5">
      <c r="A40" s="202" t="s">
        <v>763</v>
      </c>
      <c r="B40" s="202" t="s">
        <v>9223</v>
      </c>
      <c r="C40" s="202" t="s">
        <v>840</v>
      </c>
      <c r="D40" s="202" t="s">
        <v>859</v>
      </c>
      <c r="E40" s="202" t="s">
        <v>168</v>
      </c>
      <c r="F40" s="202" t="s">
        <v>16</v>
      </c>
      <c r="G40" s="202" t="s">
        <v>17</v>
      </c>
      <c r="H40" s="202" t="s">
        <v>26</v>
      </c>
      <c r="I40" s="202" t="s">
        <v>15</v>
      </c>
      <c r="J40" s="202" t="s">
        <v>918</v>
      </c>
      <c r="K40" s="203">
        <v>70540250</v>
      </c>
      <c r="L40" s="202" t="s">
        <v>2057</v>
      </c>
      <c r="M40" s="204" t="s">
        <v>14</v>
      </c>
    </row>
    <row r="41" spans="1:13" ht="15.5">
      <c r="A41" s="202" t="s">
        <v>763</v>
      </c>
      <c r="B41" s="202" t="s">
        <v>9224</v>
      </c>
      <c r="C41" s="202" t="s">
        <v>840</v>
      </c>
      <c r="D41" s="202" t="s">
        <v>860</v>
      </c>
      <c r="E41" s="202" t="s">
        <v>168</v>
      </c>
      <c r="F41" s="202" t="s">
        <v>16</v>
      </c>
      <c r="G41" s="202" t="s">
        <v>17</v>
      </c>
      <c r="H41" s="202" t="s">
        <v>26</v>
      </c>
      <c r="I41" s="202" t="s">
        <v>15</v>
      </c>
      <c r="J41" s="202" t="s">
        <v>918</v>
      </c>
      <c r="K41" s="203">
        <v>92672750</v>
      </c>
      <c r="L41" s="202" t="s">
        <v>2057</v>
      </c>
      <c r="M41" s="204" t="s">
        <v>14</v>
      </c>
    </row>
    <row r="42" spans="1:13" ht="15.5">
      <c r="A42" s="202" t="s">
        <v>763</v>
      </c>
      <c r="B42" s="202" t="s">
        <v>784</v>
      </c>
      <c r="C42" s="202" t="s">
        <v>840</v>
      </c>
      <c r="D42" s="202" t="s">
        <v>861</v>
      </c>
      <c r="E42" s="202" t="s">
        <v>917</v>
      </c>
      <c r="F42" s="202" t="s">
        <v>16</v>
      </c>
      <c r="G42" s="202" t="s">
        <v>17</v>
      </c>
      <c r="H42" s="202" t="s">
        <v>26</v>
      </c>
      <c r="I42" s="202" t="s">
        <v>15</v>
      </c>
      <c r="J42" s="202" t="s">
        <v>64</v>
      </c>
      <c r="K42" s="203">
        <v>737750</v>
      </c>
      <c r="L42" s="202" t="s">
        <v>173</v>
      </c>
      <c r="M42" s="204" t="s">
        <v>14</v>
      </c>
    </row>
    <row r="43" spans="1:13" ht="15.5">
      <c r="A43" s="202" t="s">
        <v>763</v>
      </c>
      <c r="B43" s="202" t="s">
        <v>785</v>
      </c>
      <c r="C43" s="202" t="s">
        <v>840</v>
      </c>
      <c r="D43" s="202" t="s">
        <v>862</v>
      </c>
      <c r="E43" s="202" t="s">
        <v>917</v>
      </c>
      <c r="F43" s="202" t="s">
        <v>16</v>
      </c>
      <c r="G43" s="202" t="s">
        <v>17</v>
      </c>
      <c r="H43" s="202" t="s">
        <v>26</v>
      </c>
      <c r="I43" s="202" t="s">
        <v>15</v>
      </c>
      <c r="J43" s="202" t="s">
        <v>64</v>
      </c>
      <c r="K43" s="203">
        <v>964750</v>
      </c>
      <c r="L43" s="202" t="s">
        <v>173</v>
      </c>
      <c r="M43" s="204" t="s">
        <v>14</v>
      </c>
    </row>
    <row r="44" spans="1:13" ht="15.5">
      <c r="A44" s="202" t="s">
        <v>763</v>
      </c>
      <c r="B44" s="202" t="s">
        <v>786</v>
      </c>
      <c r="C44" s="202" t="s">
        <v>840</v>
      </c>
      <c r="D44" s="202" t="s">
        <v>863</v>
      </c>
      <c r="E44" s="202" t="s">
        <v>917</v>
      </c>
      <c r="F44" s="202" t="s">
        <v>16</v>
      </c>
      <c r="G44" s="202" t="s">
        <v>17</v>
      </c>
      <c r="H44" s="202" t="s">
        <v>26</v>
      </c>
      <c r="I44" s="202" t="s">
        <v>15</v>
      </c>
      <c r="J44" s="202" t="s">
        <v>64</v>
      </c>
      <c r="K44" s="203">
        <v>1078250</v>
      </c>
      <c r="L44" s="202" t="s">
        <v>173</v>
      </c>
      <c r="M44" s="204" t="s">
        <v>14</v>
      </c>
    </row>
    <row r="45" spans="1:13" ht="15.5">
      <c r="A45" s="202" t="s">
        <v>763</v>
      </c>
      <c r="B45" s="202" t="s">
        <v>787</v>
      </c>
      <c r="C45" s="202" t="s">
        <v>840</v>
      </c>
      <c r="D45" s="202" t="s">
        <v>864</v>
      </c>
      <c r="E45" s="202" t="s">
        <v>917</v>
      </c>
      <c r="F45" s="202" t="s">
        <v>16</v>
      </c>
      <c r="G45" s="202" t="s">
        <v>17</v>
      </c>
      <c r="H45" s="202" t="s">
        <v>26</v>
      </c>
      <c r="I45" s="202" t="s">
        <v>15</v>
      </c>
      <c r="J45" s="202" t="s">
        <v>64</v>
      </c>
      <c r="K45" s="203">
        <v>1248500</v>
      </c>
      <c r="L45" s="202" t="s">
        <v>173</v>
      </c>
      <c r="M45" s="204" t="s">
        <v>14</v>
      </c>
    </row>
    <row r="46" spans="1:13" ht="15.5">
      <c r="A46" s="202" t="s">
        <v>763</v>
      </c>
      <c r="B46" s="202" t="s">
        <v>788</v>
      </c>
      <c r="C46" s="202" t="s">
        <v>840</v>
      </c>
      <c r="D46" s="202" t="s">
        <v>865</v>
      </c>
      <c r="E46" s="202" t="s">
        <v>917</v>
      </c>
      <c r="F46" s="202" t="s">
        <v>16</v>
      </c>
      <c r="G46" s="202" t="s">
        <v>17</v>
      </c>
      <c r="H46" s="202" t="s">
        <v>26</v>
      </c>
      <c r="I46" s="202" t="s">
        <v>15</v>
      </c>
      <c r="J46" s="202" t="s">
        <v>64</v>
      </c>
      <c r="K46" s="203">
        <v>1418750</v>
      </c>
      <c r="L46" s="202" t="s">
        <v>173</v>
      </c>
      <c r="M46" s="204" t="s">
        <v>14</v>
      </c>
    </row>
    <row r="47" spans="1:13" ht="15.5">
      <c r="A47" s="202" t="s">
        <v>763</v>
      </c>
      <c r="B47" s="202" t="s">
        <v>789</v>
      </c>
      <c r="C47" s="202" t="s">
        <v>840</v>
      </c>
      <c r="D47" s="202" t="s">
        <v>866</v>
      </c>
      <c r="E47" s="202" t="s">
        <v>917</v>
      </c>
      <c r="F47" s="202" t="s">
        <v>16</v>
      </c>
      <c r="G47" s="202" t="s">
        <v>17</v>
      </c>
      <c r="H47" s="202" t="s">
        <v>26</v>
      </c>
      <c r="I47" s="202" t="s">
        <v>15</v>
      </c>
      <c r="J47" s="202" t="s">
        <v>64</v>
      </c>
      <c r="K47" s="203">
        <v>1816000</v>
      </c>
      <c r="L47" s="202" t="s">
        <v>173</v>
      </c>
      <c r="M47" s="204" t="s">
        <v>14</v>
      </c>
    </row>
    <row r="48" spans="1:13" ht="15.5">
      <c r="A48" s="202" t="s">
        <v>763</v>
      </c>
      <c r="B48" s="202" t="s">
        <v>9225</v>
      </c>
      <c r="C48" s="202" t="s">
        <v>840</v>
      </c>
      <c r="D48" s="202" t="s">
        <v>861</v>
      </c>
      <c r="E48" s="202" t="s">
        <v>168</v>
      </c>
      <c r="F48" s="202" t="s">
        <v>16</v>
      </c>
      <c r="G48" s="202" t="s">
        <v>17</v>
      </c>
      <c r="H48" s="202" t="s">
        <v>26</v>
      </c>
      <c r="I48" s="202" t="s">
        <v>15</v>
      </c>
      <c r="J48" s="202" t="s">
        <v>918</v>
      </c>
      <c r="K48" s="203">
        <v>20146250</v>
      </c>
      <c r="L48" s="202" t="s">
        <v>2057</v>
      </c>
      <c r="M48" s="204" t="s">
        <v>14</v>
      </c>
    </row>
    <row r="49" spans="1:13" ht="15.5">
      <c r="A49" s="202" t="s">
        <v>763</v>
      </c>
      <c r="B49" s="202" t="s">
        <v>9226</v>
      </c>
      <c r="C49" s="202" t="s">
        <v>840</v>
      </c>
      <c r="D49" s="202" t="s">
        <v>862</v>
      </c>
      <c r="E49" s="202" t="s">
        <v>168</v>
      </c>
      <c r="F49" s="202" t="s">
        <v>16</v>
      </c>
      <c r="G49" s="202" t="s">
        <v>17</v>
      </c>
      <c r="H49" s="202" t="s">
        <v>26</v>
      </c>
      <c r="I49" s="202" t="s">
        <v>15</v>
      </c>
      <c r="J49" s="202" t="s">
        <v>918</v>
      </c>
      <c r="K49" s="203">
        <v>28091250</v>
      </c>
      <c r="L49" s="202" t="s">
        <v>2057</v>
      </c>
      <c r="M49" s="204" t="s">
        <v>14</v>
      </c>
    </row>
    <row r="50" spans="1:13" ht="15.5">
      <c r="A50" s="202" t="s">
        <v>763</v>
      </c>
      <c r="B50" s="202" t="s">
        <v>9227</v>
      </c>
      <c r="C50" s="202" t="s">
        <v>840</v>
      </c>
      <c r="D50" s="202" t="s">
        <v>863</v>
      </c>
      <c r="E50" s="202" t="s">
        <v>168</v>
      </c>
      <c r="F50" s="202" t="s">
        <v>16</v>
      </c>
      <c r="G50" s="202" t="s">
        <v>17</v>
      </c>
      <c r="H50" s="202" t="s">
        <v>26</v>
      </c>
      <c r="I50" s="202" t="s">
        <v>15</v>
      </c>
      <c r="J50" s="202" t="s">
        <v>918</v>
      </c>
      <c r="K50" s="203">
        <v>33482500</v>
      </c>
      <c r="L50" s="202" t="s">
        <v>2057</v>
      </c>
      <c r="M50" s="204" t="s">
        <v>14</v>
      </c>
    </row>
    <row r="51" spans="1:13" ht="15.5">
      <c r="A51" s="202" t="s">
        <v>763</v>
      </c>
      <c r="B51" s="202" t="s">
        <v>9228</v>
      </c>
      <c r="C51" s="202" t="s">
        <v>840</v>
      </c>
      <c r="D51" s="202" t="s">
        <v>864</v>
      </c>
      <c r="E51" s="202" t="s">
        <v>168</v>
      </c>
      <c r="F51" s="202" t="s">
        <v>16</v>
      </c>
      <c r="G51" s="202" t="s">
        <v>17</v>
      </c>
      <c r="H51" s="202" t="s">
        <v>26</v>
      </c>
      <c r="I51" s="202" t="s">
        <v>15</v>
      </c>
      <c r="J51" s="202" t="s">
        <v>918</v>
      </c>
      <c r="K51" s="203">
        <v>36263250</v>
      </c>
      <c r="L51" s="202" t="s">
        <v>2057</v>
      </c>
      <c r="M51" s="204" t="s">
        <v>14</v>
      </c>
    </row>
    <row r="52" spans="1:13" ht="15.5">
      <c r="A52" s="202" t="s">
        <v>763</v>
      </c>
      <c r="B52" s="202" t="s">
        <v>9229</v>
      </c>
      <c r="C52" s="202" t="s">
        <v>840</v>
      </c>
      <c r="D52" s="202" t="s">
        <v>865</v>
      </c>
      <c r="E52" s="202" t="s">
        <v>168</v>
      </c>
      <c r="F52" s="202" t="s">
        <v>16</v>
      </c>
      <c r="G52" s="202" t="s">
        <v>17</v>
      </c>
      <c r="H52" s="202" t="s">
        <v>26</v>
      </c>
      <c r="I52" s="202" t="s">
        <v>15</v>
      </c>
      <c r="J52" s="202" t="s">
        <v>918</v>
      </c>
      <c r="K52" s="203">
        <v>46364750</v>
      </c>
      <c r="L52" s="202" t="s">
        <v>2057</v>
      </c>
      <c r="M52" s="204" t="s">
        <v>14</v>
      </c>
    </row>
    <row r="53" spans="1:13" ht="15.5">
      <c r="A53" s="202" t="s">
        <v>763</v>
      </c>
      <c r="B53" s="202" t="s">
        <v>9230</v>
      </c>
      <c r="C53" s="202" t="s">
        <v>840</v>
      </c>
      <c r="D53" s="202" t="s">
        <v>866</v>
      </c>
      <c r="E53" s="202" t="s">
        <v>168</v>
      </c>
      <c r="F53" s="202" t="s">
        <v>16</v>
      </c>
      <c r="G53" s="202" t="s">
        <v>17</v>
      </c>
      <c r="H53" s="202" t="s">
        <v>26</v>
      </c>
      <c r="I53" s="202" t="s">
        <v>15</v>
      </c>
      <c r="J53" s="202" t="s">
        <v>918</v>
      </c>
      <c r="K53" s="203">
        <v>68724250</v>
      </c>
      <c r="L53" s="202" t="s">
        <v>2057</v>
      </c>
      <c r="M53" s="204" t="s">
        <v>14</v>
      </c>
    </row>
    <row r="54" spans="1:13" ht="15.5">
      <c r="A54" s="202" t="s">
        <v>763</v>
      </c>
      <c r="B54" s="202" t="s">
        <v>790</v>
      </c>
      <c r="C54" s="202" t="s">
        <v>840</v>
      </c>
      <c r="D54" s="202" t="s">
        <v>867</v>
      </c>
      <c r="E54" s="202" t="s">
        <v>917</v>
      </c>
      <c r="F54" s="202" t="s">
        <v>16</v>
      </c>
      <c r="G54" s="202" t="s">
        <v>17</v>
      </c>
      <c r="H54" s="202" t="s">
        <v>26</v>
      </c>
      <c r="I54" s="202" t="s">
        <v>15</v>
      </c>
      <c r="J54" s="202" t="s">
        <v>64</v>
      </c>
      <c r="K54" s="203">
        <v>2099750</v>
      </c>
      <c r="L54" s="202" t="s">
        <v>173</v>
      </c>
      <c r="M54" s="204" t="s">
        <v>14</v>
      </c>
    </row>
    <row r="55" spans="1:13" ht="15.5">
      <c r="A55" s="202" t="s">
        <v>763</v>
      </c>
      <c r="B55" s="202" t="s">
        <v>791</v>
      </c>
      <c r="C55" s="202" t="s">
        <v>840</v>
      </c>
      <c r="D55" s="202" t="s">
        <v>868</v>
      </c>
      <c r="E55" s="202" t="s">
        <v>917</v>
      </c>
      <c r="F55" s="202" t="s">
        <v>16</v>
      </c>
      <c r="G55" s="202" t="s">
        <v>17</v>
      </c>
      <c r="H55" s="202" t="s">
        <v>26</v>
      </c>
      <c r="I55" s="202" t="s">
        <v>15</v>
      </c>
      <c r="J55" s="202" t="s">
        <v>64</v>
      </c>
      <c r="K55" s="203">
        <v>3575250</v>
      </c>
      <c r="L55" s="202" t="s">
        <v>173</v>
      </c>
      <c r="M55" s="204" t="s">
        <v>14</v>
      </c>
    </row>
    <row r="56" spans="1:13" ht="15.5">
      <c r="A56" s="202" t="s">
        <v>763</v>
      </c>
      <c r="B56" s="202" t="s">
        <v>792</v>
      </c>
      <c r="C56" s="202" t="s">
        <v>840</v>
      </c>
      <c r="D56" s="202" t="s">
        <v>869</v>
      </c>
      <c r="E56" s="202" t="s">
        <v>917</v>
      </c>
      <c r="F56" s="202" t="s">
        <v>16</v>
      </c>
      <c r="G56" s="202" t="s">
        <v>17</v>
      </c>
      <c r="H56" s="202" t="s">
        <v>26</v>
      </c>
      <c r="I56" s="202" t="s">
        <v>15</v>
      </c>
      <c r="J56" s="202" t="s">
        <v>64</v>
      </c>
      <c r="K56" s="203">
        <v>4857800</v>
      </c>
      <c r="L56" s="202" t="s">
        <v>173</v>
      </c>
      <c r="M56" s="204" t="s">
        <v>14</v>
      </c>
    </row>
    <row r="57" spans="1:13" ht="15.5">
      <c r="A57" s="202" t="s">
        <v>763</v>
      </c>
      <c r="B57" s="202" t="s">
        <v>793</v>
      </c>
      <c r="C57" s="202" t="s">
        <v>840</v>
      </c>
      <c r="D57" s="202" t="s">
        <v>870</v>
      </c>
      <c r="E57" s="202" t="s">
        <v>917</v>
      </c>
      <c r="F57" s="202" t="s">
        <v>16</v>
      </c>
      <c r="G57" s="202" t="s">
        <v>17</v>
      </c>
      <c r="H57" s="202" t="s">
        <v>26</v>
      </c>
      <c r="I57" s="202" t="s">
        <v>15</v>
      </c>
      <c r="J57" s="202" t="s">
        <v>64</v>
      </c>
      <c r="K57" s="203">
        <v>7037000</v>
      </c>
      <c r="L57" s="202" t="s">
        <v>173</v>
      </c>
      <c r="M57" s="204" t="s">
        <v>14</v>
      </c>
    </row>
    <row r="58" spans="1:13" ht="15.5">
      <c r="A58" s="202" t="s">
        <v>763</v>
      </c>
      <c r="B58" s="202" t="s">
        <v>794</v>
      </c>
      <c r="C58" s="202" t="s">
        <v>840</v>
      </c>
      <c r="D58" s="202" t="s">
        <v>871</v>
      </c>
      <c r="E58" s="202" t="s">
        <v>917</v>
      </c>
      <c r="F58" s="202" t="s">
        <v>16</v>
      </c>
      <c r="G58" s="202" t="s">
        <v>17</v>
      </c>
      <c r="H58" s="202" t="s">
        <v>26</v>
      </c>
      <c r="I58" s="202" t="s">
        <v>15</v>
      </c>
      <c r="J58" s="202" t="s">
        <v>64</v>
      </c>
      <c r="K58" s="203">
        <v>7320750</v>
      </c>
      <c r="L58" s="202" t="s">
        <v>173</v>
      </c>
      <c r="M58" s="204" t="s">
        <v>14</v>
      </c>
    </row>
    <row r="59" spans="1:13" ht="15.5">
      <c r="A59" s="202" t="s">
        <v>763</v>
      </c>
      <c r="B59" s="202" t="s">
        <v>795</v>
      </c>
      <c r="C59" s="202" t="s">
        <v>840</v>
      </c>
      <c r="D59" s="202" t="s">
        <v>872</v>
      </c>
      <c r="E59" s="202" t="s">
        <v>917</v>
      </c>
      <c r="F59" s="202" t="s">
        <v>16</v>
      </c>
      <c r="G59" s="202" t="s">
        <v>17</v>
      </c>
      <c r="H59" s="202" t="s">
        <v>26</v>
      </c>
      <c r="I59" s="202" t="s">
        <v>15</v>
      </c>
      <c r="J59" s="202" t="s">
        <v>64</v>
      </c>
      <c r="K59" s="203">
        <v>7718000</v>
      </c>
      <c r="L59" s="202" t="s">
        <v>173</v>
      </c>
      <c r="M59" s="204" t="s">
        <v>14</v>
      </c>
    </row>
    <row r="60" spans="1:13" ht="15.5">
      <c r="A60" s="202" t="s">
        <v>763</v>
      </c>
      <c r="B60" s="202" t="s">
        <v>9231</v>
      </c>
      <c r="C60" s="202" t="s">
        <v>840</v>
      </c>
      <c r="D60" s="202" t="s">
        <v>867</v>
      </c>
      <c r="E60" s="202" t="s">
        <v>168</v>
      </c>
      <c r="F60" s="202" t="s">
        <v>16</v>
      </c>
      <c r="G60" s="202" t="s">
        <v>17</v>
      </c>
      <c r="H60" s="202" t="s">
        <v>26</v>
      </c>
      <c r="I60" s="202" t="s">
        <v>15</v>
      </c>
      <c r="J60" s="202" t="s">
        <v>918</v>
      </c>
      <c r="K60" s="203">
        <v>66284000</v>
      </c>
      <c r="L60" s="202" t="s">
        <v>2057</v>
      </c>
      <c r="M60" s="204" t="s">
        <v>14</v>
      </c>
    </row>
    <row r="61" spans="1:13" ht="15.5">
      <c r="A61" s="202" t="s">
        <v>763</v>
      </c>
      <c r="B61" s="202" t="s">
        <v>9232</v>
      </c>
      <c r="C61" s="202" t="s">
        <v>840</v>
      </c>
      <c r="D61" s="202" t="s">
        <v>868</v>
      </c>
      <c r="E61" s="202" t="s">
        <v>168</v>
      </c>
      <c r="F61" s="202" t="s">
        <v>16</v>
      </c>
      <c r="G61" s="202" t="s">
        <v>17</v>
      </c>
      <c r="H61" s="202" t="s">
        <v>26</v>
      </c>
      <c r="I61" s="202" t="s">
        <v>15</v>
      </c>
      <c r="J61" s="202" t="s">
        <v>918</v>
      </c>
      <c r="K61" s="203">
        <v>126779500</v>
      </c>
      <c r="L61" s="202" t="s">
        <v>2057</v>
      </c>
      <c r="M61" s="204" t="s">
        <v>14</v>
      </c>
    </row>
    <row r="62" spans="1:13" ht="15.5">
      <c r="A62" s="202" t="s">
        <v>763</v>
      </c>
      <c r="B62" s="202" t="s">
        <v>9233</v>
      </c>
      <c r="C62" s="202" t="s">
        <v>840</v>
      </c>
      <c r="D62" s="202" t="s">
        <v>869</v>
      </c>
      <c r="E62" s="202" t="s">
        <v>168</v>
      </c>
      <c r="F62" s="202" t="s">
        <v>16</v>
      </c>
      <c r="G62" s="202" t="s">
        <v>17</v>
      </c>
      <c r="H62" s="202" t="s">
        <v>26</v>
      </c>
      <c r="I62" s="202" t="s">
        <v>15</v>
      </c>
      <c r="J62" s="202" t="s">
        <v>918</v>
      </c>
      <c r="K62" s="203">
        <v>168207000</v>
      </c>
      <c r="L62" s="202" t="s">
        <v>2057</v>
      </c>
      <c r="M62" s="204" t="s">
        <v>14</v>
      </c>
    </row>
    <row r="63" spans="1:13" ht="15.5">
      <c r="A63" s="202" t="s">
        <v>763</v>
      </c>
      <c r="B63" s="202" t="s">
        <v>9234</v>
      </c>
      <c r="C63" s="202" t="s">
        <v>840</v>
      </c>
      <c r="D63" s="202" t="s">
        <v>870</v>
      </c>
      <c r="E63" s="202" t="s">
        <v>168</v>
      </c>
      <c r="F63" s="202" t="s">
        <v>16</v>
      </c>
      <c r="G63" s="202" t="s">
        <v>17</v>
      </c>
      <c r="H63" s="202" t="s">
        <v>26</v>
      </c>
      <c r="I63" s="202" t="s">
        <v>15</v>
      </c>
      <c r="J63" s="202" t="s">
        <v>918</v>
      </c>
      <c r="K63" s="203">
        <v>261901250</v>
      </c>
      <c r="L63" s="202" t="s">
        <v>2057</v>
      </c>
      <c r="M63" s="204" t="s">
        <v>14</v>
      </c>
    </row>
    <row r="64" spans="1:13" ht="15.5">
      <c r="A64" s="202" t="s">
        <v>763</v>
      </c>
      <c r="B64" s="202" t="s">
        <v>9235</v>
      </c>
      <c r="C64" s="202" t="s">
        <v>840</v>
      </c>
      <c r="D64" s="202" t="s">
        <v>871</v>
      </c>
      <c r="E64" s="202" t="s">
        <v>168</v>
      </c>
      <c r="F64" s="202" t="s">
        <v>16</v>
      </c>
      <c r="G64" s="202" t="s">
        <v>17</v>
      </c>
      <c r="H64" s="202" t="s">
        <v>26</v>
      </c>
      <c r="I64" s="202" t="s">
        <v>15</v>
      </c>
      <c r="J64" s="202" t="s">
        <v>918</v>
      </c>
      <c r="K64" s="203">
        <v>272400000</v>
      </c>
      <c r="L64" s="202" t="s">
        <v>2057</v>
      </c>
      <c r="M64" s="204" t="s">
        <v>14</v>
      </c>
    </row>
    <row r="65" spans="1:13" ht="15.5">
      <c r="A65" s="202" t="s">
        <v>763</v>
      </c>
      <c r="B65" s="202" t="s">
        <v>9236</v>
      </c>
      <c r="C65" s="202" t="s">
        <v>840</v>
      </c>
      <c r="D65" s="202" t="s">
        <v>872</v>
      </c>
      <c r="E65" s="202" t="s">
        <v>168</v>
      </c>
      <c r="F65" s="202" t="s">
        <v>16</v>
      </c>
      <c r="G65" s="202" t="s">
        <v>17</v>
      </c>
      <c r="H65" s="202" t="s">
        <v>26</v>
      </c>
      <c r="I65" s="202" t="s">
        <v>15</v>
      </c>
      <c r="J65" s="202" t="s">
        <v>918</v>
      </c>
      <c r="K65" s="203">
        <v>295100000</v>
      </c>
      <c r="L65" s="202" t="s">
        <v>2057</v>
      </c>
      <c r="M65" s="204" t="s">
        <v>14</v>
      </c>
    </row>
    <row r="66" spans="1:13" ht="15.5">
      <c r="A66" s="202" t="s">
        <v>763</v>
      </c>
      <c r="B66" s="202" t="s">
        <v>796</v>
      </c>
      <c r="C66" s="202" t="s">
        <v>840</v>
      </c>
      <c r="D66" s="202" t="s">
        <v>873</v>
      </c>
      <c r="E66" s="202" t="s">
        <v>917</v>
      </c>
      <c r="F66" s="202" t="s">
        <v>16</v>
      </c>
      <c r="G66" s="202" t="s">
        <v>17</v>
      </c>
      <c r="H66" s="202" t="s">
        <v>26</v>
      </c>
      <c r="I66" s="202" t="s">
        <v>15</v>
      </c>
      <c r="J66" s="202" t="s">
        <v>64</v>
      </c>
      <c r="K66" s="203">
        <v>2951000</v>
      </c>
      <c r="L66" s="202" t="s">
        <v>173</v>
      </c>
      <c r="M66" s="204" t="s">
        <v>14</v>
      </c>
    </row>
    <row r="67" spans="1:13" ht="15.5">
      <c r="A67" s="202" t="s">
        <v>763</v>
      </c>
      <c r="B67" s="202" t="s">
        <v>797</v>
      </c>
      <c r="C67" s="202" t="s">
        <v>840</v>
      </c>
      <c r="D67" s="202" t="s">
        <v>874</v>
      </c>
      <c r="E67" s="202" t="s">
        <v>917</v>
      </c>
      <c r="F67" s="202" t="s">
        <v>16</v>
      </c>
      <c r="G67" s="202" t="s">
        <v>17</v>
      </c>
      <c r="H67" s="202" t="s">
        <v>26</v>
      </c>
      <c r="I67" s="202" t="s">
        <v>15</v>
      </c>
      <c r="J67" s="202" t="s">
        <v>64</v>
      </c>
      <c r="K67" s="203">
        <v>4994000</v>
      </c>
      <c r="L67" s="202" t="s">
        <v>173</v>
      </c>
      <c r="M67" s="204" t="s">
        <v>14</v>
      </c>
    </row>
    <row r="68" spans="1:13" ht="15.5">
      <c r="A68" s="202" t="s">
        <v>763</v>
      </c>
      <c r="B68" s="202" t="s">
        <v>798</v>
      </c>
      <c r="C68" s="202" t="s">
        <v>840</v>
      </c>
      <c r="D68" s="202" t="s">
        <v>875</v>
      </c>
      <c r="E68" s="202" t="s">
        <v>917</v>
      </c>
      <c r="F68" s="202" t="s">
        <v>16</v>
      </c>
      <c r="G68" s="202" t="s">
        <v>17</v>
      </c>
      <c r="H68" s="202" t="s">
        <v>26</v>
      </c>
      <c r="I68" s="202" t="s">
        <v>15</v>
      </c>
      <c r="J68" s="202" t="s">
        <v>64</v>
      </c>
      <c r="K68" s="203">
        <v>6787300</v>
      </c>
      <c r="L68" s="202" t="s">
        <v>173</v>
      </c>
      <c r="M68" s="204" t="s">
        <v>14</v>
      </c>
    </row>
    <row r="69" spans="1:13" ht="15.5">
      <c r="A69" s="202" t="s">
        <v>763</v>
      </c>
      <c r="B69" s="202" t="s">
        <v>799</v>
      </c>
      <c r="C69" s="202" t="s">
        <v>840</v>
      </c>
      <c r="D69" s="202" t="s">
        <v>876</v>
      </c>
      <c r="E69" s="202" t="s">
        <v>917</v>
      </c>
      <c r="F69" s="202" t="s">
        <v>16</v>
      </c>
      <c r="G69" s="202" t="s">
        <v>17</v>
      </c>
      <c r="H69" s="202" t="s">
        <v>26</v>
      </c>
      <c r="I69" s="202" t="s">
        <v>15</v>
      </c>
      <c r="J69" s="202" t="s">
        <v>64</v>
      </c>
      <c r="K69" s="203">
        <v>10044750</v>
      </c>
      <c r="L69" s="202" t="s">
        <v>173</v>
      </c>
      <c r="M69" s="204" t="s">
        <v>14</v>
      </c>
    </row>
    <row r="70" spans="1:13" ht="15.5">
      <c r="A70" s="202" t="s">
        <v>763</v>
      </c>
      <c r="B70" s="202" t="s">
        <v>800</v>
      </c>
      <c r="C70" s="202" t="s">
        <v>840</v>
      </c>
      <c r="D70" s="202" t="s">
        <v>877</v>
      </c>
      <c r="E70" s="202" t="s">
        <v>917</v>
      </c>
      <c r="F70" s="202" t="s">
        <v>16</v>
      </c>
      <c r="G70" s="202" t="s">
        <v>17</v>
      </c>
      <c r="H70" s="202" t="s">
        <v>26</v>
      </c>
      <c r="I70" s="202" t="s">
        <v>15</v>
      </c>
      <c r="J70" s="202" t="s">
        <v>64</v>
      </c>
      <c r="K70" s="203">
        <v>10328500</v>
      </c>
      <c r="L70" s="202" t="s">
        <v>173</v>
      </c>
      <c r="M70" s="204" t="s">
        <v>14</v>
      </c>
    </row>
    <row r="71" spans="1:13" ht="15.5">
      <c r="A71" s="202" t="s">
        <v>763</v>
      </c>
      <c r="B71" s="202" t="s">
        <v>801</v>
      </c>
      <c r="C71" s="202" t="s">
        <v>840</v>
      </c>
      <c r="D71" s="202" t="s">
        <v>878</v>
      </c>
      <c r="E71" s="202" t="s">
        <v>917</v>
      </c>
      <c r="F71" s="202" t="s">
        <v>16</v>
      </c>
      <c r="G71" s="202" t="s">
        <v>17</v>
      </c>
      <c r="H71" s="202" t="s">
        <v>26</v>
      </c>
      <c r="I71" s="202" t="s">
        <v>15</v>
      </c>
      <c r="J71" s="202" t="s">
        <v>64</v>
      </c>
      <c r="K71" s="203">
        <v>10952750</v>
      </c>
      <c r="L71" s="202" t="s">
        <v>173</v>
      </c>
      <c r="M71" s="204" t="s">
        <v>14</v>
      </c>
    </row>
    <row r="72" spans="1:13" ht="15.5">
      <c r="A72" s="202" t="s">
        <v>763</v>
      </c>
      <c r="B72" s="202" t="s">
        <v>9237</v>
      </c>
      <c r="C72" s="202" t="s">
        <v>840</v>
      </c>
      <c r="D72" s="202" t="s">
        <v>873</v>
      </c>
      <c r="E72" s="202" t="s">
        <v>168</v>
      </c>
      <c r="F72" s="202" t="s">
        <v>16</v>
      </c>
      <c r="G72" s="202" t="s">
        <v>17</v>
      </c>
      <c r="H72" s="202" t="s">
        <v>26</v>
      </c>
      <c r="I72" s="202" t="s">
        <v>15</v>
      </c>
      <c r="J72" s="202" t="s">
        <v>918</v>
      </c>
      <c r="K72" s="203">
        <v>97076550</v>
      </c>
      <c r="L72" s="202" t="s">
        <v>2057</v>
      </c>
      <c r="M72" s="204" t="s">
        <v>14</v>
      </c>
    </row>
    <row r="73" spans="1:13" ht="15.5">
      <c r="A73" s="202" t="s">
        <v>763</v>
      </c>
      <c r="B73" s="202" t="s">
        <v>9238</v>
      </c>
      <c r="C73" s="202" t="s">
        <v>840</v>
      </c>
      <c r="D73" s="202" t="s">
        <v>874</v>
      </c>
      <c r="E73" s="202" t="s">
        <v>168</v>
      </c>
      <c r="F73" s="202" t="s">
        <v>16</v>
      </c>
      <c r="G73" s="202" t="s">
        <v>17</v>
      </c>
      <c r="H73" s="202" t="s">
        <v>26</v>
      </c>
      <c r="I73" s="202" t="s">
        <v>15</v>
      </c>
      <c r="J73" s="202" t="s">
        <v>918</v>
      </c>
      <c r="K73" s="203">
        <v>181600000</v>
      </c>
      <c r="L73" s="202" t="s">
        <v>2057</v>
      </c>
      <c r="M73" s="204" t="s">
        <v>14</v>
      </c>
    </row>
    <row r="74" spans="1:13" ht="15.5">
      <c r="A74" s="202" t="s">
        <v>763</v>
      </c>
      <c r="B74" s="202" t="s">
        <v>9239</v>
      </c>
      <c r="C74" s="202" t="s">
        <v>840</v>
      </c>
      <c r="D74" s="202" t="s">
        <v>875</v>
      </c>
      <c r="E74" s="202" t="s">
        <v>168</v>
      </c>
      <c r="F74" s="202" t="s">
        <v>16</v>
      </c>
      <c r="G74" s="202" t="s">
        <v>17</v>
      </c>
      <c r="H74" s="202" t="s">
        <v>26</v>
      </c>
      <c r="I74" s="202" t="s">
        <v>15</v>
      </c>
      <c r="J74" s="202" t="s">
        <v>918</v>
      </c>
      <c r="K74" s="203">
        <v>238350000</v>
      </c>
      <c r="L74" s="202" t="s">
        <v>2057</v>
      </c>
      <c r="M74" s="204" t="s">
        <v>14</v>
      </c>
    </row>
    <row r="75" spans="1:13" ht="15.5">
      <c r="A75" s="202" t="s">
        <v>763</v>
      </c>
      <c r="B75" s="202" t="s">
        <v>9240</v>
      </c>
      <c r="C75" s="202" t="s">
        <v>840</v>
      </c>
      <c r="D75" s="202" t="s">
        <v>876</v>
      </c>
      <c r="E75" s="202" t="s">
        <v>168</v>
      </c>
      <c r="F75" s="202" t="s">
        <v>16</v>
      </c>
      <c r="G75" s="202" t="s">
        <v>17</v>
      </c>
      <c r="H75" s="202" t="s">
        <v>26</v>
      </c>
      <c r="I75" s="202" t="s">
        <v>15</v>
      </c>
      <c r="J75" s="202" t="s">
        <v>918</v>
      </c>
      <c r="K75" s="203">
        <v>379090000</v>
      </c>
      <c r="L75" s="202" t="s">
        <v>2057</v>
      </c>
      <c r="M75" s="204" t="s">
        <v>14</v>
      </c>
    </row>
    <row r="76" spans="1:13" ht="15.5">
      <c r="A76" s="202" t="s">
        <v>763</v>
      </c>
      <c r="B76" s="202" t="s">
        <v>9241</v>
      </c>
      <c r="C76" s="202" t="s">
        <v>840</v>
      </c>
      <c r="D76" s="202" t="s">
        <v>877</v>
      </c>
      <c r="E76" s="202" t="s">
        <v>168</v>
      </c>
      <c r="F76" s="202" t="s">
        <v>16</v>
      </c>
      <c r="G76" s="202" t="s">
        <v>17</v>
      </c>
      <c r="H76" s="202" t="s">
        <v>26</v>
      </c>
      <c r="I76" s="202" t="s">
        <v>15</v>
      </c>
      <c r="J76" s="202" t="s">
        <v>918</v>
      </c>
      <c r="K76" s="203">
        <v>388170000</v>
      </c>
      <c r="L76" s="202" t="s">
        <v>2057</v>
      </c>
      <c r="M76" s="204" t="s">
        <v>14</v>
      </c>
    </row>
    <row r="77" spans="1:13" ht="15.5">
      <c r="A77" s="202" t="s">
        <v>763</v>
      </c>
      <c r="B77" s="202" t="s">
        <v>9242</v>
      </c>
      <c r="C77" s="202" t="s">
        <v>840</v>
      </c>
      <c r="D77" s="202" t="s">
        <v>878</v>
      </c>
      <c r="E77" s="202" t="s">
        <v>168</v>
      </c>
      <c r="F77" s="202" t="s">
        <v>16</v>
      </c>
      <c r="G77" s="202" t="s">
        <v>17</v>
      </c>
      <c r="H77" s="202" t="s">
        <v>26</v>
      </c>
      <c r="I77" s="202" t="s">
        <v>15</v>
      </c>
      <c r="J77" s="202" t="s">
        <v>918</v>
      </c>
      <c r="K77" s="203">
        <v>410870000</v>
      </c>
      <c r="L77" s="202" t="s">
        <v>2057</v>
      </c>
      <c r="M77" s="204" t="s">
        <v>14</v>
      </c>
    </row>
    <row r="78" spans="1:13" ht="15.5">
      <c r="A78" s="202" t="s">
        <v>763</v>
      </c>
      <c r="B78" s="202" t="s">
        <v>802</v>
      </c>
      <c r="C78" s="202" t="s">
        <v>840</v>
      </c>
      <c r="D78" s="202" t="s">
        <v>879</v>
      </c>
      <c r="E78" s="202" t="s">
        <v>917</v>
      </c>
      <c r="F78" s="202" t="s">
        <v>16</v>
      </c>
      <c r="G78" s="202" t="s">
        <v>17</v>
      </c>
      <c r="H78" s="202" t="s">
        <v>26</v>
      </c>
      <c r="I78" s="202" t="s">
        <v>15</v>
      </c>
      <c r="J78" s="202" t="s">
        <v>64</v>
      </c>
      <c r="K78" s="203">
        <v>873950</v>
      </c>
      <c r="L78" s="202" t="s">
        <v>173</v>
      </c>
      <c r="M78" s="204" t="s">
        <v>14</v>
      </c>
    </row>
    <row r="79" spans="1:13" ht="15.5">
      <c r="A79" s="202" t="s">
        <v>763</v>
      </c>
      <c r="B79" s="202" t="s">
        <v>803</v>
      </c>
      <c r="C79" s="202" t="s">
        <v>840</v>
      </c>
      <c r="D79" s="202" t="s">
        <v>880</v>
      </c>
      <c r="E79" s="202" t="s">
        <v>917</v>
      </c>
      <c r="F79" s="202" t="s">
        <v>16</v>
      </c>
      <c r="G79" s="202" t="s">
        <v>17</v>
      </c>
      <c r="H79" s="202" t="s">
        <v>26</v>
      </c>
      <c r="I79" s="202" t="s">
        <v>15</v>
      </c>
      <c r="J79" s="202" t="s">
        <v>64</v>
      </c>
      <c r="K79" s="203">
        <v>1532250</v>
      </c>
      <c r="L79" s="202" t="s">
        <v>173</v>
      </c>
      <c r="M79" s="204" t="s">
        <v>14</v>
      </c>
    </row>
    <row r="80" spans="1:13" ht="15.5">
      <c r="A80" s="202" t="s">
        <v>763</v>
      </c>
      <c r="B80" s="202" t="s">
        <v>804</v>
      </c>
      <c r="C80" s="202" t="s">
        <v>840</v>
      </c>
      <c r="D80" s="202" t="s">
        <v>881</v>
      </c>
      <c r="E80" s="202" t="s">
        <v>917</v>
      </c>
      <c r="F80" s="202" t="s">
        <v>16</v>
      </c>
      <c r="G80" s="202" t="s">
        <v>17</v>
      </c>
      <c r="H80" s="202" t="s">
        <v>26</v>
      </c>
      <c r="I80" s="202" t="s">
        <v>15</v>
      </c>
      <c r="J80" s="202" t="s">
        <v>64</v>
      </c>
      <c r="K80" s="203">
        <v>2145150</v>
      </c>
      <c r="L80" s="202" t="s">
        <v>173</v>
      </c>
      <c r="M80" s="204" t="s">
        <v>14</v>
      </c>
    </row>
    <row r="81" spans="1:13" ht="15.5">
      <c r="A81" s="202" t="s">
        <v>763</v>
      </c>
      <c r="B81" s="202" t="s">
        <v>805</v>
      </c>
      <c r="C81" s="202" t="s">
        <v>840</v>
      </c>
      <c r="D81" s="202" t="s">
        <v>882</v>
      </c>
      <c r="E81" s="202" t="s">
        <v>917</v>
      </c>
      <c r="F81" s="202" t="s">
        <v>16</v>
      </c>
      <c r="G81" s="202" t="s">
        <v>17</v>
      </c>
      <c r="H81" s="202" t="s">
        <v>26</v>
      </c>
      <c r="I81" s="202" t="s">
        <v>15</v>
      </c>
      <c r="J81" s="202" t="s">
        <v>64</v>
      </c>
      <c r="K81" s="203">
        <v>2780750</v>
      </c>
      <c r="L81" s="202" t="s">
        <v>173</v>
      </c>
      <c r="M81" s="204" t="s">
        <v>14</v>
      </c>
    </row>
    <row r="82" spans="1:13" ht="15.5">
      <c r="A82" s="202" t="s">
        <v>763</v>
      </c>
      <c r="B82" s="202" t="s">
        <v>806</v>
      </c>
      <c r="C82" s="202" t="s">
        <v>840</v>
      </c>
      <c r="D82" s="202" t="s">
        <v>883</v>
      </c>
      <c r="E82" s="202" t="s">
        <v>917</v>
      </c>
      <c r="F82" s="202" t="s">
        <v>16</v>
      </c>
      <c r="G82" s="202" t="s">
        <v>17</v>
      </c>
      <c r="H82" s="202" t="s">
        <v>26</v>
      </c>
      <c r="I82" s="202" t="s">
        <v>15</v>
      </c>
      <c r="J82" s="202" t="s">
        <v>64</v>
      </c>
      <c r="K82" s="203">
        <v>3121250</v>
      </c>
      <c r="L82" s="202" t="s">
        <v>173</v>
      </c>
      <c r="M82" s="204" t="s">
        <v>14</v>
      </c>
    </row>
    <row r="83" spans="1:13" ht="15.5">
      <c r="A83" s="202" t="s">
        <v>763</v>
      </c>
      <c r="B83" s="202" t="s">
        <v>807</v>
      </c>
      <c r="C83" s="202" t="s">
        <v>840</v>
      </c>
      <c r="D83" s="202" t="s">
        <v>884</v>
      </c>
      <c r="E83" s="202" t="s">
        <v>917</v>
      </c>
      <c r="F83" s="202" t="s">
        <v>16</v>
      </c>
      <c r="G83" s="202" t="s">
        <v>17</v>
      </c>
      <c r="H83" s="202" t="s">
        <v>26</v>
      </c>
      <c r="I83" s="202" t="s">
        <v>15</v>
      </c>
      <c r="J83" s="202" t="s">
        <v>64</v>
      </c>
      <c r="K83" s="203">
        <v>3518500</v>
      </c>
      <c r="L83" s="202" t="s">
        <v>173</v>
      </c>
      <c r="M83" s="204" t="s">
        <v>14</v>
      </c>
    </row>
    <row r="84" spans="1:13" ht="15.5">
      <c r="A84" s="202" t="s">
        <v>763</v>
      </c>
      <c r="B84" s="202" t="s">
        <v>9243</v>
      </c>
      <c r="C84" s="202" t="s">
        <v>840</v>
      </c>
      <c r="D84" s="202" t="s">
        <v>879</v>
      </c>
      <c r="E84" s="202" t="s">
        <v>168</v>
      </c>
      <c r="F84" s="202" t="s">
        <v>16</v>
      </c>
      <c r="G84" s="202" t="s">
        <v>17</v>
      </c>
      <c r="H84" s="202" t="s">
        <v>26</v>
      </c>
      <c r="I84" s="202" t="s">
        <v>15</v>
      </c>
      <c r="J84" s="202" t="s">
        <v>918</v>
      </c>
      <c r="K84" s="203">
        <v>18954500</v>
      </c>
      <c r="L84" s="202" t="s">
        <v>2057</v>
      </c>
      <c r="M84" s="204" t="s">
        <v>14</v>
      </c>
    </row>
    <row r="85" spans="1:13" ht="15.5">
      <c r="A85" s="202" t="s">
        <v>763</v>
      </c>
      <c r="B85" s="202" t="s">
        <v>9244</v>
      </c>
      <c r="C85" s="202" t="s">
        <v>840</v>
      </c>
      <c r="D85" s="202" t="s">
        <v>880</v>
      </c>
      <c r="E85" s="202" t="s">
        <v>168</v>
      </c>
      <c r="F85" s="202" t="s">
        <v>16</v>
      </c>
      <c r="G85" s="202" t="s">
        <v>17</v>
      </c>
      <c r="H85" s="202" t="s">
        <v>26</v>
      </c>
      <c r="I85" s="202" t="s">
        <v>15</v>
      </c>
      <c r="J85" s="202" t="s">
        <v>918</v>
      </c>
      <c r="K85" s="203">
        <v>45570250</v>
      </c>
      <c r="L85" s="202" t="s">
        <v>2057</v>
      </c>
      <c r="M85" s="204" t="s">
        <v>14</v>
      </c>
    </row>
    <row r="86" spans="1:13" ht="15.5">
      <c r="A86" s="202" t="s">
        <v>763</v>
      </c>
      <c r="B86" s="202" t="s">
        <v>9245</v>
      </c>
      <c r="C86" s="202" t="s">
        <v>840</v>
      </c>
      <c r="D86" s="202" t="s">
        <v>881</v>
      </c>
      <c r="E86" s="202" t="s">
        <v>168</v>
      </c>
      <c r="F86" s="202" t="s">
        <v>16</v>
      </c>
      <c r="G86" s="202" t="s">
        <v>17</v>
      </c>
      <c r="H86" s="202" t="s">
        <v>26</v>
      </c>
      <c r="I86" s="202" t="s">
        <v>15</v>
      </c>
      <c r="J86" s="202" t="s">
        <v>918</v>
      </c>
      <c r="K86" s="203">
        <v>62538500</v>
      </c>
      <c r="L86" s="202" t="s">
        <v>2057</v>
      </c>
      <c r="M86" s="204" t="s">
        <v>14</v>
      </c>
    </row>
    <row r="87" spans="1:13" ht="15.5">
      <c r="A87" s="202" t="s">
        <v>763</v>
      </c>
      <c r="B87" s="202" t="s">
        <v>9246</v>
      </c>
      <c r="C87" s="202" t="s">
        <v>840</v>
      </c>
      <c r="D87" s="202" t="s">
        <v>882</v>
      </c>
      <c r="E87" s="202" t="s">
        <v>168</v>
      </c>
      <c r="F87" s="202" t="s">
        <v>16</v>
      </c>
      <c r="G87" s="202" t="s">
        <v>17</v>
      </c>
      <c r="H87" s="202" t="s">
        <v>26</v>
      </c>
      <c r="I87" s="202" t="s">
        <v>15</v>
      </c>
      <c r="J87" s="202" t="s">
        <v>918</v>
      </c>
      <c r="K87" s="203">
        <v>91367500</v>
      </c>
      <c r="L87" s="202" t="s">
        <v>2057</v>
      </c>
      <c r="M87" s="204" t="s">
        <v>14</v>
      </c>
    </row>
    <row r="88" spans="1:13" ht="15.5">
      <c r="A88" s="202" t="s">
        <v>763</v>
      </c>
      <c r="B88" s="202" t="s">
        <v>9247</v>
      </c>
      <c r="C88" s="202" t="s">
        <v>840</v>
      </c>
      <c r="D88" s="202" t="s">
        <v>883</v>
      </c>
      <c r="E88" s="202" t="s">
        <v>168</v>
      </c>
      <c r="F88" s="202" t="s">
        <v>16</v>
      </c>
      <c r="G88" s="202" t="s">
        <v>17</v>
      </c>
      <c r="H88" s="202" t="s">
        <v>26</v>
      </c>
      <c r="I88" s="202" t="s">
        <v>15</v>
      </c>
      <c r="J88" s="202" t="s">
        <v>918</v>
      </c>
      <c r="K88" s="203">
        <v>101582500</v>
      </c>
      <c r="L88" s="202" t="s">
        <v>2057</v>
      </c>
      <c r="M88" s="204" t="s">
        <v>14</v>
      </c>
    </row>
    <row r="89" spans="1:13" ht="15.5">
      <c r="A89" s="202" t="s">
        <v>763</v>
      </c>
      <c r="B89" s="202" t="s">
        <v>9248</v>
      </c>
      <c r="C89" s="202" t="s">
        <v>840</v>
      </c>
      <c r="D89" s="202" t="s">
        <v>884</v>
      </c>
      <c r="E89" s="202" t="s">
        <v>168</v>
      </c>
      <c r="F89" s="202" t="s">
        <v>16</v>
      </c>
      <c r="G89" s="202" t="s">
        <v>17</v>
      </c>
      <c r="H89" s="202" t="s">
        <v>26</v>
      </c>
      <c r="I89" s="202" t="s">
        <v>15</v>
      </c>
      <c r="J89" s="202" t="s">
        <v>918</v>
      </c>
      <c r="K89" s="203">
        <v>123828500</v>
      </c>
      <c r="L89" s="202" t="s">
        <v>2057</v>
      </c>
      <c r="M89" s="204" t="s">
        <v>14</v>
      </c>
    </row>
    <row r="90" spans="1:13" ht="15.5">
      <c r="A90" s="202" t="s">
        <v>763</v>
      </c>
      <c r="B90" s="202" t="s">
        <v>9249</v>
      </c>
      <c r="C90" s="202" t="s">
        <v>840</v>
      </c>
      <c r="D90" s="202" t="s">
        <v>885</v>
      </c>
      <c r="E90" s="202" t="s">
        <v>168</v>
      </c>
      <c r="F90" s="202" t="s">
        <v>16</v>
      </c>
      <c r="G90" s="202" t="s">
        <v>17</v>
      </c>
      <c r="H90" s="202" t="s">
        <v>26</v>
      </c>
      <c r="I90" s="202" t="s">
        <v>15</v>
      </c>
      <c r="J90" s="202" t="s">
        <v>918</v>
      </c>
      <c r="K90" s="203">
        <v>283750000</v>
      </c>
      <c r="L90" s="202" t="s">
        <v>2057</v>
      </c>
      <c r="M90" s="204" t="s">
        <v>14</v>
      </c>
    </row>
    <row r="91" spans="1:13" ht="15.5">
      <c r="A91" s="202" t="s">
        <v>763</v>
      </c>
      <c r="B91" s="202" t="s">
        <v>9250</v>
      </c>
      <c r="C91" s="202" t="s">
        <v>840</v>
      </c>
      <c r="D91" s="202" t="s">
        <v>886</v>
      </c>
      <c r="E91" s="202" t="s">
        <v>168</v>
      </c>
      <c r="F91" s="202" t="s">
        <v>16</v>
      </c>
      <c r="G91" s="202" t="s">
        <v>17</v>
      </c>
      <c r="H91" s="202" t="s">
        <v>26</v>
      </c>
      <c r="I91" s="202" t="s">
        <v>15</v>
      </c>
      <c r="J91" s="202" t="s">
        <v>918</v>
      </c>
      <c r="K91" s="203">
        <v>136200000</v>
      </c>
      <c r="L91" s="202" t="s">
        <v>2057</v>
      </c>
      <c r="M91" s="204" t="s">
        <v>14</v>
      </c>
    </row>
    <row r="92" spans="1:13" ht="15.5">
      <c r="A92" s="202" t="s">
        <v>763</v>
      </c>
      <c r="B92" s="202" t="s">
        <v>9251</v>
      </c>
      <c r="C92" s="202" t="s">
        <v>840</v>
      </c>
      <c r="D92" s="202" t="s">
        <v>887</v>
      </c>
      <c r="E92" s="202" t="s">
        <v>168</v>
      </c>
      <c r="F92" s="202" t="s">
        <v>16</v>
      </c>
      <c r="G92" s="202" t="s">
        <v>17</v>
      </c>
      <c r="H92" s="202" t="s">
        <v>26</v>
      </c>
      <c r="I92" s="202" t="s">
        <v>15</v>
      </c>
      <c r="J92" s="202" t="s">
        <v>918</v>
      </c>
      <c r="K92" s="203">
        <v>90800000</v>
      </c>
      <c r="L92" s="202" t="s">
        <v>2057</v>
      </c>
      <c r="M92" s="204" t="s">
        <v>14</v>
      </c>
    </row>
    <row r="93" spans="1:13" ht="15.5">
      <c r="A93" s="202" t="s">
        <v>763</v>
      </c>
      <c r="B93" s="202" t="s">
        <v>9252</v>
      </c>
      <c r="C93" s="202" t="s">
        <v>840</v>
      </c>
      <c r="D93" s="202" t="s">
        <v>888</v>
      </c>
      <c r="E93" s="202" t="s">
        <v>168</v>
      </c>
      <c r="F93" s="202" t="s">
        <v>16</v>
      </c>
      <c r="G93" s="202" t="s">
        <v>17</v>
      </c>
      <c r="H93" s="202" t="s">
        <v>26</v>
      </c>
      <c r="I93" s="202" t="s">
        <v>15</v>
      </c>
      <c r="J93" s="202" t="s">
        <v>918</v>
      </c>
      <c r="K93" s="203">
        <v>34050000</v>
      </c>
      <c r="L93" s="202" t="s">
        <v>2057</v>
      </c>
      <c r="M93" s="204" t="s">
        <v>14</v>
      </c>
    </row>
    <row r="94" spans="1:13" ht="15.5">
      <c r="A94" s="202" t="s">
        <v>763</v>
      </c>
      <c r="B94" s="202" t="s">
        <v>9253</v>
      </c>
      <c r="C94" s="202" t="s">
        <v>840</v>
      </c>
      <c r="D94" s="202" t="s">
        <v>889</v>
      </c>
      <c r="E94" s="202" t="s">
        <v>168</v>
      </c>
      <c r="F94" s="202" t="s">
        <v>16</v>
      </c>
      <c r="G94" s="202" t="s">
        <v>17</v>
      </c>
      <c r="H94" s="202" t="s">
        <v>26</v>
      </c>
      <c r="I94" s="202" t="s">
        <v>15</v>
      </c>
      <c r="J94" s="202" t="s">
        <v>918</v>
      </c>
      <c r="K94" s="203">
        <v>22700000</v>
      </c>
      <c r="L94" s="202" t="s">
        <v>2057</v>
      </c>
      <c r="M94" s="204" t="s">
        <v>14</v>
      </c>
    </row>
    <row r="95" spans="1:13" ht="15.5">
      <c r="A95" s="202" t="s">
        <v>763</v>
      </c>
      <c r="B95" s="202" t="s">
        <v>808</v>
      </c>
      <c r="C95" s="202" t="s">
        <v>840</v>
      </c>
      <c r="D95" s="202" t="s">
        <v>885</v>
      </c>
      <c r="E95" s="202" t="s">
        <v>917</v>
      </c>
      <c r="F95" s="202" t="s">
        <v>16</v>
      </c>
      <c r="G95" s="202" t="s">
        <v>17</v>
      </c>
      <c r="H95" s="202" t="s">
        <v>26</v>
      </c>
      <c r="I95" s="202" t="s">
        <v>15</v>
      </c>
      <c r="J95" s="202" t="s">
        <v>64</v>
      </c>
      <c r="K95" s="203">
        <v>11123000</v>
      </c>
      <c r="L95" s="202" t="s">
        <v>173</v>
      </c>
      <c r="M95" s="204" t="s">
        <v>14</v>
      </c>
    </row>
    <row r="96" spans="1:13" ht="15.5">
      <c r="A96" s="202" t="s">
        <v>763</v>
      </c>
      <c r="B96" s="202" t="s">
        <v>809</v>
      </c>
      <c r="C96" s="202" t="s">
        <v>840</v>
      </c>
      <c r="D96" s="202" t="s">
        <v>886</v>
      </c>
      <c r="E96" s="202" t="s">
        <v>917</v>
      </c>
      <c r="F96" s="202" t="s">
        <v>16</v>
      </c>
      <c r="G96" s="202" t="s">
        <v>17</v>
      </c>
      <c r="H96" s="202" t="s">
        <v>26</v>
      </c>
      <c r="I96" s="202" t="s">
        <v>15</v>
      </c>
      <c r="J96" s="202" t="s">
        <v>64</v>
      </c>
      <c r="K96" s="203">
        <v>4199500</v>
      </c>
      <c r="L96" s="202" t="s">
        <v>173</v>
      </c>
      <c r="M96" s="204" t="s">
        <v>14</v>
      </c>
    </row>
    <row r="97" spans="1:13" ht="15.5">
      <c r="A97" s="202" t="s">
        <v>763</v>
      </c>
      <c r="B97" s="202" t="s">
        <v>810</v>
      </c>
      <c r="C97" s="202" t="s">
        <v>840</v>
      </c>
      <c r="D97" s="202" t="s">
        <v>887</v>
      </c>
      <c r="E97" s="202" t="s">
        <v>917</v>
      </c>
      <c r="F97" s="202" t="s">
        <v>16</v>
      </c>
      <c r="G97" s="202" t="s">
        <v>17</v>
      </c>
      <c r="H97" s="202" t="s">
        <v>26</v>
      </c>
      <c r="I97" s="202" t="s">
        <v>15</v>
      </c>
      <c r="J97" s="202" t="s">
        <v>64</v>
      </c>
      <c r="K97" s="203">
        <v>3291500</v>
      </c>
      <c r="L97" s="202" t="s">
        <v>173</v>
      </c>
      <c r="M97" s="204" t="s">
        <v>14</v>
      </c>
    </row>
    <row r="98" spans="1:13" ht="15.5">
      <c r="A98" s="202" t="s">
        <v>763</v>
      </c>
      <c r="B98" s="202" t="s">
        <v>811</v>
      </c>
      <c r="C98" s="202" t="s">
        <v>840</v>
      </c>
      <c r="D98" s="202" t="s">
        <v>888</v>
      </c>
      <c r="E98" s="202" t="s">
        <v>917</v>
      </c>
      <c r="F98" s="202" t="s">
        <v>16</v>
      </c>
      <c r="G98" s="202" t="s">
        <v>17</v>
      </c>
      <c r="H98" s="202" t="s">
        <v>26</v>
      </c>
      <c r="I98" s="202" t="s">
        <v>15</v>
      </c>
      <c r="J98" s="202" t="s">
        <v>64</v>
      </c>
      <c r="K98" s="203">
        <v>1248500</v>
      </c>
      <c r="L98" s="202" t="s">
        <v>173</v>
      </c>
      <c r="M98" s="204" t="s">
        <v>14</v>
      </c>
    </row>
    <row r="99" spans="1:13" ht="15.5">
      <c r="A99" s="202" t="s">
        <v>763</v>
      </c>
      <c r="B99" s="202" t="s">
        <v>812</v>
      </c>
      <c r="C99" s="202" t="s">
        <v>840</v>
      </c>
      <c r="D99" s="202" t="s">
        <v>889</v>
      </c>
      <c r="E99" s="202" t="s">
        <v>917</v>
      </c>
      <c r="F99" s="202" t="s">
        <v>16</v>
      </c>
      <c r="G99" s="202" t="s">
        <v>17</v>
      </c>
      <c r="H99" s="202" t="s">
        <v>26</v>
      </c>
      <c r="I99" s="202" t="s">
        <v>15</v>
      </c>
      <c r="J99" s="202" t="s">
        <v>64</v>
      </c>
      <c r="K99" s="203">
        <v>1021500</v>
      </c>
      <c r="L99" s="202" t="s">
        <v>173</v>
      </c>
      <c r="M99" s="204" t="s">
        <v>14</v>
      </c>
    </row>
    <row r="100" spans="1:13" ht="15.5">
      <c r="A100" s="202" t="s">
        <v>763</v>
      </c>
      <c r="B100" s="202" t="s">
        <v>813</v>
      </c>
      <c r="C100" s="202" t="s">
        <v>840</v>
      </c>
      <c r="D100" s="202" t="s">
        <v>890</v>
      </c>
      <c r="E100" s="202" t="s">
        <v>917</v>
      </c>
      <c r="F100" s="202" t="s">
        <v>16</v>
      </c>
      <c r="G100" s="202" t="s">
        <v>17</v>
      </c>
      <c r="H100" s="202" t="s">
        <v>26</v>
      </c>
      <c r="I100" s="202" t="s">
        <v>15</v>
      </c>
      <c r="J100" s="202" t="s">
        <v>64</v>
      </c>
      <c r="K100" s="203">
        <v>510750</v>
      </c>
      <c r="L100" s="202" t="s">
        <v>173</v>
      </c>
      <c r="M100" s="204" t="s">
        <v>14</v>
      </c>
    </row>
    <row r="101" spans="1:13" ht="15.5">
      <c r="A101" s="202" t="s">
        <v>763</v>
      </c>
      <c r="B101" s="202" t="s">
        <v>814</v>
      </c>
      <c r="C101" s="202" t="s">
        <v>840</v>
      </c>
      <c r="D101" s="202" t="s">
        <v>891</v>
      </c>
      <c r="E101" s="202" t="s">
        <v>917</v>
      </c>
      <c r="F101" s="202" t="s">
        <v>16</v>
      </c>
      <c r="G101" s="202" t="s">
        <v>17</v>
      </c>
      <c r="H101" s="202" t="s">
        <v>26</v>
      </c>
      <c r="I101" s="202" t="s">
        <v>15</v>
      </c>
      <c r="J101" s="202" t="s">
        <v>64</v>
      </c>
      <c r="K101" s="203">
        <v>510750</v>
      </c>
      <c r="L101" s="202" t="s">
        <v>173</v>
      </c>
      <c r="M101" s="204" t="s">
        <v>14</v>
      </c>
    </row>
    <row r="102" spans="1:13" ht="15.5">
      <c r="A102" s="202" t="s">
        <v>763</v>
      </c>
      <c r="B102" s="202" t="s">
        <v>815</v>
      </c>
      <c r="C102" s="202" t="s">
        <v>840</v>
      </c>
      <c r="D102" s="202" t="s">
        <v>892</v>
      </c>
      <c r="E102" s="202" t="s">
        <v>917</v>
      </c>
      <c r="F102" s="202" t="s">
        <v>16</v>
      </c>
      <c r="G102" s="202" t="s">
        <v>17</v>
      </c>
      <c r="H102" s="202" t="s">
        <v>26</v>
      </c>
      <c r="I102" s="202" t="s">
        <v>15</v>
      </c>
      <c r="J102" s="202" t="s">
        <v>64</v>
      </c>
      <c r="K102" s="203">
        <v>170250</v>
      </c>
      <c r="L102" s="202" t="s">
        <v>173</v>
      </c>
      <c r="M102" s="204" t="s">
        <v>14</v>
      </c>
    </row>
    <row r="103" spans="1:13" ht="15.5">
      <c r="A103" s="202" t="s">
        <v>763</v>
      </c>
      <c r="B103" s="202" t="s">
        <v>816</v>
      </c>
      <c r="C103" s="202" t="s">
        <v>840</v>
      </c>
      <c r="D103" s="202" t="s">
        <v>893</v>
      </c>
      <c r="E103" s="202" t="s">
        <v>917</v>
      </c>
      <c r="F103" s="202" t="s">
        <v>16</v>
      </c>
      <c r="G103" s="202" t="s">
        <v>17</v>
      </c>
      <c r="H103" s="202" t="s">
        <v>26</v>
      </c>
      <c r="I103" s="202" t="s">
        <v>15</v>
      </c>
      <c r="J103" s="202" t="s">
        <v>64</v>
      </c>
      <c r="K103" s="203">
        <v>272400</v>
      </c>
      <c r="L103" s="202" t="s">
        <v>173</v>
      </c>
      <c r="M103" s="204" t="s">
        <v>14</v>
      </c>
    </row>
    <row r="104" spans="1:13" ht="15.5">
      <c r="A104" s="202" t="s">
        <v>763</v>
      </c>
      <c r="B104" s="202" t="s">
        <v>817</v>
      </c>
      <c r="C104" s="202" t="s">
        <v>840</v>
      </c>
      <c r="D104" s="202" t="s">
        <v>894</v>
      </c>
      <c r="E104" s="202" t="s">
        <v>917</v>
      </c>
      <c r="F104" s="202" t="s">
        <v>16</v>
      </c>
      <c r="G104" s="202" t="s">
        <v>17</v>
      </c>
      <c r="H104" s="202" t="s">
        <v>26</v>
      </c>
      <c r="I104" s="202" t="s">
        <v>15</v>
      </c>
      <c r="J104" s="202" t="s">
        <v>64</v>
      </c>
      <c r="K104" s="203">
        <v>272400</v>
      </c>
      <c r="L104" s="202" t="s">
        <v>173</v>
      </c>
      <c r="M104" s="204" t="s">
        <v>14</v>
      </c>
    </row>
    <row r="105" spans="1:13" ht="15.5">
      <c r="A105" s="202" t="s">
        <v>763</v>
      </c>
      <c r="B105" s="202" t="s">
        <v>818</v>
      </c>
      <c r="C105" s="202" t="s">
        <v>840</v>
      </c>
      <c r="D105" s="202" t="s">
        <v>895</v>
      </c>
      <c r="E105" s="202" t="s">
        <v>917</v>
      </c>
      <c r="F105" s="202" t="s">
        <v>16</v>
      </c>
      <c r="G105" s="202" t="s">
        <v>17</v>
      </c>
      <c r="H105" s="202" t="s">
        <v>26</v>
      </c>
      <c r="I105" s="202" t="s">
        <v>15</v>
      </c>
      <c r="J105" s="202" t="s">
        <v>64</v>
      </c>
      <c r="K105" s="203">
        <v>658300</v>
      </c>
      <c r="L105" s="202" t="s">
        <v>173</v>
      </c>
      <c r="M105" s="204" t="s">
        <v>14</v>
      </c>
    </row>
    <row r="106" spans="1:13" ht="15.5">
      <c r="A106" s="202" t="s">
        <v>763</v>
      </c>
      <c r="B106" s="202" t="s">
        <v>819</v>
      </c>
      <c r="C106" s="202" t="s">
        <v>840</v>
      </c>
      <c r="D106" s="202" t="s">
        <v>896</v>
      </c>
      <c r="E106" s="202" t="s">
        <v>917</v>
      </c>
      <c r="F106" s="202" t="s">
        <v>16</v>
      </c>
      <c r="G106" s="202" t="s">
        <v>17</v>
      </c>
      <c r="H106" s="202" t="s">
        <v>26</v>
      </c>
      <c r="I106" s="202" t="s">
        <v>15</v>
      </c>
      <c r="J106" s="202" t="s">
        <v>64</v>
      </c>
      <c r="K106" s="203">
        <v>737750</v>
      </c>
      <c r="L106" s="202" t="s">
        <v>173</v>
      </c>
      <c r="M106" s="204" t="s">
        <v>14</v>
      </c>
    </row>
    <row r="107" spans="1:13" ht="15.5">
      <c r="A107" s="202" t="s">
        <v>763</v>
      </c>
      <c r="B107" s="202" t="s">
        <v>820</v>
      </c>
      <c r="C107" s="202" t="s">
        <v>840</v>
      </c>
      <c r="D107" s="202" t="s">
        <v>897</v>
      </c>
      <c r="E107" s="202" t="s">
        <v>917</v>
      </c>
      <c r="F107" s="202" t="s">
        <v>16</v>
      </c>
      <c r="G107" s="202" t="s">
        <v>17</v>
      </c>
      <c r="H107" s="202" t="s">
        <v>26</v>
      </c>
      <c r="I107" s="202" t="s">
        <v>15</v>
      </c>
      <c r="J107" s="202" t="s">
        <v>64</v>
      </c>
      <c r="K107" s="203">
        <v>964750</v>
      </c>
      <c r="L107" s="202" t="s">
        <v>173</v>
      </c>
      <c r="M107" s="204" t="s">
        <v>14</v>
      </c>
    </row>
    <row r="108" spans="1:13" ht="15.5">
      <c r="A108" s="202" t="s">
        <v>763</v>
      </c>
      <c r="B108" s="202" t="s">
        <v>821</v>
      </c>
      <c r="C108" s="202" t="s">
        <v>840</v>
      </c>
      <c r="D108" s="202" t="s">
        <v>898</v>
      </c>
      <c r="E108" s="202" t="s">
        <v>917</v>
      </c>
      <c r="F108" s="202" t="s">
        <v>16</v>
      </c>
      <c r="G108" s="202" t="s">
        <v>17</v>
      </c>
      <c r="H108" s="202" t="s">
        <v>26</v>
      </c>
      <c r="I108" s="202" t="s">
        <v>15</v>
      </c>
      <c r="J108" s="202" t="s">
        <v>64</v>
      </c>
      <c r="K108" s="203">
        <v>1078250</v>
      </c>
      <c r="L108" s="202" t="s">
        <v>173</v>
      </c>
      <c r="M108" s="204" t="s">
        <v>14</v>
      </c>
    </row>
    <row r="109" spans="1:13" ht="15.5">
      <c r="A109" s="202" t="s">
        <v>763</v>
      </c>
      <c r="B109" s="202" t="s">
        <v>822</v>
      </c>
      <c r="C109" s="202" t="s">
        <v>840</v>
      </c>
      <c r="D109" s="202" t="s">
        <v>899</v>
      </c>
      <c r="E109" s="202" t="s">
        <v>917</v>
      </c>
      <c r="F109" s="202" t="s">
        <v>16</v>
      </c>
      <c r="G109" s="202" t="s">
        <v>17</v>
      </c>
      <c r="H109" s="202" t="s">
        <v>26</v>
      </c>
      <c r="I109" s="202" t="s">
        <v>15</v>
      </c>
      <c r="J109" s="202" t="s">
        <v>64</v>
      </c>
      <c r="K109" s="203">
        <v>1362000</v>
      </c>
      <c r="L109" s="202" t="s">
        <v>173</v>
      </c>
      <c r="M109" s="204" t="s">
        <v>14</v>
      </c>
    </row>
    <row r="110" spans="1:13" ht="15.5">
      <c r="A110" s="202" t="s">
        <v>763</v>
      </c>
      <c r="B110" s="202" t="s">
        <v>823</v>
      </c>
      <c r="C110" s="202" t="s">
        <v>840</v>
      </c>
      <c r="D110" s="202" t="s">
        <v>900</v>
      </c>
      <c r="E110" s="202" t="s">
        <v>917</v>
      </c>
      <c r="F110" s="202" t="s">
        <v>16</v>
      </c>
      <c r="G110" s="202" t="s">
        <v>17</v>
      </c>
      <c r="H110" s="202" t="s">
        <v>26</v>
      </c>
      <c r="I110" s="202" t="s">
        <v>15</v>
      </c>
      <c r="J110" s="202" t="s">
        <v>64</v>
      </c>
      <c r="K110" s="203">
        <v>1816000</v>
      </c>
      <c r="L110" s="202" t="s">
        <v>173</v>
      </c>
      <c r="M110" s="204" t="s">
        <v>14</v>
      </c>
    </row>
    <row r="111" spans="1:13" ht="15.5">
      <c r="A111" s="202" t="s">
        <v>763</v>
      </c>
      <c r="B111" s="202" t="s">
        <v>9254</v>
      </c>
      <c r="C111" s="202" t="s">
        <v>840</v>
      </c>
      <c r="D111" s="202" t="s">
        <v>890</v>
      </c>
      <c r="E111" s="202" t="s">
        <v>168</v>
      </c>
      <c r="F111" s="202" t="s">
        <v>16</v>
      </c>
      <c r="G111" s="202" t="s">
        <v>17</v>
      </c>
      <c r="H111" s="202" t="s">
        <v>26</v>
      </c>
      <c r="I111" s="202" t="s">
        <v>15</v>
      </c>
      <c r="J111" s="202" t="s">
        <v>918</v>
      </c>
      <c r="K111" s="203">
        <v>9363750</v>
      </c>
      <c r="L111" s="202" t="s">
        <v>2057</v>
      </c>
      <c r="M111" s="204" t="s">
        <v>14</v>
      </c>
    </row>
    <row r="112" spans="1:13" ht="15.5">
      <c r="A112" s="202" t="s">
        <v>763</v>
      </c>
      <c r="B112" s="202" t="s">
        <v>9255</v>
      </c>
      <c r="C112" s="202" t="s">
        <v>840</v>
      </c>
      <c r="D112" s="202" t="s">
        <v>891</v>
      </c>
      <c r="E112" s="202" t="s">
        <v>168</v>
      </c>
      <c r="F112" s="202" t="s">
        <v>16</v>
      </c>
      <c r="G112" s="202" t="s">
        <v>17</v>
      </c>
      <c r="H112" s="202" t="s">
        <v>26</v>
      </c>
      <c r="I112" s="202" t="s">
        <v>15</v>
      </c>
      <c r="J112" s="202" t="s">
        <v>918</v>
      </c>
      <c r="K112" s="203">
        <v>9363750</v>
      </c>
      <c r="L112" s="202" t="s">
        <v>2057</v>
      </c>
      <c r="M112" s="204" t="s">
        <v>14</v>
      </c>
    </row>
    <row r="113" spans="1:13" ht="15.5">
      <c r="A113" s="202" t="s">
        <v>763</v>
      </c>
      <c r="B113" s="202" t="s">
        <v>9256</v>
      </c>
      <c r="C113" s="202" t="s">
        <v>840</v>
      </c>
      <c r="D113" s="202" t="s">
        <v>892</v>
      </c>
      <c r="E113" s="202" t="s">
        <v>168</v>
      </c>
      <c r="F113" s="202" t="s">
        <v>16</v>
      </c>
      <c r="G113" s="202" t="s">
        <v>17</v>
      </c>
      <c r="H113" s="202" t="s">
        <v>26</v>
      </c>
      <c r="I113" s="202" t="s">
        <v>15</v>
      </c>
      <c r="J113" s="202" t="s">
        <v>918</v>
      </c>
      <c r="K113" s="203">
        <v>2553750</v>
      </c>
      <c r="L113" s="202" t="s">
        <v>2057</v>
      </c>
      <c r="M113" s="204" t="s">
        <v>14</v>
      </c>
    </row>
    <row r="114" spans="1:13" ht="15.5">
      <c r="A114" s="202" t="s">
        <v>763</v>
      </c>
      <c r="B114" s="202" t="s">
        <v>9257</v>
      </c>
      <c r="C114" s="202" t="s">
        <v>840</v>
      </c>
      <c r="D114" s="202" t="s">
        <v>893</v>
      </c>
      <c r="E114" s="202" t="s">
        <v>168</v>
      </c>
      <c r="F114" s="202" t="s">
        <v>16</v>
      </c>
      <c r="G114" s="202" t="s">
        <v>17</v>
      </c>
      <c r="H114" s="202" t="s">
        <v>26</v>
      </c>
      <c r="I114" s="202" t="s">
        <v>15</v>
      </c>
      <c r="J114" s="202" t="s">
        <v>918</v>
      </c>
      <c r="K114" s="203">
        <v>9363750</v>
      </c>
      <c r="L114" s="202" t="s">
        <v>2057</v>
      </c>
      <c r="M114" s="204" t="s">
        <v>14</v>
      </c>
    </row>
    <row r="115" spans="1:13" ht="15.5">
      <c r="A115" s="202" t="s">
        <v>763</v>
      </c>
      <c r="B115" s="202" t="s">
        <v>9258</v>
      </c>
      <c r="C115" s="202" t="s">
        <v>840</v>
      </c>
      <c r="D115" s="202" t="s">
        <v>894</v>
      </c>
      <c r="E115" s="202" t="s">
        <v>168</v>
      </c>
      <c r="F115" s="202" t="s">
        <v>16</v>
      </c>
      <c r="G115" s="202" t="s">
        <v>17</v>
      </c>
      <c r="H115" s="202" t="s">
        <v>26</v>
      </c>
      <c r="I115" s="202" t="s">
        <v>15</v>
      </c>
      <c r="J115" s="202" t="s">
        <v>918</v>
      </c>
      <c r="K115" s="203">
        <v>9363750</v>
      </c>
      <c r="L115" s="202" t="s">
        <v>2057</v>
      </c>
      <c r="M115" s="204" t="s">
        <v>14</v>
      </c>
    </row>
    <row r="116" spans="1:13" ht="15.5">
      <c r="A116" s="202" t="s">
        <v>763</v>
      </c>
      <c r="B116" s="202" t="s">
        <v>9259</v>
      </c>
      <c r="C116" s="202" t="s">
        <v>840</v>
      </c>
      <c r="D116" s="202" t="s">
        <v>895</v>
      </c>
      <c r="E116" s="202" t="s">
        <v>168</v>
      </c>
      <c r="F116" s="202" t="s">
        <v>16</v>
      </c>
      <c r="G116" s="202" t="s">
        <v>17</v>
      </c>
      <c r="H116" s="202" t="s">
        <v>26</v>
      </c>
      <c r="I116" s="202" t="s">
        <v>15</v>
      </c>
      <c r="J116" s="202" t="s">
        <v>918</v>
      </c>
      <c r="K116" s="203">
        <v>15095500</v>
      </c>
      <c r="L116" s="202" t="s">
        <v>2057</v>
      </c>
      <c r="M116" s="204" t="s">
        <v>14</v>
      </c>
    </row>
    <row r="117" spans="1:13" ht="15.5">
      <c r="A117" s="202" t="s">
        <v>763</v>
      </c>
      <c r="B117" s="202" t="s">
        <v>9260</v>
      </c>
      <c r="C117" s="202" t="s">
        <v>840</v>
      </c>
      <c r="D117" s="202" t="s">
        <v>896</v>
      </c>
      <c r="E117" s="202" t="s">
        <v>168</v>
      </c>
      <c r="F117" s="202" t="s">
        <v>16</v>
      </c>
      <c r="G117" s="202" t="s">
        <v>17</v>
      </c>
      <c r="H117" s="202" t="s">
        <v>26</v>
      </c>
      <c r="I117" s="202" t="s">
        <v>15</v>
      </c>
      <c r="J117" s="202" t="s">
        <v>918</v>
      </c>
      <c r="K117" s="203">
        <v>18330250</v>
      </c>
      <c r="L117" s="202" t="s">
        <v>2057</v>
      </c>
      <c r="M117" s="204" t="s">
        <v>14</v>
      </c>
    </row>
    <row r="118" spans="1:13" ht="15.5">
      <c r="A118" s="202" t="s">
        <v>763</v>
      </c>
      <c r="B118" s="202" t="s">
        <v>9261</v>
      </c>
      <c r="C118" s="202" t="s">
        <v>840</v>
      </c>
      <c r="D118" s="202" t="s">
        <v>897</v>
      </c>
      <c r="E118" s="202" t="s">
        <v>168</v>
      </c>
      <c r="F118" s="202" t="s">
        <v>16</v>
      </c>
      <c r="G118" s="202" t="s">
        <v>17</v>
      </c>
      <c r="H118" s="202" t="s">
        <v>26</v>
      </c>
      <c r="I118" s="202" t="s">
        <v>15</v>
      </c>
      <c r="J118" s="202" t="s">
        <v>918</v>
      </c>
      <c r="K118" s="203">
        <v>27807500</v>
      </c>
      <c r="L118" s="202" t="s">
        <v>2057</v>
      </c>
      <c r="M118" s="204" t="s">
        <v>14</v>
      </c>
    </row>
    <row r="119" spans="1:13" ht="15.5">
      <c r="A119" s="202" t="s">
        <v>763</v>
      </c>
      <c r="B119" s="202" t="s">
        <v>9262</v>
      </c>
      <c r="C119" s="202" t="s">
        <v>840</v>
      </c>
      <c r="D119" s="202" t="s">
        <v>898</v>
      </c>
      <c r="E119" s="202" t="s">
        <v>168</v>
      </c>
      <c r="F119" s="202" t="s">
        <v>16</v>
      </c>
      <c r="G119" s="202" t="s">
        <v>17</v>
      </c>
      <c r="H119" s="202" t="s">
        <v>26</v>
      </c>
      <c r="I119" s="202" t="s">
        <v>15</v>
      </c>
      <c r="J119" s="202" t="s">
        <v>918</v>
      </c>
      <c r="K119" s="203">
        <v>34617500</v>
      </c>
      <c r="L119" s="202" t="s">
        <v>2057</v>
      </c>
      <c r="M119" s="204" t="s">
        <v>14</v>
      </c>
    </row>
    <row r="120" spans="1:13" ht="15.5">
      <c r="A120" s="202" t="s">
        <v>763</v>
      </c>
      <c r="B120" s="202" t="s">
        <v>9263</v>
      </c>
      <c r="C120" s="202" t="s">
        <v>840</v>
      </c>
      <c r="D120" s="202" t="s">
        <v>899</v>
      </c>
      <c r="E120" s="202" t="s">
        <v>168</v>
      </c>
      <c r="F120" s="202" t="s">
        <v>16</v>
      </c>
      <c r="G120" s="202" t="s">
        <v>17</v>
      </c>
      <c r="H120" s="202" t="s">
        <v>26</v>
      </c>
      <c r="I120" s="202" t="s">
        <v>15</v>
      </c>
      <c r="J120" s="202" t="s">
        <v>918</v>
      </c>
      <c r="K120" s="203">
        <v>44605500</v>
      </c>
      <c r="L120" s="202" t="s">
        <v>2057</v>
      </c>
      <c r="M120" s="204" t="s">
        <v>14</v>
      </c>
    </row>
    <row r="121" spans="1:13" ht="15.5">
      <c r="A121" s="202" t="s">
        <v>763</v>
      </c>
      <c r="B121" s="202" t="s">
        <v>9264</v>
      </c>
      <c r="C121" s="202" t="s">
        <v>840</v>
      </c>
      <c r="D121" s="202" t="s">
        <v>900</v>
      </c>
      <c r="E121" s="202" t="s">
        <v>168</v>
      </c>
      <c r="F121" s="202" t="s">
        <v>16</v>
      </c>
      <c r="G121" s="202" t="s">
        <v>17</v>
      </c>
      <c r="H121" s="202" t="s">
        <v>26</v>
      </c>
      <c r="I121" s="202" t="s">
        <v>15</v>
      </c>
      <c r="J121" s="202" t="s">
        <v>918</v>
      </c>
      <c r="K121" s="203">
        <v>66965000</v>
      </c>
      <c r="L121" s="202" t="s">
        <v>2057</v>
      </c>
      <c r="M121" s="204" t="s">
        <v>14</v>
      </c>
    </row>
    <row r="122" spans="1:13" ht="15.5">
      <c r="A122" s="202" t="s">
        <v>763</v>
      </c>
      <c r="B122" s="202" t="s">
        <v>824</v>
      </c>
      <c r="C122" s="202" t="s">
        <v>840</v>
      </c>
      <c r="D122" s="202" t="s">
        <v>901</v>
      </c>
      <c r="E122" s="202" t="s">
        <v>917</v>
      </c>
      <c r="F122" s="202" t="s">
        <v>16</v>
      </c>
      <c r="G122" s="202" t="s">
        <v>17</v>
      </c>
      <c r="H122" s="202" t="s">
        <v>26</v>
      </c>
      <c r="I122" s="202" t="s">
        <v>15</v>
      </c>
      <c r="J122" s="202" t="s">
        <v>64</v>
      </c>
      <c r="K122" s="203">
        <v>851250</v>
      </c>
      <c r="L122" s="202" t="s">
        <v>173</v>
      </c>
      <c r="M122" s="204" t="s">
        <v>14</v>
      </c>
    </row>
    <row r="123" spans="1:13" ht="15.5">
      <c r="A123" s="202" t="s">
        <v>763</v>
      </c>
      <c r="B123" s="202" t="s">
        <v>825</v>
      </c>
      <c r="C123" s="202" t="s">
        <v>840</v>
      </c>
      <c r="D123" s="202" t="s">
        <v>902</v>
      </c>
      <c r="E123" s="202" t="s">
        <v>917</v>
      </c>
      <c r="F123" s="202" t="s">
        <v>16</v>
      </c>
      <c r="G123" s="202" t="s">
        <v>17</v>
      </c>
      <c r="H123" s="202" t="s">
        <v>26</v>
      </c>
      <c r="I123" s="202" t="s">
        <v>15</v>
      </c>
      <c r="J123" s="202" t="s">
        <v>64</v>
      </c>
      <c r="K123" s="203">
        <v>930700</v>
      </c>
      <c r="L123" s="202" t="s">
        <v>173</v>
      </c>
      <c r="M123" s="204" t="s">
        <v>14</v>
      </c>
    </row>
    <row r="124" spans="1:13" ht="15.5">
      <c r="A124" s="202" t="s">
        <v>763</v>
      </c>
      <c r="B124" s="202" t="s">
        <v>826</v>
      </c>
      <c r="C124" s="202" t="s">
        <v>840</v>
      </c>
      <c r="D124" s="202" t="s">
        <v>903</v>
      </c>
      <c r="E124" s="202" t="s">
        <v>917</v>
      </c>
      <c r="F124" s="202" t="s">
        <v>16</v>
      </c>
      <c r="G124" s="202" t="s">
        <v>17</v>
      </c>
      <c r="H124" s="202" t="s">
        <v>26</v>
      </c>
      <c r="I124" s="202" t="s">
        <v>15</v>
      </c>
      <c r="J124" s="202" t="s">
        <v>64</v>
      </c>
      <c r="K124" s="203">
        <v>1135000</v>
      </c>
      <c r="L124" s="202" t="s">
        <v>173</v>
      </c>
      <c r="M124" s="204" t="s">
        <v>14</v>
      </c>
    </row>
    <row r="125" spans="1:13" ht="15.5">
      <c r="A125" s="202" t="s">
        <v>763</v>
      </c>
      <c r="B125" s="202" t="s">
        <v>827</v>
      </c>
      <c r="C125" s="202" t="s">
        <v>840</v>
      </c>
      <c r="D125" s="202" t="s">
        <v>904</v>
      </c>
      <c r="E125" s="202" t="s">
        <v>917</v>
      </c>
      <c r="F125" s="202" t="s">
        <v>16</v>
      </c>
      <c r="G125" s="202" t="s">
        <v>17</v>
      </c>
      <c r="H125" s="202" t="s">
        <v>26</v>
      </c>
      <c r="I125" s="202" t="s">
        <v>15</v>
      </c>
      <c r="J125" s="202" t="s">
        <v>64</v>
      </c>
      <c r="K125" s="203">
        <v>1305250</v>
      </c>
      <c r="L125" s="202" t="s">
        <v>173</v>
      </c>
      <c r="M125" s="204" t="s">
        <v>14</v>
      </c>
    </row>
    <row r="126" spans="1:13" ht="15.5">
      <c r="A126" s="202" t="s">
        <v>763</v>
      </c>
      <c r="B126" s="202" t="s">
        <v>828</v>
      </c>
      <c r="C126" s="202" t="s">
        <v>840</v>
      </c>
      <c r="D126" s="202" t="s">
        <v>905</v>
      </c>
      <c r="E126" s="202" t="s">
        <v>917</v>
      </c>
      <c r="F126" s="202" t="s">
        <v>16</v>
      </c>
      <c r="G126" s="202" t="s">
        <v>17</v>
      </c>
      <c r="H126" s="202" t="s">
        <v>26</v>
      </c>
      <c r="I126" s="202" t="s">
        <v>15</v>
      </c>
      <c r="J126" s="202" t="s">
        <v>64</v>
      </c>
      <c r="K126" s="203">
        <v>1566300</v>
      </c>
      <c r="L126" s="202" t="s">
        <v>173</v>
      </c>
      <c r="M126" s="204" t="s">
        <v>14</v>
      </c>
    </row>
    <row r="127" spans="1:13" ht="15.5">
      <c r="A127" s="202" t="s">
        <v>763</v>
      </c>
      <c r="B127" s="202" t="s">
        <v>829</v>
      </c>
      <c r="C127" s="202" t="s">
        <v>840</v>
      </c>
      <c r="D127" s="202" t="s">
        <v>906</v>
      </c>
      <c r="E127" s="202" t="s">
        <v>917</v>
      </c>
      <c r="F127" s="202" t="s">
        <v>16</v>
      </c>
      <c r="G127" s="202" t="s">
        <v>17</v>
      </c>
      <c r="H127" s="202" t="s">
        <v>26</v>
      </c>
      <c r="I127" s="202" t="s">
        <v>15</v>
      </c>
      <c r="J127" s="202" t="s">
        <v>64</v>
      </c>
      <c r="K127" s="203">
        <v>1986250</v>
      </c>
      <c r="L127" s="202" t="s">
        <v>173</v>
      </c>
      <c r="M127" s="204" t="s">
        <v>14</v>
      </c>
    </row>
    <row r="128" spans="1:13" ht="15.5">
      <c r="A128" s="202" t="s">
        <v>763</v>
      </c>
      <c r="B128" s="202" t="s">
        <v>9265</v>
      </c>
      <c r="C128" s="202" t="s">
        <v>840</v>
      </c>
      <c r="D128" s="202" t="s">
        <v>9266</v>
      </c>
      <c r="E128" s="202" t="s">
        <v>917</v>
      </c>
      <c r="F128" s="202" t="s">
        <v>16</v>
      </c>
      <c r="G128" s="202" t="s">
        <v>17</v>
      </c>
      <c r="H128" s="202" t="s">
        <v>26</v>
      </c>
      <c r="I128" s="202" t="s">
        <v>15</v>
      </c>
      <c r="J128" s="202" t="s">
        <v>918</v>
      </c>
      <c r="K128" s="203">
        <v>15095500</v>
      </c>
      <c r="L128" s="202" t="s">
        <v>2057</v>
      </c>
      <c r="M128" s="204" t="s">
        <v>14</v>
      </c>
    </row>
    <row r="129" spans="1:13" ht="15.5">
      <c r="A129" s="202" t="s">
        <v>763</v>
      </c>
      <c r="B129" s="202" t="s">
        <v>9267</v>
      </c>
      <c r="C129" s="202" t="s">
        <v>840</v>
      </c>
      <c r="D129" s="202" t="s">
        <v>9268</v>
      </c>
      <c r="E129" s="202" t="s">
        <v>917</v>
      </c>
      <c r="F129" s="202" t="s">
        <v>16</v>
      </c>
      <c r="G129" s="202" t="s">
        <v>17</v>
      </c>
      <c r="H129" s="202" t="s">
        <v>26</v>
      </c>
      <c r="I129" s="202" t="s">
        <v>15</v>
      </c>
      <c r="J129" s="202" t="s">
        <v>918</v>
      </c>
      <c r="K129" s="203">
        <v>19272300</v>
      </c>
      <c r="L129" s="202" t="s">
        <v>2057</v>
      </c>
      <c r="M129" s="204" t="s">
        <v>14</v>
      </c>
    </row>
    <row r="130" spans="1:13" ht="15.5">
      <c r="A130" s="202" t="s">
        <v>763</v>
      </c>
      <c r="B130" s="202" t="s">
        <v>9269</v>
      </c>
      <c r="C130" s="202" t="s">
        <v>840</v>
      </c>
      <c r="D130" s="202" t="s">
        <v>9270</v>
      </c>
      <c r="E130" s="202" t="s">
        <v>917</v>
      </c>
      <c r="F130" s="202" t="s">
        <v>16</v>
      </c>
      <c r="G130" s="202" t="s">
        <v>17</v>
      </c>
      <c r="H130" s="202" t="s">
        <v>26</v>
      </c>
      <c r="I130" s="202" t="s">
        <v>15</v>
      </c>
      <c r="J130" s="202" t="s">
        <v>918</v>
      </c>
      <c r="K130" s="203">
        <v>27807500</v>
      </c>
      <c r="L130" s="202" t="s">
        <v>2057</v>
      </c>
      <c r="M130" s="204" t="s">
        <v>14</v>
      </c>
    </row>
    <row r="131" spans="1:13" ht="15.5">
      <c r="A131" s="202" t="s">
        <v>763</v>
      </c>
      <c r="B131" s="202" t="s">
        <v>9271</v>
      </c>
      <c r="C131" s="202" t="s">
        <v>840</v>
      </c>
      <c r="D131" s="202" t="s">
        <v>9272</v>
      </c>
      <c r="E131" s="202" t="s">
        <v>917</v>
      </c>
      <c r="F131" s="202" t="s">
        <v>16</v>
      </c>
      <c r="G131" s="202" t="s">
        <v>17</v>
      </c>
      <c r="H131" s="202" t="s">
        <v>26</v>
      </c>
      <c r="I131" s="202" t="s">
        <v>15</v>
      </c>
      <c r="J131" s="202" t="s">
        <v>918</v>
      </c>
      <c r="K131" s="203">
        <v>34617500</v>
      </c>
      <c r="L131" s="202" t="s">
        <v>2057</v>
      </c>
      <c r="M131" s="204" t="s">
        <v>14</v>
      </c>
    </row>
    <row r="132" spans="1:13" ht="15.5">
      <c r="A132" s="202" t="s">
        <v>763</v>
      </c>
      <c r="B132" s="202" t="s">
        <v>9273</v>
      </c>
      <c r="C132" s="202" t="s">
        <v>840</v>
      </c>
      <c r="D132" s="202" t="s">
        <v>9274</v>
      </c>
      <c r="E132" s="202" t="s">
        <v>917</v>
      </c>
      <c r="F132" s="202" t="s">
        <v>16</v>
      </c>
      <c r="G132" s="202" t="s">
        <v>17</v>
      </c>
      <c r="H132" s="202" t="s">
        <v>26</v>
      </c>
      <c r="I132" s="202" t="s">
        <v>15</v>
      </c>
      <c r="J132" s="202" t="s">
        <v>918</v>
      </c>
      <c r="K132" s="203">
        <v>44832500</v>
      </c>
      <c r="L132" s="202" t="s">
        <v>2057</v>
      </c>
      <c r="M132" s="204" t="s">
        <v>14</v>
      </c>
    </row>
    <row r="133" spans="1:13" ht="15.5">
      <c r="A133" s="202" t="s">
        <v>763</v>
      </c>
      <c r="B133" s="202" t="s">
        <v>9275</v>
      </c>
      <c r="C133" s="202" t="s">
        <v>840</v>
      </c>
      <c r="D133" s="202" t="s">
        <v>9276</v>
      </c>
      <c r="E133" s="202" t="s">
        <v>917</v>
      </c>
      <c r="F133" s="202" t="s">
        <v>16</v>
      </c>
      <c r="G133" s="202" t="s">
        <v>17</v>
      </c>
      <c r="H133" s="202" t="s">
        <v>26</v>
      </c>
      <c r="I133" s="202" t="s">
        <v>15</v>
      </c>
      <c r="J133" s="202" t="s">
        <v>918</v>
      </c>
      <c r="K133" s="203">
        <v>66908250</v>
      </c>
      <c r="L133" s="202" t="s">
        <v>2057</v>
      </c>
      <c r="M133" s="204" t="s">
        <v>14</v>
      </c>
    </row>
    <row r="134" spans="1:13" ht="15.5">
      <c r="A134" s="202" t="s">
        <v>763</v>
      </c>
      <c r="B134" s="202" t="s">
        <v>830</v>
      </c>
      <c r="C134" s="202" t="s">
        <v>840</v>
      </c>
      <c r="D134" s="202" t="s">
        <v>907</v>
      </c>
      <c r="E134" s="202" t="s">
        <v>917</v>
      </c>
      <c r="F134" s="202" t="s">
        <v>16</v>
      </c>
      <c r="G134" s="202" t="s">
        <v>17</v>
      </c>
      <c r="H134" s="202" t="s">
        <v>26</v>
      </c>
      <c r="I134" s="202" t="s">
        <v>15</v>
      </c>
      <c r="J134" s="202" t="s">
        <v>64</v>
      </c>
      <c r="K134" s="203">
        <v>28375000</v>
      </c>
      <c r="L134" s="202" t="s">
        <v>173</v>
      </c>
      <c r="M134" s="204" t="s">
        <v>14</v>
      </c>
    </row>
    <row r="135" spans="1:13" ht="15.5">
      <c r="A135" s="202" t="s">
        <v>763</v>
      </c>
      <c r="B135" s="202" t="s">
        <v>831</v>
      </c>
      <c r="C135" s="202" t="s">
        <v>840</v>
      </c>
      <c r="D135" s="202" t="s">
        <v>908</v>
      </c>
      <c r="E135" s="202" t="s">
        <v>917</v>
      </c>
      <c r="F135" s="202" t="s">
        <v>16</v>
      </c>
      <c r="G135" s="202" t="s">
        <v>17</v>
      </c>
      <c r="H135" s="202" t="s">
        <v>26</v>
      </c>
      <c r="I135" s="202" t="s">
        <v>15</v>
      </c>
      <c r="J135" s="202" t="s">
        <v>64</v>
      </c>
      <c r="K135" s="203">
        <v>5107500</v>
      </c>
      <c r="L135" s="202" t="s">
        <v>173</v>
      </c>
      <c r="M135" s="204" t="s">
        <v>14</v>
      </c>
    </row>
    <row r="136" spans="1:13" ht="15.5">
      <c r="A136" s="202" t="s">
        <v>763</v>
      </c>
      <c r="B136" s="202" t="s">
        <v>832</v>
      </c>
      <c r="C136" s="202" t="s">
        <v>840</v>
      </c>
      <c r="D136" s="202" t="s">
        <v>909</v>
      </c>
      <c r="E136" s="202" t="s">
        <v>917</v>
      </c>
      <c r="F136" s="202" t="s">
        <v>16</v>
      </c>
      <c r="G136" s="202" t="s">
        <v>17</v>
      </c>
      <c r="H136" s="202" t="s">
        <v>26</v>
      </c>
      <c r="I136" s="202" t="s">
        <v>15</v>
      </c>
      <c r="J136" s="202" t="s">
        <v>64</v>
      </c>
      <c r="K136" s="203">
        <v>28375000</v>
      </c>
      <c r="L136" s="202" t="s">
        <v>173</v>
      </c>
      <c r="M136" s="204" t="s">
        <v>14</v>
      </c>
    </row>
    <row r="137" spans="1:13" ht="15.5">
      <c r="A137" s="202" t="s">
        <v>763</v>
      </c>
      <c r="B137" s="202" t="s">
        <v>833</v>
      </c>
      <c r="C137" s="202" t="s">
        <v>840</v>
      </c>
      <c r="D137" s="202" t="s">
        <v>910</v>
      </c>
      <c r="E137" s="202" t="s">
        <v>917</v>
      </c>
      <c r="F137" s="202" t="s">
        <v>16</v>
      </c>
      <c r="G137" s="202" t="s">
        <v>17</v>
      </c>
      <c r="H137" s="202" t="s">
        <v>26</v>
      </c>
      <c r="I137" s="202" t="s">
        <v>15</v>
      </c>
      <c r="J137" s="202" t="s">
        <v>64</v>
      </c>
      <c r="K137" s="203">
        <v>5107500</v>
      </c>
      <c r="L137" s="202" t="s">
        <v>173</v>
      </c>
      <c r="M137" s="204" t="s">
        <v>14</v>
      </c>
    </row>
    <row r="138" spans="1:13" ht="15.5">
      <c r="A138" s="202" t="s">
        <v>763</v>
      </c>
      <c r="B138" s="202" t="s">
        <v>834</v>
      </c>
      <c r="C138" s="202" t="s">
        <v>840</v>
      </c>
      <c r="D138" s="202" t="s">
        <v>911</v>
      </c>
      <c r="E138" s="202" t="s">
        <v>917</v>
      </c>
      <c r="F138" s="202" t="s">
        <v>16</v>
      </c>
      <c r="G138" s="202" t="s">
        <v>17</v>
      </c>
      <c r="H138" s="202" t="s">
        <v>26</v>
      </c>
      <c r="I138" s="202" t="s">
        <v>15</v>
      </c>
      <c r="J138" s="202" t="s">
        <v>64</v>
      </c>
      <c r="K138" s="203">
        <v>1078250</v>
      </c>
      <c r="L138" s="202" t="s">
        <v>173</v>
      </c>
      <c r="M138" s="204" t="s">
        <v>14</v>
      </c>
    </row>
    <row r="139" spans="1:13" ht="15.5">
      <c r="A139" s="202" t="s">
        <v>763</v>
      </c>
      <c r="B139" s="202" t="s">
        <v>9277</v>
      </c>
      <c r="C139" s="202" t="s">
        <v>840</v>
      </c>
      <c r="D139" s="202" t="s">
        <v>907</v>
      </c>
      <c r="E139" s="202" t="s">
        <v>168</v>
      </c>
      <c r="F139" s="202" t="s">
        <v>16</v>
      </c>
      <c r="G139" s="202" t="s">
        <v>17</v>
      </c>
      <c r="H139" s="202" t="s">
        <v>26</v>
      </c>
      <c r="I139" s="202" t="s">
        <v>15</v>
      </c>
      <c r="J139" s="202" t="s">
        <v>918</v>
      </c>
      <c r="K139" s="203">
        <v>737750000</v>
      </c>
      <c r="L139" s="202" t="s">
        <v>2057</v>
      </c>
      <c r="M139" s="204" t="s">
        <v>14</v>
      </c>
    </row>
    <row r="140" spans="1:13" ht="15.5">
      <c r="A140" s="202" t="s">
        <v>763</v>
      </c>
      <c r="B140" s="202" t="s">
        <v>9278</v>
      </c>
      <c r="C140" s="202" t="s">
        <v>840</v>
      </c>
      <c r="D140" s="202" t="s">
        <v>908</v>
      </c>
      <c r="E140" s="202" t="s">
        <v>168</v>
      </c>
      <c r="F140" s="202" t="s">
        <v>16</v>
      </c>
      <c r="G140" s="202" t="s">
        <v>17</v>
      </c>
      <c r="H140" s="202" t="s">
        <v>26</v>
      </c>
      <c r="I140" s="202" t="s">
        <v>15</v>
      </c>
      <c r="J140" s="202" t="s">
        <v>918</v>
      </c>
      <c r="K140" s="203">
        <v>202597500</v>
      </c>
      <c r="L140" s="202" t="s">
        <v>2057</v>
      </c>
      <c r="M140" s="204" t="s">
        <v>14</v>
      </c>
    </row>
    <row r="141" spans="1:13" ht="15.5">
      <c r="A141" s="202" t="s">
        <v>763</v>
      </c>
      <c r="B141" s="202" t="s">
        <v>9279</v>
      </c>
      <c r="C141" s="202" t="s">
        <v>840</v>
      </c>
      <c r="D141" s="202" t="s">
        <v>909</v>
      </c>
      <c r="E141" s="202" t="s">
        <v>168</v>
      </c>
      <c r="F141" s="202" t="s">
        <v>16</v>
      </c>
      <c r="G141" s="202" t="s">
        <v>17</v>
      </c>
      <c r="H141" s="202" t="s">
        <v>26</v>
      </c>
      <c r="I141" s="202" t="s">
        <v>15</v>
      </c>
      <c r="J141" s="202" t="s">
        <v>918</v>
      </c>
      <c r="K141" s="203">
        <v>737750000</v>
      </c>
      <c r="L141" s="202" t="s">
        <v>2057</v>
      </c>
      <c r="M141" s="204" t="s">
        <v>14</v>
      </c>
    </row>
    <row r="142" spans="1:13" ht="15.5">
      <c r="A142" s="202" t="s">
        <v>763</v>
      </c>
      <c r="B142" s="202" t="s">
        <v>9280</v>
      </c>
      <c r="C142" s="202" t="s">
        <v>840</v>
      </c>
      <c r="D142" s="202" t="s">
        <v>910</v>
      </c>
      <c r="E142" s="202" t="s">
        <v>168</v>
      </c>
      <c r="F142" s="202" t="s">
        <v>16</v>
      </c>
      <c r="G142" s="202" t="s">
        <v>17</v>
      </c>
      <c r="H142" s="202" t="s">
        <v>26</v>
      </c>
      <c r="I142" s="202" t="s">
        <v>15</v>
      </c>
      <c r="J142" s="202" t="s">
        <v>918</v>
      </c>
      <c r="K142" s="203">
        <v>202597500</v>
      </c>
      <c r="L142" s="202" t="s">
        <v>2057</v>
      </c>
      <c r="M142" s="204" t="s">
        <v>14</v>
      </c>
    </row>
    <row r="143" spans="1:13" ht="15.5">
      <c r="A143" s="202" t="s">
        <v>763</v>
      </c>
      <c r="B143" s="202" t="s">
        <v>9281</v>
      </c>
      <c r="C143" s="202" t="s">
        <v>840</v>
      </c>
      <c r="D143" s="202" t="s">
        <v>911</v>
      </c>
      <c r="E143" s="202" t="s">
        <v>168</v>
      </c>
      <c r="F143" s="202" t="s">
        <v>16</v>
      </c>
      <c r="G143" s="202" t="s">
        <v>17</v>
      </c>
      <c r="H143" s="202" t="s">
        <v>26</v>
      </c>
      <c r="I143" s="202" t="s">
        <v>15</v>
      </c>
      <c r="J143" s="202" t="s">
        <v>918</v>
      </c>
      <c r="K143" s="203">
        <v>39725000</v>
      </c>
      <c r="L143" s="202" t="s">
        <v>2057</v>
      </c>
      <c r="M143" s="204" t="s">
        <v>14</v>
      </c>
    </row>
    <row r="144" spans="1:13" ht="15.5">
      <c r="A144" s="202" t="s">
        <v>763</v>
      </c>
      <c r="B144" s="202" t="s">
        <v>835</v>
      </c>
      <c r="C144" s="202" t="s">
        <v>840</v>
      </c>
      <c r="D144" s="202" t="s">
        <v>912</v>
      </c>
      <c r="E144" s="202" t="s">
        <v>917</v>
      </c>
      <c r="F144" s="202" t="s">
        <v>16</v>
      </c>
      <c r="G144" s="202" t="s">
        <v>17</v>
      </c>
      <c r="H144" s="202" t="s">
        <v>26</v>
      </c>
      <c r="I144" s="202" t="s">
        <v>15</v>
      </c>
      <c r="J144" s="202" t="s">
        <v>64</v>
      </c>
      <c r="K144" s="203">
        <v>78315</v>
      </c>
      <c r="L144" s="202" t="s">
        <v>173</v>
      </c>
      <c r="M144" s="204" t="s">
        <v>14</v>
      </c>
    </row>
    <row r="145" spans="1:13" ht="15.5">
      <c r="A145" s="202" t="s">
        <v>763</v>
      </c>
      <c r="B145" s="202" t="s">
        <v>836</v>
      </c>
      <c r="C145" s="202" t="s">
        <v>840</v>
      </c>
      <c r="D145" s="202" t="s">
        <v>913</v>
      </c>
      <c r="E145" s="202" t="s">
        <v>917</v>
      </c>
      <c r="F145" s="202" t="s">
        <v>16</v>
      </c>
      <c r="G145" s="202" t="s">
        <v>17</v>
      </c>
      <c r="H145" s="202" t="s">
        <v>26</v>
      </c>
      <c r="I145" s="202" t="s">
        <v>15</v>
      </c>
      <c r="J145" s="202" t="s">
        <v>64</v>
      </c>
      <c r="K145" s="203">
        <v>39725</v>
      </c>
      <c r="L145" s="202" t="s">
        <v>173</v>
      </c>
      <c r="M145" s="204" t="s">
        <v>14</v>
      </c>
    </row>
    <row r="146" spans="1:13" ht="15.5">
      <c r="A146" s="202" t="s">
        <v>763</v>
      </c>
      <c r="B146" s="202" t="s">
        <v>9282</v>
      </c>
      <c r="C146" s="202" t="s">
        <v>840</v>
      </c>
      <c r="D146" s="202" t="s">
        <v>912</v>
      </c>
      <c r="E146" s="202" t="s">
        <v>168</v>
      </c>
      <c r="F146" s="202" t="s">
        <v>16</v>
      </c>
      <c r="G146" s="202" t="s">
        <v>17</v>
      </c>
      <c r="H146" s="202" t="s">
        <v>26</v>
      </c>
      <c r="I146" s="202" t="s">
        <v>15</v>
      </c>
      <c r="J146" s="202" t="s">
        <v>918</v>
      </c>
      <c r="K146" s="203">
        <v>1872750</v>
      </c>
      <c r="L146" s="202" t="s">
        <v>2057</v>
      </c>
      <c r="M146" s="204" t="s">
        <v>14</v>
      </c>
    </row>
    <row r="147" spans="1:13" ht="15.5">
      <c r="A147" s="202" t="s">
        <v>763</v>
      </c>
      <c r="B147" s="202" t="s">
        <v>9283</v>
      </c>
      <c r="C147" s="202" t="s">
        <v>840</v>
      </c>
      <c r="D147" s="202" t="s">
        <v>913</v>
      </c>
      <c r="E147" s="202" t="s">
        <v>168</v>
      </c>
      <c r="F147" s="202" t="s">
        <v>16</v>
      </c>
      <c r="G147" s="202" t="s">
        <v>17</v>
      </c>
      <c r="H147" s="202" t="s">
        <v>26</v>
      </c>
      <c r="I147" s="202" t="s">
        <v>15</v>
      </c>
      <c r="J147" s="202" t="s">
        <v>918</v>
      </c>
      <c r="K147" s="203">
        <v>1078250</v>
      </c>
      <c r="L147" s="202" t="s">
        <v>2057</v>
      </c>
      <c r="M147" s="204" t="s">
        <v>14</v>
      </c>
    </row>
    <row r="148" spans="1:13" ht="15.5">
      <c r="A148" s="202" t="s">
        <v>763</v>
      </c>
      <c r="B148" s="202" t="s">
        <v>837</v>
      </c>
      <c r="C148" s="202" t="s">
        <v>840</v>
      </c>
      <c r="D148" s="202" t="s">
        <v>914</v>
      </c>
      <c r="E148" s="202" t="s">
        <v>917</v>
      </c>
      <c r="F148" s="202" t="s">
        <v>16</v>
      </c>
      <c r="G148" s="202" t="s">
        <v>17</v>
      </c>
      <c r="H148" s="202" t="s">
        <v>26</v>
      </c>
      <c r="I148" s="202" t="s">
        <v>15</v>
      </c>
      <c r="J148" s="202" t="s">
        <v>64</v>
      </c>
      <c r="K148" s="203">
        <v>2837500</v>
      </c>
      <c r="L148" s="202" t="s">
        <v>173</v>
      </c>
      <c r="M148" s="204" t="s">
        <v>14</v>
      </c>
    </row>
    <row r="149" spans="1:13" ht="15.5">
      <c r="A149" s="202" t="s">
        <v>763</v>
      </c>
      <c r="B149" s="202" t="s">
        <v>838</v>
      </c>
      <c r="C149" s="202" t="s">
        <v>840</v>
      </c>
      <c r="D149" s="202" t="s">
        <v>915</v>
      </c>
      <c r="E149" s="202" t="s">
        <v>917</v>
      </c>
      <c r="F149" s="202" t="s">
        <v>16</v>
      </c>
      <c r="G149" s="202" t="s">
        <v>17</v>
      </c>
      <c r="H149" s="202" t="s">
        <v>26</v>
      </c>
      <c r="I149" s="202" t="s">
        <v>15</v>
      </c>
      <c r="J149" s="202" t="s">
        <v>64</v>
      </c>
      <c r="K149" s="203">
        <v>2837500</v>
      </c>
      <c r="L149" s="202" t="s">
        <v>173</v>
      </c>
      <c r="M149" s="204" t="s">
        <v>14</v>
      </c>
    </row>
    <row r="150" spans="1:13" ht="15.5">
      <c r="A150" s="202" t="s">
        <v>763</v>
      </c>
      <c r="B150" s="202" t="s">
        <v>9284</v>
      </c>
      <c r="C150" s="202" t="s">
        <v>840</v>
      </c>
      <c r="D150" s="202" t="s">
        <v>914</v>
      </c>
      <c r="E150" s="202" t="s">
        <v>168</v>
      </c>
      <c r="F150" s="202" t="s">
        <v>16</v>
      </c>
      <c r="G150" s="202" t="s">
        <v>17</v>
      </c>
      <c r="H150" s="202" t="s">
        <v>26</v>
      </c>
      <c r="I150" s="202" t="s">
        <v>15</v>
      </c>
      <c r="J150" s="202" t="s">
        <v>918</v>
      </c>
      <c r="K150" s="203">
        <v>11917500</v>
      </c>
      <c r="L150" s="202" t="s">
        <v>2057</v>
      </c>
      <c r="M150" s="204" t="s">
        <v>14</v>
      </c>
    </row>
    <row r="151" spans="1:13" ht="15.5">
      <c r="A151" s="202" t="s">
        <v>763</v>
      </c>
      <c r="B151" s="202" t="s">
        <v>9285</v>
      </c>
      <c r="C151" s="202" t="s">
        <v>840</v>
      </c>
      <c r="D151" s="202" t="s">
        <v>915</v>
      </c>
      <c r="E151" s="202" t="s">
        <v>168</v>
      </c>
      <c r="F151" s="202" t="s">
        <v>16</v>
      </c>
      <c r="G151" s="202" t="s">
        <v>17</v>
      </c>
      <c r="H151" s="202" t="s">
        <v>26</v>
      </c>
      <c r="I151" s="202" t="s">
        <v>15</v>
      </c>
      <c r="J151" s="202" t="s">
        <v>918</v>
      </c>
      <c r="K151" s="203">
        <v>11917500</v>
      </c>
      <c r="L151" s="202" t="s">
        <v>2057</v>
      </c>
      <c r="M151" s="204" t="s">
        <v>14</v>
      </c>
    </row>
    <row r="152" spans="1:13" ht="15.5">
      <c r="A152" s="202" t="s">
        <v>763</v>
      </c>
      <c r="B152" s="202" t="s">
        <v>839</v>
      </c>
      <c r="C152" s="202" t="s">
        <v>840</v>
      </c>
      <c r="D152" s="202" t="s">
        <v>916</v>
      </c>
      <c r="E152" s="202" t="s">
        <v>917</v>
      </c>
      <c r="F152" s="202" t="s">
        <v>16</v>
      </c>
      <c r="G152" s="202" t="s">
        <v>17</v>
      </c>
      <c r="H152" s="202" t="s">
        <v>26</v>
      </c>
      <c r="I152" s="202" t="s">
        <v>15</v>
      </c>
      <c r="J152" s="202" t="s">
        <v>64</v>
      </c>
      <c r="K152" s="203">
        <v>737750</v>
      </c>
      <c r="L152" s="202" t="s">
        <v>173</v>
      </c>
      <c r="M152" s="204" t="s">
        <v>14</v>
      </c>
    </row>
    <row r="153" spans="1:13" ht="15.5">
      <c r="A153" s="202" t="s">
        <v>763</v>
      </c>
      <c r="B153" s="202" t="s">
        <v>9286</v>
      </c>
      <c r="C153" s="202" t="s">
        <v>840</v>
      </c>
      <c r="D153" s="202" t="s">
        <v>916</v>
      </c>
      <c r="E153" s="202" t="s">
        <v>168</v>
      </c>
      <c r="F153" s="202" t="s">
        <v>16</v>
      </c>
      <c r="G153" s="202" t="s">
        <v>17</v>
      </c>
      <c r="H153" s="202" t="s">
        <v>26</v>
      </c>
      <c r="I153" s="202" t="s">
        <v>15</v>
      </c>
      <c r="J153" s="202" t="s">
        <v>918</v>
      </c>
      <c r="K153" s="203">
        <v>7377500</v>
      </c>
      <c r="L153" s="202" t="s">
        <v>2057</v>
      </c>
      <c r="M153" s="204" t="s">
        <v>14</v>
      </c>
    </row>
    <row r="154" spans="1:13" ht="15.5">
      <c r="A154" s="202" t="s">
        <v>763</v>
      </c>
      <c r="B154" s="202" t="s">
        <v>89</v>
      </c>
      <c r="C154" s="202" t="s">
        <v>840</v>
      </c>
      <c r="D154" s="202" t="s">
        <v>90</v>
      </c>
      <c r="E154" s="202" t="s">
        <v>91</v>
      </c>
      <c r="F154" s="202" t="s">
        <v>21</v>
      </c>
      <c r="G154" s="202" t="s">
        <v>70</v>
      </c>
      <c r="H154" s="202" t="s">
        <v>26</v>
      </c>
      <c r="I154" s="202" t="s">
        <v>166</v>
      </c>
      <c r="J154" s="202" t="s">
        <v>9287</v>
      </c>
      <c r="K154" s="203">
        <v>648312</v>
      </c>
      <c r="L154" s="202" t="s">
        <v>2057</v>
      </c>
      <c r="M154" s="204" t="s">
        <v>14</v>
      </c>
    </row>
    <row r="155" spans="1:13" ht="15.5">
      <c r="A155" s="202" t="s">
        <v>763</v>
      </c>
      <c r="B155" s="202" t="s">
        <v>92</v>
      </c>
      <c r="C155" s="202" t="s">
        <v>840</v>
      </c>
      <c r="D155" s="202" t="s">
        <v>90</v>
      </c>
      <c r="E155" s="202" t="s">
        <v>91</v>
      </c>
      <c r="F155" s="202" t="s">
        <v>21</v>
      </c>
      <c r="G155" s="202" t="s">
        <v>70</v>
      </c>
      <c r="H155" s="202" t="s">
        <v>42</v>
      </c>
      <c r="I155" s="202" t="s">
        <v>166</v>
      </c>
      <c r="J155" s="202" t="s">
        <v>9287</v>
      </c>
      <c r="K155" s="203">
        <v>999481</v>
      </c>
      <c r="L155" s="202" t="s">
        <v>2057</v>
      </c>
      <c r="M155" s="204" t="s">
        <v>14</v>
      </c>
    </row>
    <row r="156" spans="1:13" ht="15.5">
      <c r="A156" s="202" t="s">
        <v>763</v>
      </c>
      <c r="B156" s="202" t="s">
        <v>93</v>
      </c>
      <c r="C156" s="202" t="s">
        <v>840</v>
      </c>
      <c r="D156" s="202" t="s">
        <v>90</v>
      </c>
      <c r="E156" s="202" t="s">
        <v>91</v>
      </c>
      <c r="F156" s="202" t="s">
        <v>21</v>
      </c>
      <c r="G156" s="202" t="s">
        <v>74</v>
      </c>
      <c r="H156" s="202" t="s">
        <v>26</v>
      </c>
      <c r="I156" s="202" t="s">
        <v>166</v>
      </c>
      <c r="J156" s="202" t="s">
        <v>9287</v>
      </c>
      <c r="K156" s="203">
        <v>648312</v>
      </c>
      <c r="L156" s="202" t="s">
        <v>2057</v>
      </c>
      <c r="M156" s="204" t="s">
        <v>14</v>
      </c>
    </row>
    <row r="157" spans="1:13" ht="15.5">
      <c r="A157" s="202" t="s">
        <v>763</v>
      </c>
      <c r="B157" s="202" t="s">
        <v>94</v>
      </c>
      <c r="C157" s="202" t="s">
        <v>840</v>
      </c>
      <c r="D157" s="202" t="s">
        <v>90</v>
      </c>
      <c r="E157" s="202" t="s">
        <v>91</v>
      </c>
      <c r="F157" s="202" t="s">
        <v>21</v>
      </c>
      <c r="G157" s="202" t="s">
        <v>74</v>
      </c>
      <c r="H157" s="202" t="s">
        <v>42</v>
      </c>
      <c r="I157" s="202" t="s">
        <v>166</v>
      </c>
      <c r="J157" s="202" t="s">
        <v>9287</v>
      </c>
      <c r="K157" s="203">
        <v>999481</v>
      </c>
      <c r="L157" s="202" t="s">
        <v>2057</v>
      </c>
      <c r="M157" s="204" t="s">
        <v>14</v>
      </c>
    </row>
    <row r="158" spans="1:13" ht="15.5">
      <c r="A158" s="202" t="s">
        <v>763</v>
      </c>
      <c r="B158" s="202" t="s">
        <v>95</v>
      </c>
      <c r="C158" s="202" t="s">
        <v>840</v>
      </c>
      <c r="D158" s="202" t="s">
        <v>90</v>
      </c>
      <c r="E158" s="202" t="s">
        <v>91</v>
      </c>
      <c r="F158" s="202" t="s">
        <v>21</v>
      </c>
      <c r="G158" s="202" t="s">
        <v>72</v>
      </c>
      <c r="H158" s="202" t="s">
        <v>26</v>
      </c>
      <c r="I158" s="202" t="s">
        <v>166</v>
      </c>
      <c r="J158" s="202" t="s">
        <v>9287</v>
      </c>
      <c r="K158" s="203">
        <v>648312</v>
      </c>
      <c r="L158" s="202" t="s">
        <v>2057</v>
      </c>
      <c r="M158" s="204" t="s">
        <v>14</v>
      </c>
    </row>
    <row r="159" spans="1:13" ht="15.5">
      <c r="A159" s="202" t="s">
        <v>763</v>
      </c>
      <c r="B159" s="202" t="s">
        <v>96</v>
      </c>
      <c r="C159" s="202" t="s">
        <v>840</v>
      </c>
      <c r="D159" s="202" t="s">
        <v>90</v>
      </c>
      <c r="E159" s="202" t="s">
        <v>91</v>
      </c>
      <c r="F159" s="202" t="s">
        <v>21</v>
      </c>
      <c r="G159" s="202" t="s">
        <v>72</v>
      </c>
      <c r="H159" s="202" t="s">
        <v>42</v>
      </c>
      <c r="I159" s="202" t="s">
        <v>166</v>
      </c>
      <c r="J159" s="202" t="s">
        <v>9287</v>
      </c>
      <c r="K159" s="203">
        <v>999481</v>
      </c>
      <c r="L159" s="202" t="s">
        <v>2057</v>
      </c>
      <c r="M159" s="204" t="s">
        <v>14</v>
      </c>
    </row>
    <row r="160" spans="1:13" ht="15.5">
      <c r="A160" s="202" t="s">
        <v>763</v>
      </c>
      <c r="B160" s="202" t="s">
        <v>97</v>
      </c>
      <c r="C160" s="202" t="s">
        <v>840</v>
      </c>
      <c r="D160" s="202" t="s">
        <v>98</v>
      </c>
      <c r="E160" s="202" t="s">
        <v>99</v>
      </c>
      <c r="F160" s="202" t="s">
        <v>21</v>
      </c>
      <c r="G160" s="202" t="s">
        <v>70</v>
      </c>
      <c r="H160" s="202" t="s">
        <v>26</v>
      </c>
      <c r="I160" s="202" t="s">
        <v>166</v>
      </c>
      <c r="J160" s="202" t="s">
        <v>9287</v>
      </c>
      <c r="K160" s="203">
        <v>729351</v>
      </c>
      <c r="L160" s="202" t="s">
        <v>2057</v>
      </c>
      <c r="M160" s="204" t="s">
        <v>14</v>
      </c>
    </row>
    <row r="161" spans="1:13" ht="15.5">
      <c r="A161" s="202" t="s">
        <v>763</v>
      </c>
      <c r="B161" s="202" t="s">
        <v>100</v>
      </c>
      <c r="C161" s="202" t="s">
        <v>840</v>
      </c>
      <c r="D161" s="202" t="s">
        <v>98</v>
      </c>
      <c r="E161" s="202" t="s">
        <v>99</v>
      </c>
      <c r="F161" s="202" t="s">
        <v>21</v>
      </c>
      <c r="G161" s="202" t="s">
        <v>70</v>
      </c>
      <c r="H161" s="202" t="s">
        <v>42</v>
      </c>
      <c r="I161" s="202" t="s">
        <v>166</v>
      </c>
      <c r="J161" s="202" t="s">
        <v>9287</v>
      </c>
      <c r="K161" s="203">
        <v>1134546</v>
      </c>
      <c r="L161" s="202" t="s">
        <v>2057</v>
      </c>
      <c r="M161" s="204" t="s">
        <v>14</v>
      </c>
    </row>
    <row r="162" spans="1:13" ht="15.5">
      <c r="A162" s="202" t="s">
        <v>763</v>
      </c>
      <c r="B162" s="202" t="s">
        <v>101</v>
      </c>
      <c r="C162" s="202" t="s">
        <v>840</v>
      </c>
      <c r="D162" s="202" t="s">
        <v>98</v>
      </c>
      <c r="E162" s="202" t="s">
        <v>99</v>
      </c>
      <c r="F162" s="202" t="s">
        <v>21</v>
      </c>
      <c r="G162" s="202" t="s">
        <v>74</v>
      </c>
      <c r="H162" s="202" t="s">
        <v>26</v>
      </c>
      <c r="I162" s="202" t="s">
        <v>166</v>
      </c>
      <c r="J162" s="202" t="s">
        <v>9287</v>
      </c>
      <c r="K162" s="203">
        <v>729351</v>
      </c>
      <c r="L162" s="202" t="s">
        <v>2057</v>
      </c>
      <c r="M162" s="204" t="s">
        <v>14</v>
      </c>
    </row>
    <row r="163" spans="1:13" ht="15.5">
      <c r="A163" s="202" t="s">
        <v>763</v>
      </c>
      <c r="B163" s="202" t="s">
        <v>102</v>
      </c>
      <c r="C163" s="202" t="s">
        <v>840</v>
      </c>
      <c r="D163" s="202" t="s">
        <v>98</v>
      </c>
      <c r="E163" s="202" t="s">
        <v>99</v>
      </c>
      <c r="F163" s="202" t="s">
        <v>21</v>
      </c>
      <c r="G163" s="202" t="s">
        <v>74</v>
      </c>
      <c r="H163" s="202" t="s">
        <v>42</v>
      </c>
      <c r="I163" s="202" t="s">
        <v>166</v>
      </c>
      <c r="J163" s="202" t="s">
        <v>9287</v>
      </c>
      <c r="K163" s="203">
        <v>1134546</v>
      </c>
      <c r="L163" s="202" t="s">
        <v>2057</v>
      </c>
      <c r="M163" s="204" t="s">
        <v>14</v>
      </c>
    </row>
    <row r="164" spans="1:13" ht="15.5">
      <c r="A164" s="202" t="s">
        <v>763</v>
      </c>
      <c r="B164" s="202" t="s">
        <v>103</v>
      </c>
      <c r="C164" s="202" t="s">
        <v>840</v>
      </c>
      <c r="D164" s="202" t="s">
        <v>98</v>
      </c>
      <c r="E164" s="202" t="s">
        <v>99</v>
      </c>
      <c r="F164" s="202" t="s">
        <v>21</v>
      </c>
      <c r="G164" s="202" t="s">
        <v>72</v>
      </c>
      <c r="H164" s="202" t="s">
        <v>26</v>
      </c>
      <c r="I164" s="202" t="s">
        <v>166</v>
      </c>
      <c r="J164" s="202" t="s">
        <v>9287</v>
      </c>
      <c r="K164" s="203">
        <v>729351</v>
      </c>
      <c r="L164" s="202" t="s">
        <v>2057</v>
      </c>
      <c r="M164" s="204" t="s">
        <v>14</v>
      </c>
    </row>
    <row r="165" spans="1:13" ht="15.5">
      <c r="A165" s="202" t="s">
        <v>763</v>
      </c>
      <c r="B165" s="202" t="s">
        <v>104</v>
      </c>
      <c r="C165" s="202" t="s">
        <v>840</v>
      </c>
      <c r="D165" s="202" t="s">
        <v>98</v>
      </c>
      <c r="E165" s="202" t="s">
        <v>99</v>
      </c>
      <c r="F165" s="202" t="s">
        <v>21</v>
      </c>
      <c r="G165" s="202" t="s">
        <v>72</v>
      </c>
      <c r="H165" s="202" t="s">
        <v>42</v>
      </c>
      <c r="I165" s="202" t="s">
        <v>166</v>
      </c>
      <c r="J165" s="202" t="s">
        <v>9287</v>
      </c>
      <c r="K165" s="203">
        <v>1134546</v>
      </c>
      <c r="L165" s="202" t="s">
        <v>2057</v>
      </c>
      <c r="M165" s="204" t="s">
        <v>14</v>
      </c>
    </row>
    <row r="166" spans="1:13" ht="15.5">
      <c r="A166" s="202" t="s">
        <v>763</v>
      </c>
      <c r="B166" s="202" t="s">
        <v>105</v>
      </c>
      <c r="C166" s="202" t="s">
        <v>840</v>
      </c>
      <c r="D166" s="202" t="s">
        <v>106</v>
      </c>
      <c r="E166" s="202" t="s">
        <v>91</v>
      </c>
      <c r="F166" s="202" t="s">
        <v>21</v>
      </c>
      <c r="G166" s="202" t="s">
        <v>70</v>
      </c>
      <c r="H166" s="202" t="s">
        <v>26</v>
      </c>
      <c r="I166" s="202" t="s">
        <v>166</v>
      </c>
      <c r="J166" s="202" t="s">
        <v>9287</v>
      </c>
      <c r="K166" s="203">
        <v>648312</v>
      </c>
      <c r="L166" s="202" t="s">
        <v>2057</v>
      </c>
      <c r="M166" s="204" t="s">
        <v>14</v>
      </c>
    </row>
    <row r="167" spans="1:13" ht="15.5">
      <c r="A167" s="202" t="s">
        <v>763</v>
      </c>
      <c r="B167" s="202" t="s">
        <v>107</v>
      </c>
      <c r="C167" s="202" t="s">
        <v>840</v>
      </c>
      <c r="D167" s="202" t="s">
        <v>106</v>
      </c>
      <c r="E167" s="202" t="s">
        <v>91</v>
      </c>
      <c r="F167" s="202" t="s">
        <v>21</v>
      </c>
      <c r="G167" s="202" t="s">
        <v>70</v>
      </c>
      <c r="H167" s="202" t="s">
        <v>42</v>
      </c>
      <c r="I167" s="202" t="s">
        <v>166</v>
      </c>
      <c r="J167" s="202" t="s">
        <v>9287</v>
      </c>
      <c r="K167" s="203">
        <v>999481</v>
      </c>
      <c r="L167" s="202" t="s">
        <v>2057</v>
      </c>
      <c r="M167" s="204" t="s">
        <v>14</v>
      </c>
    </row>
    <row r="168" spans="1:13" ht="15.5">
      <c r="A168" s="202" t="s">
        <v>763</v>
      </c>
      <c r="B168" s="202" t="s">
        <v>108</v>
      </c>
      <c r="C168" s="202" t="s">
        <v>840</v>
      </c>
      <c r="D168" s="202" t="s">
        <v>106</v>
      </c>
      <c r="E168" s="202" t="s">
        <v>91</v>
      </c>
      <c r="F168" s="202" t="s">
        <v>21</v>
      </c>
      <c r="G168" s="202" t="s">
        <v>74</v>
      </c>
      <c r="H168" s="202" t="s">
        <v>26</v>
      </c>
      <c r="I168" s="202" t="s">
        <v>166</v>
      </c>
      <c r="J168" s="202" t="s">
        <v>9287</v>
      </c>
      <c r="K168" s="203">
        <v>648312</v>
      </c>
      <c r="L168" s="202" t="s">
        <v>2057</v>
      </c>
      <c r="M168" s="204" t="s">
        <v>14</v>
      </c>
    </row>
    <row r="169" spans="1:13" ht="15.5">
      <c r="A169" s="202" t="s">
        <v>763</v>
      </c>
      <c r="B169" s="202" t="s">
        <v>109</v>
      </c>
      <c r="C169" s="202" t="s">
        <v>840</v>
      </c>
      <c r="D169" s="202" t="s">
        <v>106</v>
      </c>
      <c r="E169" s="202" t="s">
        <v>91</v>
      </c>
      <c r="F169" s="202" t="s">
        <v>21</v>
      </c>
      <c r="G169" s="202" t="s">
        <v>74</v>
      </c>
      <c r="H169" s="202" t="s">
        <v>42</v>
      </c>
      <c r="I169" s="202" t="s">
        <v>166</v>
      </c>
      <c r="J169" s="202" t="s">
        <v>9287</v>
      </c>
      <c r="K169" s="203">
        <v>999481</v>
      </c>
      <c r="L169" s="202" t="s">
        <v>2057</v>
      </c>
      <c r="M169" s="204" t="s">
        <v>14</v>
      </c>
    </row>
    <row r="170" spans="1:13" ht="15.5">
      <c r="A170" s="202" t="s">
        <v>763</v>
      </c>
      <c r="B170" s="202" t="s">
        <v>110</v>
      </c>
      <c r="C170" s="202" t="s">
        <v>840</v>
      </c>
      <c r="D170" s="202" t="s">
        <v>106</v>
      </c>
      <c r="E170" s="202" t="s">
        <v>91</v>
      </c>
      <c r="F170" s="202" t="s">
        <v>21</v>
      </c>
      <c r="G170" s="202" t="s">
        <v>72</v>
      </c>
      <c r="H170" s="202" t="s">
        <v>26</v>
      </c>
      <c r="I170" s="202" t="s">
        <v>166</v>
      </c>
      <c r="J170" s="202" t="s">
        <v>9287</v>
      </c>
      <c r="K170" s="203">
        <v>648312</v>
      </c>
      <c r="L170" s="202" t="s">
        <v>2057</v>
      </c>
      <c r="M170" s="204" t="s">
        <v>14</v>
      </c>
    </row>
    <row r="171" spans="1:13" ht="15.5">
      <c r="A171" s="202" t="s">
        <v>763</v>
      </c>
      <c r="B171" s="202" t="s">
        <v>111</v>
      </c>
      <c r="C171" s="202" t="s">
        <v>840</v>
      </c>
      <c r="D171" s="202" t="s">
        <v>106</v>
      </c>
      <c r="E171" s="202" t="s">
        <v>91</v>
      </c>
      <c r="F171" s="202" t="s">
        <v>21</v>
      </c>
      <c r="G171" s="202" t="s">
        <v>72</v>
      </c>
      <c r="H171" s="202" t="s">
        <v>42</v>
      </c>
      <c r="I171" s="202" t="s">
        <v>166</v>
      </c>
      <c r="J171" s="202" t="s">
        <v>9287</v>
      </c>
      <c r="K171" s="203">
        <v>999481</v>
      </c>
      <c r="L171" s="202" t="s">
        <v>2057</v>
      </c>
      <c r="M171" s="204" t="s">
        <v>14</v>
      </c>
    </row>
    <row r="172" spans="1:13" ht="15.5">
      <c r="A172" s="202" t="s">
        <v>763</v>
      </c>
      <c r="B172" s="202" t="s">
        <v>112</v>
      </c>
      <c r="C172" s="202" t="s">
        <v>840</v>
      </c>
      <c r="D172" s="202" t="s">
        <v>113</v>
      </c>
      <c r="E172" s="202" t="s">
        <v>99</v>
      </c>
      <c r="F172" s="202" t="s">
        <v>21</v>
      </c>
      <c r="G172" s="202" t="s">
        <v>70</v>
      </c>
      <c r="H172" s="202" t="s">
        <v>26</v>
      </c>
      <c r="I172" s="202" t="s">
        <v>166</v>
      </c>
      <c r="J172" s="202" t="s">
        <v>9287</v>
      </c>
      <c r="K172" s="203">
        <v>729351</v>
      </c>
      <c r="L172" s="202" t="s">
        <v>2057</v>
      </c>
      <c r="M172" s="204" t="s">
        <v>14</v>
      </c>
    </row>
    <row r="173" spans="1:13" ht="15.5">
      <c r="A173" s="202" t="s">
        <v>763</v>
      </c>
      <c r="B173" s="202" t="s">
        <v>114</v>
      </c>
      <c r="C173" s="202" t="s">
        <v>840</v>
      </c>
      <c r="D173" s="202" t="s">
        <v>113</v>
      </c>
      <c r="E173" s="202" t="s">
        <v>99</v>
      </c>
      <c r="F173" s="202" t="s">
        <v>21</v>
      </c>
      <c r="G173" s="202" t="s">
        <v>70</v>
      </c>
      <c r="H173" s="202" t="s">
        <v>42</v>
      </c>
      <c r="I173" s="202" t="s">
        <v>166</v>
      </c>
      <c r="J173" s="202" t="s">
        <v>9287</v>
      </c>
      <c r="K173" s="203">
        <v>1134546</v>
      </c>
      <c r="L173" s="202" t="s">
        <v>2057</v>
      </c>
      <c r="M173" s="204" t="s">
        <v>14</v>
      </c>
    </row>
    <row r="174" spans="1:13" ht="15.5">
      <c r="A174" s="202" t="s">
        <v>763</v>
      </c>
      <c r="B174" s="202" t="s">
        <v>115</v>
      </c>
      <c r="C174" s="202" t="s">
        <v>840</v>
      </c>
      <c r="D174" s="202" t="s">
        <v>113</v>
      </c>
      <c r="E174" s="202" t="s">
        <v>99</v>
      </c>
      <c r="F174" s="202" t="s">
        <v>21</v>
      </c>
      <c r="G174" s="202" t="s">
        <v>74</v>
      </c>
      <c r="H174" s="202" t="s">
        <v>26</v>
      </c>
      <c r="I174" s="202" t="s">
        <v>166</v>
      </c>
      <c r="J174" s="202" t="s">
        <v>9287</v>
      </c>
      <c r="K174" s="203">
        <v>729351</v>
      </c>
      <c r="L174" s="202" t="s">
        <v>2057</v>
      </c>
      <c r="M174" s="204" t="s">
        <v>14</v>
      </c>
    </row>
    <row r="175" spans="1:13" ht="15.5">
      <c r="A175" s="202" t="s">
        <v>763</v>
      </c>
      <c r="B175" s="202" t="s">
        <v>116</v>
      </c>
      <c r="C175" s="202" t="s">
        <v>840</v>
      </c>
      <c r="D175" s="202" t="s">
        <v>113</v>
      </c>
      <c r="E175" s="202" t="s">
        <v>99</v>
      </c>
      <c r="F175" s="202" t="s">
        <v>21</v>
      </c>
      <c r="G175" s="202" t="s">
        <v>74</v>
      </c>
      <c r="H175" s="202" t="s">
        <v>42</v>
      </c>
      <c r="I175" s="202" t="s">
        <v>166</v>
      </c>
      <c r="J175" s="202" t="s">
        <v>9287</v>
      </c>
      <c r="K175" s="203">
        <v>1134546</v>
      </c>
      <c r="L175" s="202" t="s">
        <v>2057</v>
      </c>
      <c r="M175" s="204" t="s">
        <v>14</v>
      </c>
    </row>
    <row r="176" spans="1:13" ht="15.5">
      <c r="A176" s="202" t="s">
        <v>763</v>
      </c>
      <c r="B176" s="202" t="s">
        <v>117</v>
      </c>
      <c r="C176" s="202" t="s">
        <v>840</v>
      </c>
      <c r="D176" s="202" t="s">
        <v>113</v>
      </c>
      <c r="E176" s="202" t="s">
        <v>99</v>
      </c>
      <c r="F176" s="202" t="s">
        <v>21</v>
      </c>
      <c r="G176" s="202" t="s">
        <v>72</v>
      </c>
      <c r="H176" s="202" t="s">
        <v>26</v>
      </c>
      <c r="I176" s="202" t="s">
        <v>166</v>
      </c>
      <c r="J176" s="202" t="s">
        <v>9287</v>
      </c>
      <c r="K176" s="203">
        <v>729351</v>
      </c>
      <c r="L176" s="202" t="s">
        <v>2057</v>
      </c>
      <c r="M176" s="204" t="s">
        <v>14</v>
      </c>
    </row>
    <row r="177" spans="1:13" ht="15.5">
      <c r="A177" s="202" t="s">
        <v>763</v>
      </c>
      <c r="B177" s="202" t="s">
        <v>118</v>
      </c>
      <c r="C177" s="202" t="s">
        <v>840</v>
      </c>
      <c r="D177" s="202" t="s">
        <v>113</v>
      </c>
      <c r="E177" s="202" t="s">
        <v>99</v>
      </c>
      <c r="F177" s="202" t="s">
        <v>21</v>
      </c>
      <c r="G177" s="202" t="s">
        <v>72</v>
      </c>
      <c r="H177" s="202" t="s">
        <v>42</v>
      </c>
      <c r="I177" s="202" t="s">
        <v>166</v>
      </c>
      <c r="J177" s="202" t="s">
        <v>9287</v>
      </c>
      <c r="K177" s="203">
        <v>1134546</v>
      </c>
      <c r="L177" s="202" t="s">
        <v>2057</v>
      </c>
      <c r="M177" s="204" t="s">
        <v>14</v>
      </c>
    </row>
    <row r="178" spans="1:13" ht="15.5">
      <c r="A178" s="202" t="s">
        <v>763</v>
      </c>
      <c r="B178" s="202" t="s">
        <v>119</v>
      </c>
      <c r="C178" s="202" t="s">
        <v>840</v>
      </c>
      <c r="D178" s="202" t="s">
        <v>120</v>
      </c>
      <c r="E178" s="202" t="s">
        <v>133</v>
      </c>
      <c r="F178" s="202" t="s">
        <v>21</v>
      </c>
      <c r="G178" s="202" t="s">
        <v>70</v>
      </c>
      <c r="H178" s="202" t="s">
        <v>26</v>
      </c>
      <c r="I178" s="202" t="s">
        <v>167</v>
      </c>
      <c r="J178" s="202" t="s">
        <v>9287</v>
      </c>
      <c r="K178" s="203">
        <v>729351</v>
      </c>
      <c r="L178" s="202" t="s">
        <v>2057</v>
      </c>
      <c r="M178" s="204" t="s">
        <v>14</v>
      </c>
    </row>
    <row r="179" spans="1:13" ht="15.5">
      <c r="A179" s="202" t="s">
        <v>763</v>
      </c>
      <c r="B179" s="202" t="s">
        <v>121</v>
      </c>
      <c r="C179" s="202" t="s">
        <v>840</v>
      </c>
      <c r="D179" s="202" t="s">
        <v>120</v>
      </c>
      <c r="E179" s="202" t="s">
        <v>133</v>
      </c>
      <c r="F179" s="202" t="s">
        <v>21</v>
      </c>
      <c r="G179" s="202" t="s">
        <v>70</v>
      </c>
      <c r="H179" s="202" t="s">
        <v>42</v>
      </c>
      <c r="I179" s="202" t="s">
        <v>167</v>
      </c>
      <c r="J179" s="202" t="s">
        <v>9287</v>
      </c>
      <c r="K179" s="203">
        <v>999481</v>
      </c>
      <c r="L179" s="202" t="s">
        <v>2057</v>
      </c>
      <c r="M179" s="204" t="s">
        <v>14</v>
      </c>
    </row>
    <row r="180" spans="1:13" ht="15.5">
      <c r="A180" s="202" t="s">
        <v>763</v>
      </c>
      <c r="B180" s="202" t="s">
        <v>122</v>
      </c>
      <c r="C180" s="202" t="s">
        <v>840</v>
      </c>
      <c r="D180" s="202" t="s">
        <v>120</v>
      </c>
      <c r="E180" s="202" t="s">
        <v>133</v>
      </c>
      <c r="F180" s="202" t="s">
        <v>21</v>
      </c>
      <c r="G180" s="202" t="s">
        <v>74</v>
      </c>
      <c r="H180" s="202" t="s">
        <v>26</v>
      </c>
      <c r="I180" s="202" t="s">
        <v>167</v>
      </c>
      <c r="J180" s="202" t="s">
        <v>9287</v>
      </c>
      <c r="K180" s="203">
        <v>729351</v>
      </c>
      <c r="L180" s="202" t="s">
        <v>2057</v>
      </c>
      <c r="M180" s="204" t="s">
        <v>14</v>
      </c>
    </row>
    <row r="181" spans="1:13" ht="15.5">
      <c r="A181" s="202" t="s">
        <v>763</v>
      </c>
      <c r="B181" s="202" t="s">
        <v>123</v>
      </c>
      <c r="C181" s="202" t="s">
        <v>840</v>
      </c>
      <c r="D181" s="202" t="s">
        <v>120</v>
      </c>
      <c r="E181" s="202" t="s">
        <v>133</v>
      </c>
      <c r="F181" s="202" t="s">
        <v>21</v>
      </c>
      <c r="G181" s="202" t="s">
        <v>74</v>
      </c>
      <c r="H181" s="202" t="s">
        <v>42</v>
      </c>
      <c r="I181" s="202" t="s">
        <v>167</v>
      </c>
      <c r="J181" s="202" t="s">
        <v>9287</v>
      </c>
      <c r="K181" s="203">
        <v>999481</v>
      </c>
      <c r="L181" s="202" t="s">
        <v>2057</v>
      </c>
      <c r="M181" s="204" t="s">
        <v>14</v>
      </c>
    </row>
    <row r="182" spans="1:13" ht="15.5">
      <c r="A182" s="202" t="s">
        <v>763</v>
      </c>
      <c r="B182" s="202" t="s">
        <v>124</v>
      </c>
      <c r="C182" s="202" t="s">
        <v>840</v>
      </c>
      <c r="D182" s="202" t="s">
        <v>120</v>
      </c>
      <c r="E182" s="202" t="s">
        <v>133</v>
      </c>
      <c r="F182" s="202" t="s">
        <v>21</v>
      </c>
      <c r="G182" s="202" t="s">
        <v>72</v>
      </c>
      <c r="H182" s="202" t="s">
        <v>26</v>
      </c>
      <c r="I182" s="202" t="s">
        <v>167</v>
      </c>
      <c r="J182" s="202" t="s">
        <v>9287</v>
      </c>
      <c r="K182" s="203">
        <v>729351</v>
      </c>
      <c r="L182" s="202" t="s">
        <v>2057</v>
      </c>
      <c r="M182" s="204" t="s">
        <v>14</v>
      </c>
    </row>
    <row r="183" spans="1:13" ht="15.5">
      <c r="A183" s="202" t="s">
        <v>763</v>
      </c>
      <c r="B183" s="202" t="s">
        <v>125</v>
      </c>
      <c r="C183" s="202" t="s">
        <v>840</v>
      </c>
      <c r="D183" s="202" t="s">
        <v>120</v>
      </c>
      <c r="E183" s="202" t="s">
        <v>133</v>
      </c>
      <c r="F183" s="202" t="s">
        <v>21</v>
      </c>
      <c r="G183" s="202" t="s">
        <v>72</v>
      </c>
      <c r="H183" s="202" t="s">
        <v>42</v>
      </c>
      <c r="I183" s="202" t="s">
        <v>167</v>
      </c>
      <c r="J183" s="202" t="s">
        <v>9287</v>
      </c>
      <c r="K183" s="203">
        <v>999481</v>
      </c>
      <c r="L183" s="202" t="s">
        <v>2057</v>
      </c>
      <c r="M183" s="204" t="s">
        <v>14</v>
      </c>
    </row>
    <row r="184" spans="1:13" ht="15.5">
      <c r="A184" s="202" t="s">
        <v>763</v>
      </c>
      <c r="B184" s="202" t="s">
        <v>126</v>
      </c>
      <c r="C184" s="202" t="s">
        <v>840</v>
      </c>
      <c r="D184" s="202" t="s">
        <v>127</v>
      </c>
      <c r="E184" s="202" t="s">
        <v>128</v>
      </c>
      <c r="F184" s="202" t="s">
        <v>21</v>
      </c>
      <c r="G184" s="202" t="s">
        <v>70</v>
      </c>
      <c r="H184" s="202" t="s">
        <v>42</v>
      </c>
      <c r="I184" s="202" t="s">
        <v>167</v>
      </c>
      <c r="J184" s="202" t="s">
        <v>9287</v>
      </c>
      <c r="K184" s="203">
        <v>1512728</v>
      </c>
      <c r="L184" s="202" t="s">
        <v>2057</v>
      </c>
      <c r="M184" s="204" t="s">
        <v>14</v>
      </c>
    </row>
    <row r="185" spans="1:13" ht="15.5">
      <c r="A185" s="202" t="s">
        <v>763</v>
      </c>
      <c r="B185" s="202" t="s">
        <v>129</v>
      </c>
      <c r="C185" s="202" t="s">
        <v>840</v>
      </c>
      <c r="D185" s="202" t="s">
        <v>127</v>
      </c>
      <c r="E185" s="202" t="s">
        <v>128</v>
      </c>
      <c r="F185" s="202" t="s">
        <v>21</v>
      </c>
      <c r="G185" s="202" t="s">
        <v>74</v>
      </c>
      <c r="H185" s="202" t="s">
        <v>42</v>
      </c>
      <c r="I185" s="202" t="s">
        <v>167</v>
      </c>
      <c r="J185" s="202" t="s">
        <v>9287</v>
      </c>
      <c r="K185" s="203">
        <v>1512728</v>
      </c>
      <c r="L185" s="202" t="s">
        <v>2057</v>
      </c>
      <c r="M185" s="204" t="s">
        <v>14</v>
      </c>
    </row>
    <row r="186" spans="1:13" ht="15.5">
      <c r="A186" s="202" t="s">
        <v>763</v>
      </c>
      <c r="B186" s="202" t="s">
        <v>130</v>
      </c>
      <c r="C186" s="202" t="s">
        <v>840</v>
      </c>
      <c r="D186" s="202" t="s">
        <v>127</v>
      </c>
      <c r="E186" s="202" t="s">
        <v>128</v>
      </c>
      <c r="F186" s="202" t="s">
        <v>21</v>
      </c>
      <c r="G186" s="202" t="s">
        <v>72</v>
      </c>
      <c r="H186" s="202" t="s">
        <v>42</v>
      </c>
      <c r="I186" s="202" t="s">
        <v>167</v>
      </c>
      <c r="J186" s="202" t="s">
        <v>9287</v>
      </c>
      <c r="K186" s="203">
        <v>1512728</v>
      </c>
      <c r="L186" s="202" t="s">
        <v>2057</v>
      </c>
      <c r="M186" s="204" t="s">
        <v>14</v>
      </c>
    </row>
    <row r="187" spans="1:13" ht="15.5">
      <c r="A187" s="202" t="s">
        <v>763</v>
      </c>
      <c r="B187" s="202" t="s">
        <v>131</v>
      </c>
      <c r="C187" s="202" t="s">
        <v>840</v>
      </c>
      <c r="D187" s="202" t="s">
        <v>132</v>
      </c>
      <c r="E187" s="202" t="s">
        <v>133</v>
      </c>
      <c r="F187" s="202" t="s">
        <v>21</v>
      </c>
      <c r="G187" s="202" t="s">
        <v>70</v>
      </c>
      <c r="H187" s="202" t="s">
        <v>26</v>
      </c>
      <c r="I187" s="202" t="s">
        <v>436</v>
      </c>
      <c r="J187" s="202" t="s">
        <v>9287</v>
      </c>
      <c r="K187" s="203">
        <v>729351</v>
      </c>
      <c r="L187" s="202" t="s">
        <v>2057</v>
      </c>
      <c r="M187" s="204" t="s">
        <v>14</v>
      </c>
    </row>
    <row r="188" spans="1:13" ht="15.5">
      <c r="A188" s="202" t="s">
        <v>763</v>
      </c>
      <c r="B188" s="202" t="s">
        <v>134</v>
      </c>
      <c r="C188" s="202" t="s">
        <v>840</v>
      </c>
      <c r="D188" s="202" t="s">
        <v>132</v>
      </c>
      <c r="E188" s="202" t="s">
        <v>133</v>
      </c>
      <c r="F188" s="202" t="s">
        <v>21</v>
      </c>
      <c r="G188" s="202" t="s">
        <v>70</v>
      </c>
      <c r="H188" s="202" t="s">
        <v>42</v>
      </c>
      <c r="I188" s="202" t="s">
        <v>436</v>
      </c>
      <c r="J188" s="202" t="s">
        <v>9287</v>
      </c>
      <c r="K188" s="203">
        <v>999481</v>
      </c>
      <c r="L188" s="202" t="s">
        <v>2057</v>
      </c>
      <c r="M188" s="204" t="s">
        <v>14</v>
      </c>
    </row>
    <row r="189" spans="1:13" ht="15.5">
      <c r="A189" s="202" t="s">
        <v>763</v>
      </c>
      <c r="B189" s="202" t="s">
        <v>135</v>
      </c>
      <c r="C189" s="202" t="s">
        <v>840</v>
      </c>
      <c r="D189" s="202" t="s">
        <v>132</v>
      </c>
      <c r="E189" s="202" t="s">
        <v>133</v>
      </c>
      <c r="F189" s="202" t="s">
        <v>21</v>
      </c>
      <c r="G189" s="202" t="s">
        <v>74</v>
      </c>
      <c r="H189" s="202" t="s">
        <v>26</v>
      </c>
      <c r="I189" s="202" t="s">
        <v>436</v>
      </c>
      <c r="J189" s="202" t="s">
        <v>9287</v>
      </c>
      <c r="K189" s="203">
        <v>729351</v>
      </c>
      <c r="L189" s="202" t="s">
        <v>2057</v>
      </c>
      <c r="M189" s="204" t="s">
        <v>14</v>
      </c>
    </row>
    <row r="190" spans="1:13" ht="15.5">
      <c r="A190" s="202" t="s">
        <v>763</v>
      </c>
      <c r="B190" s="202" t="s">
        <v>136</v>
      </c>
      <c r="C190" s="202" t="s">
        <v>840</v>
      </c>
      <c r="D190" s="202" t="s">
        <v>132</v>
      </c>
      <c r="E190" s="202" t="s">
        <v>133</v>
      </c>
      <c r="F190" s="202" t="s">
        <v>21</v>
      </c>
      <c r="G190" s="202" t="s">
        <v>74</v>
      </c>
      <c r="H190" s="202" t="s">
        <v>42</v>
      </c>
      <c r="I190" s="202" t="s">
        <v>436</v>
      </c>
      <c r="J190" s="202" t="s">
        <v>9287</v>
      </c>
      <c r="K190" s="203">
        <v>999481</v>
      </c>
      <c r="L190" s="202" t="s">
        <v>2057</v>
      </c>
      <c r="M190" s="204" t="s">
        <v>14</v>
      </c>
    </row>
    <row r="191" spans="1:13" ht="15.5">
      <c r="A191" s="202" t="s">
        <v>763</v>
      </c>
      <c r="B191" s="202" t="s">
        <v>137</v>
      </c>
      <c r="C191" s="202" t="s">
        <v>840</v>
      </c>
      <c r="D191" s="202" t="s">
        <v>132</v>
      </c>
      <c r="E191" s="202" t="s">
        <v>133</v>
      </c>
      <c r="F191" s="202" t="s">
        <v>21</v>
      </c>
      <c r="G191" s="202" t="s">
        <v>72</v>
      </c>
      <c r="H191" s="202" t="s">
        <v>26</v>
      </c>
      <c r="I191" s="202" t="s">
        <v>436</v>
      </c>
      <c r="J191" s="202" t="s">
        <v>9287</v>
      </c>
      <c r="K191" s="203">
        <v>729351</v>
      </c>
      <c r="L191" s="202" t="s">
        <v>2057</v>
      </c>
      <c r="M191" s="204" t="s">
        <v>14</v>
      </c>
    </row>
    <row r="192" spans="1:13" ht="15.5">
      <c r="A192" s="202" t="s">
        <v>763</v>
      </c>
      <c r="B192" s="202" t="s">
        <v>138</v>
      </c>
      <c r="C192" s="202" t="s">
        <v>840</v>
      </c>
      <c r="D192" s="202" t="s">
        <v>132</v>
      </c>
      <c r="E192" s="202" t="s">
        <v>133</v>
      </c>
      <c r="F192" s="202" t="s">
        <v>21</v>
      </c>
      <c r="G192" s="202" t="s">
        <v>72</v>
      </c>
      <c r="H192" s="202" t="s">
        <v>42</v>
      </c>
      <c r="I192" s="202" t="s">
        <v>436</v>
      </c>
      <c r="J192" s="202" t="s">
        <v>9287</v>
      </c>
      <c r="K192" s="203">
        <v>999481</v>
      </c>
      <c r="L192" s="202" t="s">
        <v>2057</v>
      </c>
      <c r="M192" s="204" t="s">
        <v>14</v>
      </c>
    </row>
    <row r="193" spans="1:13" ht="15.5">
      <c r="A193" s="202" t="s">
        <v>763</v>
      </c>
      <c r="B193" s="202" t="s">
        <v>139</v>
      </c>
      <c r="C193" s="202" t="s">
        <v>840</v>
      </c>
      <c r="D193" s="202" t="s">
        <v>140</v>
      </c>
      <c r="E193" s="202" t="s">
        <v>437</v>
      </c>
      <c r="F193" s="202" t="s">
        <v>21</v>
      </c>
      <c r="G193" s="202" t="s">
        <v>70</v>
      </c>
      <c r="H193" s="202" t="s">
        <v>26</v>
      </c>
      <c r="I193" s="202" t="s">
        <v>167</v>
      </c>
      <c r="J193" s="202" t="s">
        <v>9287</v>
      </c>
      <c r="K193" s="203">
        <v>729351</v>
      </c>
      <c r="L193" s="202" t="s">
        <v>2057</v>
      </c>
      <c r="M193" s="204" t="s">
        <v>14</v>
      </c>
    </row>
    <row r="194" spans="1:13" ht="15.5">
      <c r="A194" s="202" t="s">
        <v>763</v>
      </c>
      <c r="B194" s="202" t="s">
        <v>142</v>
      </c>
      <c r="C194" s="202" t="s">
        <v>840</v>
      </c>
      <c r="D194" s="202" t="s">
        <v>140</v>
      </c>
      <c r="E194" s="202" t="s">
        <v>437</v>
      </c>
      <c r="F194" s="202" t="s">
        <v>21</v>
      </c>
      <c r="G194" s="202" t="s">
        <v>70</v>
      </c>
      <c r="H194" s="202" t="s">
        <v>42</v>
      </c>
      <c r="I194" s="202" t="s">
        <v>167</v>
      </c>
      <c r="J194" s="202" t="s">
        <v>9287</v>
      </c>
      <c r="K194" s="203">
        <v>999481</v>
      </c>
      <c r="L194" s="202" t="s">
        <v>2057</v>
      </c>
      <c r="M194" s="204" t="s">
        <v>14</v>
      </c>
    </row>
    <row r="195" spans="1:13" ht="15.5">
      <c r="A195" s="202" t="s">
        <v>763</v>
      </c>
      <c r="B195" s="202" t="s">
        <v>143</v>
      </c>
      <c r="C195" s="202" t="s">
        <v>840</v>
      </c>
      <c r="D195" s="202" t="s">
        <v>140</v>
      </c>
      <c r="E195" s="202" t="s">
        <v>437</v>
      </c>
      <c r="F195" s="202" t="s">
        <v>21</v>
      </c>
      <c r="G195" s="202" t="s">
        <v>74</v>
      </c>
      <c r="H195" s="202" t="s">
        <v>26</v>
      </c>
      <c r="I195" s="202" t="s">
        <v>167</v>
      </c>
      <c r="J195" s="202" t="s">
        <v>9287</v>
      </c>
      <c r="K195" s="203">
        <v>729351</v>
      </c>
      <c r="L195" s="202" t="s">
        <v>2057</v>
      </c>
      <c r="M195" s="204" t="s">
        <v>14</v>
      </c>
    </row>
    <row r="196" spans="1:13" ht="15.5">
      <c r="A196" s="202" t="s">
        <v>763</v>
      </c>
      <c r="B196" s="202" t="s">
        <v>144</v>
      </c>
      <c r="C196" s="202" t="s">
        <v>840</v>
      </c>
      <c r="D196" s="202" t="s">
        <v>140</v>
      </c>
      <c r="E196" s="202" t="s">
        <v>437</v>
      </c>
      <c r="F196" s="202" t="s">
        <v>21</v>
      </c>
      <c r="G196" s="202" t="s">
        <v>74</v>
      </c>
      <c r="H196" s="202" t="s">
        <v>42</v>
      </c>
      <c r="I196" s="202" t="s">
        <v>167</v>
      </c>
      <c r="J196" s="202" t="s">
        <v>9287</v>
      </c>
      <c r="K196" s="203">
        <v>999481</v>
      </c>
      <c r="L196" s="202" t="s">
        <v>2057</v>
      </c>
      <c r="M196" s="204" t="s">
        <v>14</v>
      </c>
    </row>
    <row r="197" spans="1:13" ht="15.5">
      <c r="A197" s="202" t="s">
        <v>763</v>
      </c>
      <c r="B197" s="202" t="s">
        <v>145</v>
      </c>
      <c r="C197" s="202" t="s">
        <v>840</v>
      </c>
      <c r="D197" s="202" t="s">
        <v>140</v>
      </c>
      <c r="E197" s="202" t="s">
        <v>437</v>
      </c>
      <c r="F197" s="202" t="s">
        <v>21</v>
      </c>
      <c r="G197" s="202" t="s">
        <v>72</v>
      </c>
      <c r="H197" s="202" t="s">
        <v>26</v>
      </c>
      <c r="I197" s="202" t="s">
        <v>167</v>
      </c>
      <c r="J197" s="202" t="s">
        <v>9287</v>
      </c>
      <c r="K197" s="203">
        <v>729351</v>
      </c>
      <c r="L197" s="202" t="s">
        <v>2057</v>
      </c>
      <c r="M197" s="204" t="s">
        <v>14</v>
      </c>
    </row>
    <row r="198" spans="1:13" ht="15.5">
      <c r="A198" s="202" t="s">
        <v>763</v>
      </c>
      <c r="B198" s="202" t="s">
        <v>146</v>
      </c>
      <c r="C198" s="202" t="s">
        <v>840</v>
      </c>
      <c r="D198" s="202" t="s">
        <v>140</v>
      </c>
      <c r="E198" s="202" t="s">
        <v>437</v>
      </c>
      <c r="F198" s="202" t="s">
        <v>21</v>
      </c>
      <c r="G198" s="202" t="s">
        <v>72</v>
      </c>
      <c r="H198" s="202" t="s">
        <v>42</v>
      </c>
      <c r="I198" s="202" t="s">
        <v>167</v>
      </c>
      <c r="J198" s="202" t="s">
        <v>9287</v>
      </c>
      <c r="K198" s="203">
        <v>999481</v>
      </c>
      <c r="L198" s="202" t="s">
        <v>2057</v>
      </c>
      <c r="M198" s="204" t="s">
        <v>14</v>
      </c>
    </row>
    <row r="199" spans="1:13" ht="15.5">
      <c r="A199" s="202" t="s">
        <v>763</v>
      </c>
      <c r="B199" s="202" t="s">
        <v>147</v>
      </c>
      <c r="C199" s="202" t="s">
        <v>840</v>
      </c>
      <c r="D199" s="202" t="s">
        <v>148</v>
      </c>
      <c r="E199" s="202" t="s">
        <v>128</v>
      </c>
      <c r="F199" s="202" t="s">
        <v>21</v>
      </c>
      <c r="G199" s="202" t="s">
        <v>70</v>
      </c>
      <c r="H199" s="202" t="s">
        <v>42</v>
      </c>
      <c r="I199" s="202" t="s">
        <v>436</v>
      </c>
      <c r="J199" s="202" t="s">
        <v>9287</v>
      </c>
      <c r="K199" s="203">
        <v>999481</v>
      </c>
      <c r="L199" s="202" t="s">
        <v>2057</v>
      </c>
      <c r="M199" s="204" t="s">
        <v>14</v>
      </c>
    </row>
    <row r="200" spans="1:13" ht="15.5">
      <c r="A200" s="202" t="s">
        <v>763</v>
      </c>
      <c r="B200" s="202" t="s">
        <v>149</v>
      </c>
      <c r="C200" s="202" t="s">
        <v>840</v>
      </c>
      <c r="D200" s="202" t="s">
        <v>148</v>
      </c>
      <c r="E200" s="202" t="s">
        <v>128</v>
      </c>
      <c r="F200" s="202" t="s">
        <v>21</v>
      </c>
      <c r="G200" s="202" t="s">
        <v>74</v>
      </c>
      <c r="H200" s="202" t="s">
        <v>42</v>
      </c>
      <c r="I200" s="202" t="s">
        <v>436</v>
      </c>
      <c r="J200" s="202" t="s">
        <v>9287</v>
      </c>
      <c r="K200" s="203">
        <v>999481</v>
      </c>
      <c r="L200" s="202" t="s">
        <v>2057</v>
      </c>
      <c r="M200" s="204" t="s">
        <v>14</v>
      </c>
    </row>
    <row r="201" spans="1:13" ht="15.5">
      <c r="A201" s="202" t="s">
        <v>763</v>
      </c>
      <c r="B201" s="202" t="s">
        <v>150</v>
      </c>
      <c r="C201" s="202" t="s">
        <v>840</v>
      </c>
      <c r="D201" s="202" t="s">
        <v>148</v>
      </c>
      <c r="E201" s="202" t="s">
        <v>128</v>
      </c>
      <c r="F201" s="202" t="s">
        <v>21</v>
      </c>
      <c r="G201" s="202" t="s">
        <v>72</v>
      </c>
      <c r="H201" s="202" t="s">
        <v>42</v>
      </c>
      <c r="I201" s="202" t="s">
        <v>436</v>
      </c>
      <c r="J201" s="202" t="s">
        <v>9287</v>
      </c>
      <c r="K201" s="203">
        <v>999481</v>
      </c>
      <c r="L201" s="202" t="s">
        <v>2057</v>
      </c>
      <c r="M201" s="204" t="s">
        <v>14</v>
      </c>
    </row>
    <row r="202" spans="1:13" ht="15.5">
      <c r="A202" s="202" t="s">
        <v>763</v>
      </c>
      <c r="B202" s="202" t="s">
        <v>151</v>
      </c>
      <c r="C202" s="202" t="s">
        <v>840</v>
      </c>
      <c r="D202" s="202" t="s">
        <v>152</v>
      </c>
      <c r="E202" s="202" t="s">
        <v>29</v>
      </c>
      <c r="F202" s="202" t="s">
        <v>21</v>
      </c>
      <c r="G202" s="202" t="s">
        <v>74</v>
      </c>
      <c r="H202" s="202" t="s">
        <v>26</v>
      </c>
      <c r="I202" s="202" t="s">
        <v>436</v>
      </c>
      <c r="J202" s="202" t="s">
        <v>9287</v>
      </c>
      <c r="K202" s="203">
        <v>729351</v>
      </c>
      <c r="L202" s="202" t="s">
        <v>2057</v>
      </c>
      <c r="M202" s="204" t="s">
        <v>14</v>
      </c>
    </row>
    <row r="203" spans="1:13" ht="15.5">
      <c r="A203" s="202" t="s">
        <v>763</v>
      </c>
      <c r="B203" s="202" t="s">
        <v>153</v>
      </c>
      <c r="C203" s="202" t="s">
        <v>840</v>
      </c>
      <c r="D203" s="202" t="s">
        <v>152</v>
      </c>
      <c r="E203" s="202" t="s">
        <v>29</v>
      </c>
      <c r="F203" s="202" t="s">
        <v>21</v>
      </c>
      <c r="G203" s="202" t="s">
        <v>74</v>
      </c>
      <c r="H203" s="202" t="s">
        <v>42</v>
      </c>
      <c r="I203" s="202" t="s">
        <v>436</v>
      </c>
      <c r="J203" s="202" t="s">
        <v>9287</v>
      </c>
      <c r="K203" s="203">
        <v>999481</v>
      </c>
      <c r="L203" s="202" t="s">
        <v>2057</v>
      </c>
      <c r="M203" s="204" t="s">
        <v>14</v>
      </c>
    </row>
    <row r="204" spans="1:13" ht="15.5">
      <c r="A204" s="202" t="s">
        <v>763</v>
      </c>
      <c r="B204" s="202" t="s">
        <v>154</v>
      </c>
      <c r="C204" s="202" t="s">
        <v>840</v>
      </c>
      <c r="D204" s="202" t="s">
        <v>152</v>
      </c>
      <c r="E204" s="202" t="s">
        <v>29</v>
      </c>
      <c r="F204" s="202" t="s">
        <v>21</v>
      </c>
      <c r="G204" s="202" t="s">
        <v>70</v>
      </c>
      <c r="H204" s="202" t="s">
        <v>26</v>
      </c>
      <c r="I204" s="202" t="s">
        <v>436</v>
      </c>
      <c r="J204" s="202" t="s">
        <v>9287</v>
      </c>
      <c r="K204" s="203">
        <v>729351</v>
      </c>
      <c r="L204" s="202" t="s">
        <v>2057</v>
      </c>
      <c r="M204" s="204" t="s">
        <v>14</v>
      </c>
    </row>
    <row r="205" spans="1:13" ht="15.5">
      <c r="A205" s="202" t="s">
        <v>763</v>
      </c>
      <c r="B205" s="202" t="s">
        <v>155</v>
      </c>
      <c r="C205" s="202" t="s">
        <v>840</v>
      </c>
      <c r="D205" s="202" t="s">
        <v>152</v>
      </c>
      <c r="E205" s="202" t="s">
        <v>29</v>
      </c>
      <c r="F205" s="202" t="s">
        <v>21</v>
      </c>
      <c r="G205" s="202" t="s">
        <v>72</v>
      </c>
      <c r="H205" s="202" t="s">
        <v>26</v>
      </c>
      <c r="I205" s="202" t="s">
        <v>436</v>
      </c>
      <c r="J205" s="202" t="s">
        <v>9287</v>
      </c>
      <c r="K205" s="203">
        <v>729351</v>
      </c>
      <c r="L205" s="202" t="s">
        <v>2057</v>
      </c>
      <c r="M205" s="204" t="s">
        <v>14</v>
      </c>
    </row>
    <row r="206" spans="1:13" ht="15.5">
      <c r="A206" s="202" t="s">
        <v>763</v>
      </c>
      <c r="B206" s="202" t="s">
        <v>156</v>
      </c>
      <c r="C206" s="202" t="s">
        <v>840</v>
      </c>
      <c r="D206" s="202" t="s">
        <v>152</v>
      </c>
      <c r="E206" s="202" t="s">
        <v>29</v>
      </c>
      <c r="F206" s="202" t="s">
        <v>21</v>
      </c>
      <c r="G206" s="202" t="s">
        <v>72</v>
      </c>
      <c r="H206" s="202" t="s">
        <v>42</v>
      </c>
      <c r="I206" s="202" t="s">
        <v>436</v>
      </c>
      <c r="J206" s="202" t="s">
        <v>9287</v>
      </c>
      <c r="K206" s="203">
        <v>999481</v>
      </c>
      <c r="L206" s="202" t="s">
        <v>2057</v>
      </c>
      <c r="M206" s="204" t="s">
        <v>14</v>
      </c>
    </row>
    <row r="207" spans="1:13" ht="15.5">
      <c r="A207" s="202" t="s">
        <v>763</v>
      </c>
      <c r="B207" s="202" t="s">
        <v>157</v>
      </c>
      <c r="C207" s="202" t="s">
        <v>840</v>
      </c>
      <c r="D207" s="202" t="s">
        <v>152</v>
      </c>
      <c r="E207" s="202" t="s">
        <v>29</v>
      </c>
      <c r="F207" s="202" t="s">
        <v>21</v>
      </c>
      <c r="G207" s="202" t="s">
        <v>70</v>
      </c>
      <c r="H207" s="202" t="s">
        <v>42</v>
      </c>
      <c r="I207" s="202" t="s">
        <v>436</v>
      </c>
      <c r="J207" s="202" t="s">
        <v>9287</v>
      </c>
      <c r="K207" s="203">
        <v>999481</v>
      </c>
      <c r="L207" s="202" t="s">
        <v>2057</v>
      </c>
      <c r="M207" s="204" t="s">
        <v>14</v>
      </c>
    </row>
    <row r="208" spans="1:13" ht="15.5">
      <c r="A208" s="202" t="s">
        <v>763</v>
      </c>
      <c r="B208" s="202" t="s">
        <v>158</v>
      </c>
      <c r="C208" s="202" t="s">
        <v>840</v>
      </c>
      <c r="D208" s="202" t="s">
        <v>159</v>
      </c>
      <c r="E208" s="202" t="s">
        <v>29</v>
      </c>
      <c r="F208" s="202" t="s">
        <v>21</v>
      </c>
      <c r="G208" s="202" t="s">
        <v>70</v>
      </c>
      <c r="H208" s="202" t="s">
        <v>42</v>
      </c>
      <c r="I208" s="202" t="s">
        <v>436</v>
      </c>
      <c r="J208" s="202" t="s">
        <v>9287</v>
      </c>
      <c r="K208" s="203">
        <v>999481</v>
      </c>
      <c r="L208" s="202" t="s">
        <v>2057</v>
      </c>
      <c r="M208" s="204" t="s">
        <v>14</v>
      </c>
    </row>
    <row r="209" spans="1:13" ht="15.5">
      <c r="A209" s="202" t="s">
        <v>763</v>
      </c>
      <c r="B209" s="202" t="s">
        <v>160</v>
      </c>
      <c r="C209" s="202" t="s">
        <v>840</v>
      </c>
      <c r="D209" s="202" t="s">
        <v>159</v>
      </c>
      <c r="E209" s="202" t="s">
        <v>29</v>
      </c>
      <c r="F209" s="202" t="s">
        <v>21</v>
      </c>
      <c r="G209" s="202" t="s">
        <v>74</v>
      </c>
      <c r="H209" s="202" t="s">
        <v>26</v>
      </c>
      <c r="I209" s="202" t="s">
        <v>436</v>
      </c>
      <c r="J209" s="202" t="s">
        <v>9287</v>
      </c>
      <c r="K209" s="203">
        <v>729351</v>
      </c>
      <c r="L209" s="202" t="s">
        <v>2057</v>
      </c>
      <c r="M209" s="204" t="s">
        <v>14</v>
      </c>
    </row>
    <row r="210" spans="1:13" ht="15.5">
      <c r="A210" s="202" t="s">
        <v>763</v>
      </c>
      <c r="B210" s="202" t="s">
        <v>161</v>
      </c>
      <c r="C210" s="202" t="s">
        <v>840</v>
      </c>
      <c r="D210" s="202" t="s">
        <v>159</v>
      </c>
      <c r="E210" s="202" t="s">
        <v>29</v>
      </c>
      <c r="F210" s="202" t="s">
        <v>21</v>
      </c>
      <c r="G210" s="202" t="s">
        <v>74</v>
      </c>
      <c r="H210" s="202" t="s">
        <v>42</v>
      </c>
      <c r="I210" s="202" t="s">
        <v>436</v>
      </c>
      <c r="J210" s="202" t="s">
        <v>9287</v>
      </c>
      <c r="K210" s="203">
        <v>999481</v>
      </c>
      <c r="L210" s="202" t="s">
        <v>2057</v>
      </c>
      <c r="M210" s="204" t="s">
        <v>14</v>
      </c>
    </row>
    <row r="211" spans="1:13" ht="15.5">
      <c r="A211" s="202" t="s">
        <v>763</v>
      </c>
      <c r="B211" s="202" t="s">
        <v>162</v>
      </c>
      <c r="C211" s="202" t="s">
        <v>840</v>
      </c>
      <c r="D211" s="202" t="s">
        <v>159</v>
      </c>
      <c r="E211" s="202" t="s">
        <v>29</v>
      </c>
      <c r="F211" s="202" t="s">
        <v>21</v>
      </c>
      <c r="G211" s="202" t="s">
        <v>72</v>
      </c>
      <c r="H211" s="202" t="s">
        <v>26</v>
      </c>
      <c r="I211" s="202" t="s">
        <v>436</v>
      </c>
      <c r="J211" s="202" t="s">
        <v>9287</v>
      </c>
      <c r="K211" s="203">
        <v>729351</v>
      </c>
      <c r="L211" s="202" t="s">
        <v>2057</v>
      </c>
      <c r="M211" s="204" t="s">
        <v>14</v>
      </c>
    </row>
    <row r="212" spans="1:13" ht="15.5">
      <c r="A212" s="202" t="s">
        <v>763</v>
      </c>
      <c r="B212" s="202" t="s">
        <v>163</v>
      </c>
      <c r="C212" s="202" t="s">
        <v>840</v>
      </c>
      <c r="D212" s="202" t="s">
        <v>159</v>
      </c>
      <c r="E212" s="202" t="s">
        <v>29</v>
      </c>
      <c r="F212" s="202" t="s">
        <v>21</v>
      </c>
      <c r="G212" s="202" t="s">
        <v>72</v>
      </c>
      <c r="H212" s="202" t="s">
        <v>42</v>
      </c>
      <c r="I212" s="202" t="s">
        <v>436</v>
      </c>
      <c r="J212" s="202" t="s">
        <v>9287</v>
      </c>
      <c r="K212" s="203">
        <v>999481</v>
      </c>
      <c r="L212" s="202" t="s">
        <v>2057</v>
      </c>
      <c r="M212" s="204" t="s">
        <v>14</v>
      </c>
    </row>
    <row r="213" spans="1:13" ht="15.5">
      <c r="A213" s="202" t="s">
        <v>763</v>
      </c>
      <c r="B213" s="202" t="s">
        <v>164</v>
      </c>
      <c r="C213" s="202" t="s">
        <v>840</v>
      </c>
      <c r="D213" s="202" t="s">
        <v>159</v>
      </c>
      <c r="E213" s="202" t="s">
        <v>29</v>
      </c>
      <c r="F213" s="202" t="s">
        <v>21</v>
      </c>
      <c r="G213" s="202" t="s">
        <v>70</v>
      </c>
      <c r="H213" s="202" t="s">
        <v>26</v>
      </c>
      <c r="I213" s="202" t="s">
        <v>436</v>
      </c>
      <c r="J213" s="202" t="s">
        <v>9287</v>
      </c>
      <c r="K213" s="203">
        <v>729351</v>
      </c>
      <c r="L213" s="202" t="s">
        <v>2057</v>
      </c>
      <c r="M213" s="204" t="s">
        <v>14</v>
      </c>
    </row>
  </sheetData>
  <autoFilter ref="A1:N137"/>
  <conditionalFormatting sqref="B1">
    <cfRule type="duplicateValues" dxfId="67" priority="112"/>
    <cfRule type="duplicateValues" dxfId="66" priority="113"/>
    <cfRule type="duplicateValues" dxfId="65" priority="114"/>
  </conditionalFormatting>
  <conditionalFormatting sqref="B2:B213">
    <cfRule type="duplicateValues" dxfId="64" priority="1"/>
  </conditionalFormatting>
  <dataValidations count="2">
    <dataValidation type="list" allowBlank="1" showInputMessage="1" showErrorMessage="1" sqref="M2:M213">
      <formula1>"COP,USD"</formula1>
    </dataValidation>
    <dataValidation type="list" allowBlank="1" showInputMessage="1" showErrorMessage="1" sqref="L2:L8 L16:L21 L28:L34 L42:L47 L54:L59 L66:L71 L78:L83 L95:L110 L122:L127 L134:L138 L144:L145 L148:L149 L152">
      <formula1>"Sí,No"</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8"/>
  <sheetViews>
    <sheetView zoomScaleNormal="100" workbookViewId="0">
      <selection sqref="A1:M3"/>
    </sheetView>
  </sheetViews>
  <sheetFormatPr baseColWidth="10" defaultColWidth="11.453125" defaultRowHeight="14.5"/>
  <cols>
    <col min="1" max="1" width="39.6328125" style="8" bestFit="1" customWidth="1"/>
    <col min="2" max="2" width="13.90625" style="8" bestFit="1" customWidth="1"/>
    <col min="3" max="3" width="15.90625" style="8" bestFit="1" customWidth="1"/>
    <col min="4" max="4" width="95.36328125" style="8" bestFit="1" customWidth="1"/>
    <col min="5" max="5" width="10.08984375" style="8" bestFit="1" customWidth="1"/>
    <col min="6" max="6" width="8" style="8" bestFit="1" customWidth="1"/>
    <col min="7" max="7" width="8.6328125" style="8" bestFit="1" customWidth="1"/>
    <col min="8" max="8" width="11" style="8" bestFit="1" customWidth="1"/>
    <col min="9" max="9" width="7.453125" style="8" bestFit="1" customWidth="1"/>
    <col min="10" max="10" width="10.6328125" style="8" bestFit="1" customWidth="1"/>
    <col min="11" max="11" width="14.36328125" style="8" bestFit="1" customWidth="1"/>
    <col min="12" max="12" width="8.36328125" style="8" bestFit="1" customWidth="1"/>
    <col min="13" max="13" width="10.6328125" style="8" bestFit="1" customWidth="1"/>
    <col min="14" max="16384" width="11.453125" style="8"/>
  </cols>
  <sheetData>
    <row r="1" spans="1:13">
      <c r="A1" s="327" t="s">
        <v>6705</v>
      </c>
      <c r="B1" s="327"/>
      <c r="C1" s="327"/>
      <c r="D1" s="327"/>
      <c r="E1" s="327"/>
      <c r="F1" s="327"/>
      <c r="G1" s="327"/>
      <c r="H1" s="327"/>
      <c r="I1" s="327"/>
      <c r="J1" s="327"/>
      <c r="K1" s="327"/>
      <c r="L1" s="327"/>
      <c r="M1" s="327"/>
    </row>
    <row r="2" spans="1:13">
      <c r="A2" s="327"/>
      <c r="B2" s="327"/>
      <c r="C2" s="327"/>
      <c r="D2" s="327"/>
      <c r="E2" s="327"/>
      <c r="F2" s="327"/>
      <c r="G2" s="327"/>
      <c r="H2" s="327"/>
      <c r="I2" s="327"/>
      <c r="J2" s="327"/>
      <c r="K2" s="327"/>
      <c r="L2" s="327"/>
      <c r="M2" s="327"/>
    </row>
    <row r="3" spans="1:13">
      <c r="A3" s="327"/>
      <c r="B3" s="327"/>
      <c r="C3" s="327"/>
      <c r="D3" s="327"/>
      <c r="E3" s="327"/>
      <c r="F3" s="327"/>
      <c r="G3" s="327"/>
      <c r="H3" s="327"/>
      <c r="I3" s="327"/>
      <c r="J3" s="327"/>
      <c r="K3" s="327"/>
      <c r="L3" s="327"/>
      <c r="M3" s="327"/>
    </row>
    <row r="4" spans="1:13" ht="15">
      <c r="A4" s="189" t="s">
        <v>1445</v>
      </c>
      <c r="B4" s="189" t="s">
        <v>1430</v>
      </c>
      <c r="C4" s="189" t="s">
        <v>1446</v>
      </c>
      <c r="D4" s="189" t="s">
        <v>4</v>
      </c>
      <c r="E4" s="189" t="s">
        <v>5</v>
      </c>
      <c r="F4" s="189" t="s">
        <v>6</v>
      </c>
      <c r="G4" s="189" t="s">
        <v>7</v>
      </c>
      <c r="H4" s="189" t="s">
        <v>8</v>
      </c>
      <c r="I4" s="189" t="s">
        <v>9</v>
      </c>
      <c r="J4" s="189" t="s">
        <v>1434</v>
      </c>
      <c r="K4" s="189" t="s">
        <v>1432</v>
      </c>
      <c r="L4" s="189" t="s">
        <v>1433</v>
      </c>
      <c r="M4" s="189" t="s">
        <v>3</v>
      </c>
    </row>
    <row r="5" spans="1:13">
      <c r="A5" s="27" t="s">
        <v>6705</v>
      </c>
      <c r="B5" s="141" t="s">
        <v>6706</v>
      </c>
      <c r="C5" s="141" t="s">
        <v>6707</v>
      </c>
      <c r="D5" s="142" t="s">
        <v>6708</v>
      </c>
      <c r="E5" s="143">
        <v>1</v>
      </c>
      <c r="F5" s="143" t="s">
        <v>168</v>
      </c>
      <c r="G5" s="143" t="s">
        <v>26</v>
      </c>
      <c r="H5" s="143" t="s">
        <v>26</v>
      </c>
      <c r="I5" s="143" t="s">
        <v>176</v>
      </c>
      <c r="J5" s="143" t="s">
        <v>643</v>
      </c>
      <c r="K5" s="144">
        <v>6000</v>
      </c>
      <c r="L5" s="145" t="s">
        <v>172</v>
      </c>
      <c r="M5" s="143" t="s">
        <v>6709</v>
      </c>
    </row>
    <row r="6" spans="1:13">
      <c r="A6" s="27" t="s">
        <v>6705</v>
      </c>
      <c r="B6" s="141" t="s">
        <v>6710</v>
      </c>
      <c r="C6" s="141" t="s">
        <v>6707</v>
      </c>
      <c r="D6" s="142" t="s">
        <v>6711</v>
      </c>
      <c r="E6" s="143">
        <v>1</v>
      </c>
      <c r="F6" s="143" t="s">
        <v>168</v>
      </c>
      <c r="G6" s="143" t="s">
        <v>26</v>
      </c>
      <c r="H6" s="143" t="s">
        <v>26</v>
      </c>
      <c r="I6" s="143" t="s">
        <v>176</v>
      </c>
      <c r="J6" s="143" t="s">
        <v>643</v>
      </c>
      <c r="K6" s="144">
        <v>12000</v>
      </c>
      <c r="L6" s="145" t="s">
        <v>172</v>
      </c>
      <c r="M6" s="143" t="s">
        <v>6709</v>
      </c>
    </row>
    <row r="7" spans="1:13">
      <c r="A7" s="27" t="s">
        <v>6705</v>
      </c>
      <c r="B7" s="141" t="s">
        <v>6712</v>
      </c>
      <c r="C7" s="141" t="s">
        <v>6707</v>
      </c>
      <c r="D7" s="142" t="s">
        <v>6713</v>
      </c>
      <c r="E7" s="143">
        <v>1</v>
      </c>
      <c r="F7" s="143" t="s">
        <v>168</v>
      </c>
      <c r="G7" s="143" t="s">
        <v>26</v>
      </c>
      <c r="H7" s="143" t="s">
        <v>26</v>
      </c>
      <c r="I7" s="143" t="s">
        <v>176</v>
      </c>
      <c r="J7" s="143" t="s">
        <v>643</v>
      </c>
      <c r="K7" s="144">
        <v>18000</v>
      </c>
      <c r="L7" s="145" t="s">
        <v>172</v>
      </c>
      <c r="M7" s="143" t="s">
        <v>6709</v>
      </c>
    </row>
    <row r="8" spans="1:13">
      <c r="A8" s="27" t="s">
        <v>6705</v>
      </c>
      <c r="B8" s="141" t="s">
        <v>6714</v>
      </c>
      <c r="C8" s="141" t="s">
        <v>6707</v>
      </c>
      <c r="D8" s="142" t="s">
        <v>6715</v>
      </c>
      <c r="E8" s="143">
        <v>1</v>
      </c>
      <c r="F8" s="143" t="s">
        <v>168</v>
      </c>
      <c r="G8" s="143" t="s">
        <v>26</v>
      </c>
      <c r="H8" s="143" t="s">
        <v>26</v>
      </c>
      <c r="I8" s="143" t="s">
        <v>176</v>
      </c>
      <c r="J8" s="143" t="s">
        <v>643</v>
      </c>
      <c r="K8" s="144">
        <v>30000</v>
      </c>
      <c r="L8" s="145" t="s">
        <v>172</v>
      </c>
      <c r="M8" s="143" t="s">
        <v>6709</v>
      </c>
    </row>
    <row r="9" spans="1:13">
      <c r="A9" s="27" t="s">
        <v>6705</v>
      </c>
      <c r="B9" s="141" t="s">
        <v>6716</v>
      </c>
      <c r="C9" s="141" t="s">
        <v>6707</v>
      </c>
      <c r="D9" s="142" t="s">
        <v>6717</v>
      </c>
      <c r="E9" s="143">
        <v>1</v>
      </c>
      <c r="F9" s="143" t="s">
        <v>168</v>
      </c>
      <c r="G9" s="143" t="s">
        <v>26</v>
      </c>
      <c r="H9" s="143" t="s">
        <v>26</v>
      </c>
      <c r="I9" s="143" t="s">
        <v>176</v>
      </c>
      <c r="J9" s="143" t="s">
        <v>643</v>
      </c>
      <c r="K9" s="144">
        <v>42000</v>
      </c>
      <c r="L9" s="145" t="s">
        <v>172</v>
      </c>
      <c r="M9" s="143" t="s">
        <v>6709</v>
      </c>
    </row>
    <row r="10" spans="1:13">
      <c r="A10" s="27" t="s">
        <v>6705</v>
      </c>
      <c r="B10" s="141" t="s">
        <v>6718</v>
      </c>
      <c r="C10" s="141" t="s">
        <v>6707</v>
      </c>
      <c r="D10" s="142" t="s">
        <v>6719</v>
      </c>
      <c r="E10" s="143">
        <v>1</v>
      </c>
      <c r="F10" s="143" t="s">
        <v>168</v>
      </c>
      <c r="G10" s="143" t="s">
        <v>26</v>
      </c>
      <c r="H10" s="143" t="s">
        <v>26</v>
      </c>
      <c r="I10" s="143" t="s">
        <v>176</v>
      </c>
      <c r="J10" s="143" t="s">
        <v>643</v>
      </c>
      <c r="K10" s="144">
        <v>24000</v>
      </c>
      <c r="L10" s="145" t="s">
        <v>172</v>
      </c>
      <c r="M10" s="143" t="s">
        <v>6709</v>
      </c>
    </row>
    <row r="11" spans="1:13">
      <c r="A11" s="27" t="s">
        <v>6705</v>
      </c>
      <c r="B11" s="141" t="s">
        <v>6720</v>
      </c>
      <c r="C11" s="141" t="s">
        <v>6707</v>
      </c>
      <c r="D11" s="142" t="s">
        <v>6721</v>
      </c>
      <c r="E11" s="143">
        <v>1</v>
      </c>
      <c r="F11" s="143" t="s">
        <v>168</v>
      </c>
      <c r="G11" s="143" t="s">
        <v>26</v>
      </c>
      <c r="H11" s="143" t="s">
        <v>26</v>
      </c>
      <c r="I11" s="143" t="s">
        <v>176</v>
      </c>
      <c r="J11" s="143" t="s">
        <v>643</v>
      </c>
      <c r="K11" s="144">
        <v>500</v>
      </c>
      <c r="L11" s="145" t="s">
        <v>172</v>
      </c>
      <c r="M11" s="143" t="s">
        <v>6709</v>
      </c>
    </row>
    <row r="12" spans="1:13">
      <c r="A12" s="27" t="s">
        <v>6705</v>
      </c>
      <c r="B12" s="141" t="s">
        <v>6722</v>
      </c>
      <c r="C12" s="141" t="s">
        <v>6707</v>
      </c>
      <c r="D12" s="142" t="s">
        <v>6723</v>
      </c>
      <c r="E12" s="143">
        <v>1</v>
      </c>
      <c r="F12" s="143" t="s">
        <v>168</v>
      </c>
      <c r="G12" s="143" t="s">
        <v>26</v>
      </c>
      <c r="H12" s="143" t="s">
        <v>26</v>
      </c>
      <c r="I12" s="143" t="s">
        <v>176</v>
      </c>
      <c r="J12" s="143" t="s">
        <v>643</v>
      </c>
      <c r="K12" s="144">
        <v>500</v>
      </c>
      <c r="L12" s="145" t="s">
        <v>172</v>
      </c>
      <c r="M12" s="143" t="s">
        <v>6709</v>
      </c>
    </row>
    <row r="13" spans="1:13">
      <c r="A13" s="27" t="s">
        <v>6705</v>
      </c>
      <c r="B13" s="141" t="s">
        <v>6724</v>
      </c>
      <c r="C13" s="141" t="s">
        <v>6707</v>
      </c>
      <c r="D13" s="142" t="s">
        <v>6725</v>
      </c>
      <c r="E13" s="143">
        <v>1</v>
      </c>
      <c r="F13" s="143" t="s">
        <v>168</v>
      </c>
      <c r="G13" s="143" t="s">
        <v>26</v>
      </c>
      <c r="H13" s="143" t="s">
        <v>26</v>
      </c>
      <c r="I13" s="143" t="s">
        <v>176</v>
      </c>
      <c r="J13" s="143" t="s">
        <v>643</v>
      </c>
      <c r="K13" s="144">
        <v>6000</v>
      </c>
      <c r="L13" s="145" t="s">
        <v>172</v>
      </c>
      <c r="M13" s="143" t="s">
        <v>6709</v>
      </c>
    </row>
    <row r="14" spans="1:13">
      <c r="A14" s="27" t="s">
        <v>6705</v>
      </c>
      <c r="B14" s="141" t="s">
        <v>6726</v>
      </c>
      <c r="C14" s="141" t="s">
        <v>6707</v>
      </c>
      <c r="D14" s="142" t="s">
        <v>6727</v>
      </c>
      <c r="E14" s="143">
        <v>1</v>
      </c>
      <c r="F14" s="143" t="s">
        <v>168</v>
      </c>
      <c r="G14" s="143" t="s">
        <v>26</v>
      </c>
      <c r="H14" s="143" t="s">
        <v>26</v>
      </c>
      <c r="I14" s="143" t="s">
        <v>176</v>
      </c>
      <c r="J14" s="143" t="s">
        <v>643</v>
      </c>
      <c r="K14" s="144">
        <v>12000</v>
      </c>
      <c r="L14" s="145" t="s">
        <v>172</v>
      </c>
      <c r="M14" s="143" t="s">
        <v>6709</v>
      </c>
    </row>
    <row r="15" spans="1:13">
      <c r="A15" s="27" t="s">
        <v>6705</v>
      </c>
      <c r="B15" s="141" t="s">
        <v>6728</v>
      </c>
      <c r="C15" s="141" t="s">
        <v>6707</v>
      </c>
      <c r="D15" s="142" t="s">
        <v>6729</v>
      </c>
      <c r="E15" s="143">
        <v>1</v>
      </c>
      <c r="F15" s="143" t="s">
        <v>168</v>
      </c>
      <c r="G15" s="143" t="s">
        <v>26</v>
      </c>
      <c r="H15" s="143" t="s">
        <v>26</v>
      </c>
      <c r="I15" s="143" t="s">
        <v>176</v>
      </c>
      <c r="J15" s="143" t="s">
        <v>643</v>
      </c>
      <c r="K15" s="144">
        <v>18000</v>
      </c>
      <c r="L15" s="145" t="s">
        <v>172</v>
      </c>
      <c r="M15" s="143" t="s">
        <v>6709</v>
      </c>
    </row>
    <row r="16" spans="1:13">
      <c r="A16" s="27" t="s">
        <v>6705</v>
      </c>
      <c r="B16" s="141" t="s">
        <v>6730</v>
      </c>
      <c r="C16" s="141" t="s">
        <v>6707</v>
      </c>
      <c r="D16" s="142" t="s">
        <v>6731</v>
      </c>
      <c r="E16" s="143">
        <v>1</v>
      </c>
      <c r="F16" s="143" t="s">
        <v>168</v>
      </c>
      <c r="G16" s="143" t="s">
        <v>26</v>
      </c>
      <c r="H16" s="143" t="s">
        <v>26</v>
      </c>
      <c r="I16" s="143" t="s">
        <v>176</v>
      </c>
      <c r="J16" s="143" t="s">
        <v>643</v>
      </c>
      <c r="K16" s="144">
        <v>30000</v>
      </c>
      <c r="L16" s="145" t="s">
        <v>172</v>
      </c>
      <c r="M16" s="143" t="s">
        <v>6709</v>
      </c>
    </row>
    <row r="17" spans="1:13">
      <c r="A17" s="27" t="s">
        <v>6705</v>
      </c>
      <c r="B17" s="141" t="s">
        <v>6732</v>
      </c>
      <c r="C17" s="141" t="s">
        <v>6707</v>
      </c>
      <c r="D17" s="142" t="s">
        <v>6733</v>
      </c>
      <c r="E17" s="143">
        <v>1</v>
      </c>
      <c r="F17" s="143" t="s">
        <v>168</v>
      </c>
      <c r="G17" s="143" t="s">
        <v>26</v>
      </c>
      <c r="H17" s="143" t="s">
        <v>26</v>
      </c>
      <c r="I17" s="143" t="s">
        <v>176</v>
      </c>
      <c r="J17" s="143" t="s">
        <v>643</v>
      </c>
      <c r="K17" s="144">
        <v>42000</v>
      </c>
      <c r="L17" s="145" t="s">
        <v>172</v>
      </c>
      <c r="M17" s="143" t="s">
        <v>6709</v>
      </c>
    </row>
    <row r="18" spans="1:13">
      <c r="A18" s="27" t="s">
        <v>6705</v>
      </c>
      <c r="B18" s="141" t="s">
        <v>6734</v>
      </c>
      <c r="C18" s="141" t="s">
        <v>6707</v>
      </c>
      <c r="D18" s="142" t="s">
        <v>6735</v>
      </c>
      <c r="E18" s="143">
        <v>1</v>
      </c>
      <c r="F18" s="143" t="s">
        <v>168</v>
      </c>
      <c r="G18" s="143" t="s">
        <v>26</v>
      </c>
      <c r="H18" s="143" t="s">
        <v>26</v>
      </c>
      <c r="I18" s="143" t="s">
        <v>176</v>
      </c>
      <c r="J18" s="143" t="s">
        <v>643</v>
      </c>
      <c r="K18" s="144">
        <v>24000</v>
      </c>
      <c r="L18" s="145" t="s">
        <v>172</v>
      </c>
      <c r="M18" s="143" t="s">
        <v>6709</v>
      </c>
    </row>
    <row r="19" spans="1:13">
      <c r="A19" s="27" t="s">
        <v>6705</v>
      </c>
      <c r="B19" s="141" t="s">
        <v>6736</v>
      </c>
      <c r="C19" s="141" t="s">
        <v>6707</v>
      </c>
      <c r="D19" s="142" t="s">
        <v>6737</v>
      </c>
      <c r="E19" s="143">
        <v>1</v>
      </c>
      <c r="F19" s="143" t="s">
        <v>168</v>
      </c>
      <c r="G19" s="143" t="s">
        <v>26</v>
      </c>
      <c r="H19" s="143" t="s">
        <v>26</v>
      </c>
      <c r="I19" s="143" t="s">
        <v>176</v>
      </c>
      <c r="J19" s="143" t="s">
        <v>643</v>
      </c>
      <c r="K19" s="144">
        <v>500</v>
      </c>
      <c r="L19" s="145" t="s">
        <v>172</v>
      </c>
      <c r="M19" s="143" t="s">
        <v>6709</v>
      </c>
    </row>
    <row r="20" spans="1:13">
      <c r="A20" s="27" t="s">
        <v>6705</v>
      </c>
      <c r="B20" s="141" t="s">
        <v>6738</v>
      </c>
      <c r="C20" s="141" t="s">
        <v>6707</v>
      </c>
      <c r="D20" s="142" t="s">
        <v>6739</v>
      </c>
      <c r="E20" s="143">
        <v>1</v>
      </c>
      <c r="F20" s="143" t="s">
        <v>168</v>
      </c>
      <c r="G20" s="143" t="s">
        <v>26</v>
      </c>
      <c r="H20" s="143" t="s">
        <v>26</v>
      </c>
      <c r="I20" s="143" t="s">
        <v>176</v>
      </c>
      <c r="J20" s="143" t="s">
        <v>643</v>
      </c>
      <c r="K20" s="144">
        <v>500</v>
      </c>
      <c r="L20" s="145" t="s">
        <v>172</v>
      </c>
      <c r="M20" s="143" t="s">
        <v>6709</v>
      </c>
    </row>
    <row r="21" spans="1:13">
      <c r="A21" s="27" t="s">
        <v>6705</v>
      </c>
      <c r="B21" s="141" t="s">
        <v>6740</v>
      </c>
      <c r="C21" s="141" t="s">
        <v>6707</v>
      </c>
      <c r="D21" s="142" t="s">
        <v>6741</v>
      </c>
      <c r="E21" s="143">
        <v>1</v>
      </c>
      <c r="F21" s="143" t="s">
        <v>168</v>
      </c>
      <c r="G21" s="143" t="s">
        <v>26</v>
      </c>
      <c r="H21" s="143" t="s">
        <v>26</v>
      </c>
      <c r="I21" s="143" t="s">
        <v>176</v>
      </c>
      <c r="J21" s="143" t="s">
        <v>643</v>
      </c>
      <c r="K21" s="144">
        <v>300000</v>
      </c>
      <c r="L21" s="145" t="s">
        <v>172</v>
      </c>
      <c r="M21" s="143" t="s">
        <v>6709</v>
      </c>
    </row>
    <row r="22" spans="1:13">
      <c r="A22" s="27" t="s">
        <v>6705</v>
      </c>
      <c r="B22" s="141" t="s">
        <v>6742</v>
      </c>
      <c r="C22" s="141" t="s">
        <v>6707</v>
      </c>
      <c r="D22" s="142" t="s">
        <v>6743</v>
      </c>
      <c r="E22" s="143">
        <v>1</v>
      </c>
      <c r="F22" s="143" t="s">
        <v>168</v>
      </c>
      <c r="G22" s="143" t="s">
        <v>26</v>
      </c>
      <c r="H22" s="143" t="s">
        <v>26</v>
      </c>
      <c r="I22" s="143" t="s">
        <v>176</v>
      </c>
      <c r="J22" s="143" t="s">
        <v>643</v>
      </c>
      <c r="K22" s="144">
        <v>600000</v>
      </c>
      <c r="L22" s="145" t="s">
        <v>172</v>
      </c>
      <c r="M22" s="143" t="s">
        <v>6709</v>
      </c>
    </row>
    <row r="23" spans="1:13">
      <c r="A23" s="27" t="s">
        <v>6705</v>
      </c>
      <c r="B23" s="141" t="s">
        <v>6744</v>
      </c>
      <c r="C23" s="141" t="s">
        <v>6707</v>
      </c>
      <c r="D23" s="142" t="s">
        <v>6745</v>
      </c>
      <c r="E23" s="143">
        <v>1</v>
      </c>
      <c r="F23" s="143" t="s">
        <v>168</v>
      </c>
      <c r="G23" s="143" t="s">
        <v>26</v>
      </c>
      <c r="H23" s="143" t="s">
        <v>26</v>
      </c>
      <c r="I23" s="143" t="s">
        <v>176</v>
      </c>
      <c r="J23" s="143" t="s">
        <v>643</v>
      </c>
      <c r="K23" s="144">
        <v>900000</v>
      </c>
      <c r="L23" s="145" t="s">
        <v>172</v>
      </c>
      <c r="M23" s="143" t="s">
        <v>6709</v>
      </c>
    </row>
    <row r="24" spans="1:13">
      <c r="A24" s="27" t="s">
        <v>6705</v>
      </c>
      <c r="B24" s="141" t="s">
        <v>6746</v>
      </c>
      <c r="C24" s="141" t="s">
        <v>6707</v>
      </c>
      <c r="D24" s="142" t="s">
        <v>6747</v>
      </c>
      <c r="E24" s="143">
        <v>1</v>
      </c>
      <c r="F24" s="143" t="s">
        <v>168</v>
      </c>
      <c r="G24" s="143" t="s">
        <v>26</v>
      </c>
      <c r="H24" s="143" t="s">
        <v>26</v>
      </c>
      <c r="I24" s="143" t="s">
        <v>176</v>
      </c>
      <c r="J24" s="143" t="s">
        <v>643</v>
      </c>
      <c r="K24" s="144">
        <v>1500000</v>
      </c>
      <c r="L24" s="145" t="s">
        <v>172</v>
      </c>
      <c r="M24" s="143" t="s">
        <v>6709</v>
      </c>
    </row>
    <row r="25" spans="1:13">
      <c r="A25" s="27" t="s">
        <v>6705</v>
      </c>
      <c r="B25" s="141" t="s">
        <v>6748</v>
      </c>
      <c r="C25" s="141" t="s">
        <v>6707</v>
      </c>
      <c r="D25" s="142" t="s">
        <v>6749</v>
      </c>
      <c r="E25" s="143">
        <v>1</v>
      </c>
      <c r="F25" s="143" t="s">
        <v>168</v>
      </c>
      <c r="G25" s="143" t="s">
        <v>26</v>
      </c>
      <c r="H25" s="143" t="s">
        <v>26</v>
      </c>
      <c r="I25" s="143" t="s">
        <v>176</v>
      </c>
      <c r="J25" s="143" t="s">
        <v>643</v>
      </c>
      <c r="K25" s="144">
        <v>2100000</v>
      </c>
      <c r="L25" s="145" t="s">
        <v>172</v>
      </c>
      <c r="M25" s="143" t="s">
        <v>6709</v>
      </c>
    </row>
    <row r="26" spans="1:13">
      <c r="A26" s="27" t="s">
        <v>6705</v>
      </c>
      <c r="B26" s="141" t="s">
        <v>6750</v>
      </c>
      <c r="C26" s="141" t="s">
        <v>6707</v>
      </c>
      <c r="D26" s="142" t="s">
        <v>6751</v>
      </c>
      <c r="E26" s="143">
        <v>1</v>
      </c>
      <c r="F26" s="143" t="s">
        <v>168</v>
      </c>
      <c r="G26" s="143" t="s">
        <v>26</v>
      </c>
      <c r="H26" s="143" t="s">
        <v>26</v>
      </c>
      <c r="I26" s="143" t="s">
        <v>176</v>
      </c>
      <c r="J26" s="143" t="s">
        <v>643</v>
      </c>
      <c r="K26" s="144">
        <v>1200000</v>
      </c>
      <c r="L26" s="145" t="s">
        <v>172</v>
      </c>
      <c r="M26" s="143" t="s">
        <v>6709</v>
      </c>
    </row>
    <row r="27" spans="1:13">
      <c r="A27" s="27" t="s">
        <v>6705</v>
      </c>
      <c r="B27" s="141" t="s">
        <v>6752</v>
      </c>
      <c r="C27" s="141" t="s">
        <v>6707</v>
      </c>
      <c r="D27" s="142" t="s">
        <v>6753</v>
      </c>
      <c r="E27" s="143">
        <v>1</v>
      </c>
      <c r="F27" s="143" t="s">
        <v>168</v>
      </c>
      <c r="G27" s="143" t="s">
        <v>26</v>
      </c>
      <c r="H27" s="143" t="s">
        <v>26</v>
      </c>
      <c r="I27" s="143" t="s">
        <v>176</v>
      </c>
      <c r="J27" s="143" t="s">
        <v>643</v>
      </c>
      <c r="K27" s="144">
        <v>25000</v>
      </c>
      <c r="L27" s="145" t="s">
        <v>172</v>
      </c>
      <c r="M27" s="143" t="s">
        <v>6709</v>
      </c>
    </row>
    <row r="28" spans="1:13">
      <c r="A28" s="27" t="s">
        <v>6705</v>
      </c>
      <c r="B28" s="141" t="s">
        <v>6754</v>
      </c>
      <c r="C28" s="141" t="s">
        <v>6707</v>
      </c>
      <c r="D28" s="142" t="s">
        <v>6755</v>
      </c>
      <c r="E28" s="143">
        <v>1</v>
      </c>
      <c r="F28" s="143" t="s">
        <v>168</v>
      </c>
      <c r="G28" s="143" t="s">
        <v>26</v>
      </c>
      <c r="H28" s="143" t="s">
        <v>26</v>
      </c>
      <c r="I28" s="143" t="s">
        <v>176</v>
      </c>
      <c r="J28" s="143" t="s">
        <v>643</v>
      </c>
      <c r="K28" s="144">
        <v>25000</v>
      </c>
      <c r="L28" s="145" t="s">
        <v>172</v>
      </c>
      <c r="M28" s="143" t="s">
        <v>6709</v>
      </c>
    </row>
    <row r="29" spans="1:13">
      <c r="A29" s="27" t="s">
        <v>6705</v>
      </c>
      <c r="B29" s="141" t="s">
        <v>6756</v>
      </c>
      <c r="C29" s="141" t="s">
        <v>6707</v>
      </c>
      <c r="D29" s="142" t="s">
        <v>6757</v>
      </c>
      <c r="E29" s="143">
        <v>1</v>
      </c>
      <c r="F29" s="143" t="s">
        <v>168</v>
      </c>
      <c r="G29" s="143" t="s">
        <v>26</v>
      </c>
      <c r="H29" s="143" t="s">
        <v>26</v>
      </c>
      <c r="I29" s="143" t="s">
        <v>176</v>
      </c>
      <c r="J29" s="143" t="s">
        <v>643</v>
      </c>
      <c r="K29" s="144">
        <v>300000</v>
      </c>
      <c r="L29" s="145" t="s">
        <v>172</v>
      </c>
      <c r="M29" s="143" t="s">
        <v>6709</v>
      </c>
    </row>
    <row r="30" spans="1:13">
      <c r="A30" s="27" t="s">
        <v>6705</v>
      </c>
      <c r="B30" s="141" t="s">
        <v>6758</v>
      </c>
      <c r="C30" s="141" t="s">
        <v>6707</v>
      </c>
      <c r="D30" s="142" t="s">
        <v>6759</v>
      </c>
      <c r="E30" s="143">
        <v>1</v>
      </c>
      <c r="F30" s="143" t="s">
        <v>168</v>
      </c>
      <c r="G30" s="143" t="s">
        <v>26</v>
      </c>
      <c r="H30" s="143" t="s">
        <v>26</v>
      </c>
      <c r="I30" s="143" t="s">
        <v>176</v>
      </c>
      <c r="J30" s="143" t="s">
        <v>643</v>
      </c>
      <c r="K30" s="144">
        <v>600000</v>
      </c>
      <c r="L30" s="145" t="s">
        <v>172</v>
      </c>
      <c r="M30" s="143" t="s">
        <v>6709</v>
      </c>
    </row>
    <row r="31" spans="1:13">
      <c r="A31" s="27" t="s">
        <v>6705</v>
      </c>
      <c r="B31" s="141" t="s">
        <v>6760</v>
      </c>
      <c r="C31" s="141" t="s">
        <v>6707</v>
      </c>
      <c r="D31" s="142" t="s">
        <v>6761</v>
      </c>
      <c r="E31" s="143">
        <v>1</v>
      </c>
      <c r="F31" s="143" t="s">
        <v>168</v>
      </c>
      <c r="G31" s="143" t="s">
        <v>26</v>
      </c>
      <c r="H31" s="143" t="s">
        <v>26</v>
      </c>
      <c r="I31" s="143" t="s">
        <v>176</v>
      </c>
      <c r="J31" s="143" t="s">
        <v>643</v>
      </c>
      <c r="K31" s="144">
        <v>900000</v>
      </c>
      <c r="L31" s="145" t="s">
        <v>172</v>
      </c>
      <c r="M31" s="143" t="s">
        <v>6709</v>
      </c>
    </row>
    <row r="32" spans="1:13">
      <c r="A32" s="27" t="s">
        <v>6705</v>
      </c>
      <c r="B32" s="141" t="s">
        <v>6762</v>
      </c>
      <c r="C32" s="141" t="s">
        <v>6707</v>
      </c>
      <c r="D32" s="142" t="s">
        <v>6763</v>
      </c>
      <c r="E32" s="143">
        <v>1</v>
      </c>
      <c r="F32" s="143" t="s">
        <v>168</v>
      </c>
      <c r="G32" s="143" t="s">
        <v>26</v>
      </c>
      <c r="H32" s="143" t="s">
        <v>26</v>
      </c>
      <c r="I32" s="143" t="s">
        <v>176</v>
      </c>
      <c r="J32" s="143" t="s">
        <v>643</v>
      </c>
      <c r="K32" s="144">
        <v>1500000</v>
      </c>
      <c r="L32" s="145" t="s">
        <v>172</v>
      </c>
      <c r="M32" s="143" t="s">
        <v>6709</v>
      </c>
    </row>
    <row r="33" spans="1:13">
      <c r="A33" s="27" t="s">
        <v>6705</v>
      </c>
      <c r="B33" s="141" t="s">
        <v>6764</v>
      </c>
      <c r="C33" s="141" t="s">
        <v>6707</v>
      </c>
      <c r="D33" s="142" t="s">
        <v>6765</v>
      </c>
      <c r="E33" s="143">
        <v>1</v>
      </c>
      <c r="F33" s="143" t="s">
        <v>168</v>
      </c>
      <c r="G33" s="143" t="s">
        <v>26</v>
      </c>
      <c r="H33" s="143" t="s">
        <v>26</v>
      </c>
      <c r="I33" s="143" t="s">
        <v>176</v>
      </c>
      <c r="J33" s="143" t="s">
        <v>643</v>
      </c>
      <c r="K33" s="144">
        <v>2100000</v>
      </c>
      <c r="L33" s="145" t="s">
        <v>172</v>
      </c>
      <c r="M33" s="143" t="s">
        <v>6709</v>
      </c>
    </row>
    <row r="34" spans="1:13">
      <c r="A34" s="27" t="s">
        <v>6705</v>
      </c>
      <c r="B34" s="141" t="s">
        <v>6766</v>
      </c>
      <c r="C34" s="141" t="s">
        <v>6707</v>
      </c>
      <c r="D34" s="142" t="s">
        <v>6767</v>
      </c>
      <c r="E34" s="143">
        <v>1</v>
      </c>
      <c r="F34" s="143" t="s">
        <v>168</v>
      </c>
      <c r="G34" s="143" t="s">
        <v>26</v>
      </c>
      <c r="H34" s="143" t="s">
        <v>26</v>
      </c>
      <c r="I34" s="143" t="s">
        <v>176</v>
      </c>
      <c r="J34" s="143" t="s">
        <v>643</v>
      </c>
      <c r="K34" s="144">
        <v>1200000</v>
      </c>
      <c r="L34" s="145" t="s">
        <v>172</v>
      </c>
      <c r="M34" s="143" t="s">
        <v>6709</v>
      </c>
    </row>
    <row r="35" spans="1:13">
      <c r="A35" s="27" t="s">
        <v>6705</v>
      </c>
      <c r="B35" s="141" t="s">
        <v>6768</v>
      </c>
      <c r="C35" s="141" t="s">
        <v>6707</v>
      </c>
      <c r="D35" s="142" t="s">
        <v>6769</v>
      </c>
      <c r="E35" s="143">
        <v>1</v>
      </c>
      <c r="F35" s="143" t="s">
        <v>168</v>
      </c>
      <c r="G35" s="143" t="s">
        <v>26</v>
      </c>
      <c r="H35" s="143" t="s">
        <v>26</v>
      </c>
      <c r="I35" s="143" t="s">
        <v>176</v>
      </c>
      <c r="J35" s="143" t="s">
        <v>643</v>
      </c>
      <c r="K35" s="144">
        <v>25000</v>
      </c>
      <c r="L35" s="145" t="s">
        <v>172</v>
      </c>
      <c r="M35" s="143" t="s">
        <v>6709</v>
      </c>
    </row>
    <row r="36" spans="1:13">
      <c r="A36" s="27" t="s">
        <v>6705</v>
      </c>
      <c r="B36" s="141" t="s">
        <v>6770</v>
      </c>
      <c r="C36" s="141" t="s">
        <v>6707</v>
      </c>
      <c r="D36" s="142" t="s">
        <v>6771</v>
      </c>
      <c r="E36" s="143">
        <v>1</v>
      </c>
      <c r="F36" s="143" t="s">
        <v>168</v>
      </c>
      <c r="G36" s="143" t="s">
        <v>26</v>
      </c>
      <c r="H36" s="143" t="s">
        <v>26</v>
      </c>
      <c r="I36" s="143" t="s">
        <v>176</v>
      </c>
      <c r="J36" s="143" t="s">
        <v>643</v>
      </c>
      <c r="K36" s="144">
        <v>25000</v>
      </c>
      <c r="L36" s="145" t="s">
        <v>172</v>
      </c>
      <c r="M36" s="143" t="s">
        <v>6709</v>
      </c>
    </row>
    <row r="37" spans="1:13">
      <c r="A37" s="27" t="s">
        <v>6705</v>
      </c>
      <c r="B37" s="141" t="s">
        <v>6772</v>
      </c>
      <c r="C37" s="141" t="s">
        <v>6707</v>
      </c>
      <c r="D37" s="142" t="s">
        <v>6773</v>
      </c>
      <c r="E37" s="143">
        <v>1</v>
      </c>
      <c r="F37" s="143" t="s">
        <v>168</v>
      </c>
      <c r="G37" s="143" t="s">
        <v>26</v>
      </c>
      <c r="H37" s="143" t="s">
        <v>26</v>
      </c>
      <c r="I37" s="143" t="s">
        <v>176</v>
      </c>
      <c r="J37" s="143" t="s">
        <v>643</v>
      </c>
      <c r="K37" s="144">
        <v>0.01</v>
      </c>
      <c r="L37" s="145" t="s">
        <v>172</v>
      </c>
      <c r="M37" s="143" t="s">
        <v>6709</v>
      </c>
    </row>
    <row r="38" spans="1:13">
      <c r="A38" s="27" t="s">
        <v>6705</v>
      </c>
      <c r="B38" s="141" t="s">
        <v>6774</v>
      </c>
      <c r="C38" s="141" t="s">
        <v>6707</v>
      </c>
      <c r="D38" s="142" t="s">
        <v>6775</v>
      </c>
      <c r="E38" s="143">
        <v>1</v>
      </c>
      <c r="F38" s="143" t="s">
        <v>168</v>
      </c>
      <c r="G38" s="143" t="s">
        <v>26</v>
      </c>
      <c r="H38" s="143" t="s">
        <v>26</v>
      </c>
      <c r="I38" s="143" t="s">
        <v>176</v>
      </c>
      <c r="J38" s="143" t="s">
        <v>643</v>
      </c>
      <c r="K38" s="144">
        <v>0.01</v>
      </c>
      <c r="L38" s="145" t="s">
        <v>172</v>
      </c>
      <c r="M38" s="143" t="s">
        <v>6709</v>
      </c>
    </row>
    <row r="39" spans="1:13">
      <c r="A39" s="27" t="s">
        <v>6705</v>
      </c>
      <c r="B39" s="141" t="s">
        <v>6776</v>
      </c>
      <c r="C39" s="141" t="s">
        <v>6707</v>
      </c>
      <c r="D39" s="142" t="s">
        <v>6777</v>
      </c>
      <c r="E39" s="143">
        <v>1</v>
      </c>
      <c r="F39" s="143" t="s">
        <v>168</v>
      </c>
      <c r="G39" s="143" t="s">
        <v>26</v>
      </c>
      <c r="H39" s="143" t="s">
        <v>26</v>
      </c>
      <c r="I39" s="143" t="s">
        <v>176</v>
      </c>
      <c r="J39" s="143" t="s">
        <v>643</v>
      </c>
      <c r="K39" s="144">
        <v>0.01</v>
      </c>
      <c r="L39" s="145" t="s">
        <v>172</v>
      </c>
      <c r="M39" s="143" t="s">
        <v>6709</v>
      </c>
    </row>
    <row r="40" spans="1:13">
      <c r="A40" s="27" t="s">
        <v>6705</v>
      </c>
      <c r="B40" s="141" t="s">
        <v>6778</v>
      </c>
      <c r="C40" s="141" t="s">
        <v>6707</v>
      </c>
      <c r="D40" s="142" t="s">
        <v>6779</v>
      </c>
      <c r="E40" s="143">
        <v>1</v>
      </c>
      <c r="F40" s="143" t="s">
        <v>168</v>
      </c>
      <c r="G40" s="143" t="s">
        <v>26</v>
      </c>
      <c r="H40" s="143" t="s">
        <v>26</v>
      </c>
      <c r="I40" s="143" t="s">
        <v>176</v>
      </c>
      <c r="J40" s="143" t="s">
        <v>643</v>
      </c>
      <c r="K40" s="144">
        <v>0.01</v>
      </c>
      <c r="L40" s="145" t="s">
        <v>172</v>
      </c>
      <c r="M40" s="143" t="s">
        <v>6709</v>
      </c>
    </row>
    <row r="41" spans="1:13">
      <c r="A41" s="27" t="s">
        <v>6705</v>
      </c>
      <c r="B41" s="141" t="s">
        <v>6780</v>
      </c>
      <c r="C41" s="141" t="s">
        <v>6707</v>
      </c>
      <c r="D41" s="142" t="s">
        <v>6781</v>
      </c>
      <c r="E41" s="143">
        <v>1</v>
      </c>
      <c r="F41" s="143" t="s">
        <v>168</v>
      </c>
      <c r="G41" s="143" t="s">
        <v>26</v>
      </c>
      <c r="H41" s="143" t="s">
        <v>26</v>
      </c>
      <c r="I41" s="143" t="s">
        <v>176</v>
      </c>
      <c r="J41" s="143" t="s">
        <v>643</v>
      </c>
      <c r="K41" s="144">
        <v>1188</v>
      </c>
      <c r="L41" s="145" t="s">
        <v>172</v>
      </c>
      <c r="M41" s="143" t="s">
        <v>6709</v>
      </c>
    </row>
    <row r="42" spans="1:13">
      <c r="A42" s="27" t="s">
        <v>6705</v>
      </c>
      <c r="B42" s="141" t="s">
        <v>6782</v>
      </c>
      <c r="C42" s="141" t="s">
        <v>6707</v>
      </c>
      <c r="D42" s="142" t="s">
        <v>6783</v>
      </c>
      <c r="E42" s="143">
        <v>1</v>
      </c>
      <c r="F42" s="143" t="s">
        <v>168</v>
      </c>
      <c r="G42" s="143" t="s">
        <v>26</v>
      </c>
      <c r="H42" s="143" t="s">
        <v>26</v>
      </c>
      <c r="I42" s="143" t="s">
        <v>176</v>
      </c>
      <c r="J42" s="143" t="s">
        <v>643</v>
      </c>
      <c r="K42" s="144">
        <v>1188</v>
      </c>
      <c r="L42" s="145" t="s">
        <v>172</v>
      </c>
      <c r="M42" s="143" t="s">
        <v>6709</v>
      </c>
    </row>
    <row r="43" spans="1:13">
      <c r="A43" s="27" t="s">
        <v>6705</v>
      </c>
      <c r="B43" s="141" t="s">
        <v>6784</v>
      </c>
      <c r="C43" s="141" t="s">
        <v>6707</v>
      </c>
      <c r="D43" s="142" t="s">
        <v>6785</v>
      </c>
      <c r="E43" s="143">
        <v>1</v>
      </c>
      <c r="F43" s="143" t="s">
        <v>168</v>
      </c>
      <c r="G43" s="143" t="s">
        <v>26</v>
      </c>
      <c r="H43" s="143" t="s">
        <v>26</v>
      </c>
      <c r="I43" s="143" t="s">
        <v>176</v>
      </c>
      <c r="J43" s="143" t="s">
        <v>643</v>
      </c>
      <c r="K43" s="144">
        <v>2388</v>
      </c>
      <c r="L43" s="145" t="s">
        <v>172</v>
      </c>
      <c r="M43" s="143" t="s">
        <v>6709</v>
      </c>
    </row>
    <row r="44" spans="1:13">
      <c r="A44" s="27" t="s">
        <v>6705</v>
      </c>
      <c r="B44" s="141" t="s">
        <v>6786</v>
      </c>
      <c r="C44" s="141" t="s">
        <v>6707</v>
      </c>
      <c r="D44" s="142" t="s">
        <v>6787</v>
      </c>
      <c r="E44" s="143">
        <v>1</v>
      </c>
      <c r="F44" s="143" t="s">
        <v>168</v>
      </c>
      <c r="G44" s="143" t="s">
        <v>26</v>
      </c>
      <c r="H44" s="143" t="s">
        <v>26</v>
      </c>
      <c r="I44" s="143" t="s">
        <v>176</v>
      </c>
      <c r="J44" s="143" t="s">
        <v>643</v>
      </c>
      <c r="K44" s="144">
        <v>2388</v>
      </c>
      <c r="L44" s="145" t="s">
        <v>172</v>
      </c>
      <c r="M44" s="143" t="s">
        <v>6709</v>
      </c>
    </row>
    <row r="45" spans="1:13">
      <c r="A45" s="27" t="s">
        <v>6705</v>
      </c>
      <c r="B45" s="141" t="s">
        <v>6788</v>
      </c>
      <c r="C45" s="141" t="s">
        <v>6707</v>
      </c>
      <c r="D45" s="142" t="s">
        <v>6789</v>
      </c>
      <c r="E45" s="143">
        <v>1</v>
      </c>
      <c r="F45" s="143" t="s">
        <v>168</v>
      </c>
      <c r="G45" s="143" t="s">
        <v>26</v>
      </c>
      <c r="H45" s="143" t="s">
        <v>26</v>
      </c>
      <c r="I45" s="143" t="s">
        <v>176</v>
      </c>
      <c r="J45" s="143" t="s">
        <v>643</v>
      </c>
      <c r="K45" s="144">
        <v>4188</v>
      </c>
      <c r="L45" s="145" t="s">
        <v>172</v>
      </c>
      <c r="M45" s="143" t="s">
        <v>6709</v>
      </c>
    </row>
    <row r="46" spans="1:13">
      <c r="A46" s="27" t="s">
        <v>6705</v>
      </c>
      <c r="B46" s="141" t="s">
        <v>6790</v>
      </c>
      <c r="C46" s="141" t="s">
        <v>6707</v>
      </c>
      <c r="D46" s="142" t="s">
        <v>6791</v>
      </c>
      <c r="E46" s="143">
        <v>1</v>
      </c>
      <c r="F46" s="143" t="s">
        <v>168</v>
      </c>
      <c r="G46" s="143" t="s">
        <v>26</v>
      </c>
      <c r="H46" s="143" t="s">
        <v>26</v>
      </c>
      <c r="I46" s="143" t="s">
        <v>176</v>
      </c>
      <c r="J46" s="143" t="s">
        <v>643</v>
      </c>
      <c r="K46" s="144">
        <v>4188</v>
      </c>
      <c r="L46" s="145" t="s">
        <v>172</v>
      </c>
      <c r="M46" s="143" t="s">
        <v>6709</v>
      </c>
    </row>
    <row r="47" spans="1:13">
      <c r="A47" s="27" t="s">
        <v>6705</v>
      </c>
      <c r="B47" s="141" t="s">
        <v>6792</v>
      </c>
      <c r="C47" s="141" t="s">
        <v>6707</v>
      </c>
      <c r="D47" s="142" t="s">
        <v>6793</v>
      </c>
      <c r="E47" s="143">
        <v>1</v>
      </c>
      <c r="F47" s="143" t="s">
        <v>168</v>
      </c>
      <c r="G47" s="143" t="s">
        <v>26</v>
      </c>
      <c r="H47" s="143" t="s">
        <v>26</v>
      </c>
      <c r="I47" s="143" t="s">
        <v>176</v>
      </c>
      <c r="J47" s="143" t="s">
        <v>643</v>
      </c>
      <c r="K47" s="144">
        <v>5988</v>
      </c>
      <c r="L47" s="145" t="s">
        <v>172</v>
      </c>
      <c r="M47" s="143" t="s">
        <v>6709</v>
      </c>
    </row>
    <row r="48" spans="1:13">
      <c r="A48" s="27" t="s">
        <v>6705</v>
      </c>
      <c r="B48" s="141" t="s">
        <v>6794</v>
      </c>
      <c r="C48" s="141" t="s">
        <v>6707</v>
      </c>
      <c r="D48" s="142" t="s">
        <v>6795</v>
      </c>
      <c r="E48" s="143">
        <v>1</v>
      </c>
      <c r="F48" s="143" t="s">
        <v>168</v>
      </c>
      <c r="G48" s="143" t="s">
        <v>26</v>
      </c>
      <c r="H48" s="143" t="s">
        <v>26</v>
      </c>
      <c r="I48" s="143" t="s">
        <v>176</v>
      </c>
      <c r="J48" s="143" t="s">
        <v>643</v>
      </c>
      <c r="K48" s="144">
        <v>5988</v>
      </c>
      <c r="L48" s="145" t="s">
        <v>172</v>
      </c>
      <c r="M48" s="143" t="s">
        <v>6709</v>
      </c>
    </row>
    <row r="49" spans="1:13">
      <c r="A49" s="27" t="s">
        <v>6705</v>
      </c>
      <c r="B49" s="141" t="s">
        <v>6796</v>
      </c>
      <c r="C49" s="141" t="s">
        <v>6707</v>
      </c>
      <c r="D49" s="142" t="s">
        <v>6797</v>
      </c>
      <c r="E49" s="143">
        <v>1</v>
      </c>
      <c r="F49" s="143" t="s">
        <v>168</v>
      </c>
      <c r="G49" s="143" t="s">
        <v>26</v>
      </c>
      <c r="H49" s="143" t="s">
        <v>26</v>
      </c>
      <c r="I49" s="143" t="s">
        <v>176</v>
      </c>
      <c r="J49" s="143" t="s">
        <v>643</v>
      </c>
      <c r="K49" s="144">
        <v>8588</v>
      </c>
      <c r="L49" s="145" t="s">
        <v>172</v>
      </c>
      <c r="M49" s="143" t="s">
        <v>6709</v>
      </c>
    </row>
    <row r="50" spans="1:13">
      <c r="A50" s="27" t="s">
        <v>6705</v>
      </c>
      <c r="B50" s="141" t="s">
        <v>6798</v>
      </c>
      <c r="C50" s="141" t="s">
        <v>6707</v>
      </c>
      <c r="D50" s="142" t="s">
        <v>6799</v>
      </c>
      <c r="E50" s="143">
        <v>1</v>
      </c>
      <c r="F50" s="143" t="s">
        <v>168</v>
      </c>
      <c r="G50" s="143" t="s">
        <v>26</v>
      </c>
      <c r="H50" s="143" t="s">
        <v>26</v>
      </c>
      <c r="I50" s="143" t="s">
        <v>176</v>
      </c>
      <c r="J50" s="143" t="s">
        <v>643</v>
      </c>
      <c r="K50" s="144">
        <v>8588</v>
      </c>
      <c r="L50" s="145" t="s">
        <v>172</v>
      </c>
      <c r="M50" s="143" t="s">
        <v>6709</v>
      </c>
    </row>
    <row r="51" spans="1:13">
      <c r="A51" s="27" t="s">
        <v>6705</v>
      </c>
      <c r="B51" s="141" t="s">
        <v>6800</v>
      </c>
      <c r="C51" s="141" t="s">
        <v>6707</v>
      </c>
      <c r="D51" s="142" t="s">
        <v>6801</v>
      </c>
      <c r="E51" s="143">
        <v>1</v>
      </c>
      <c r="F51" s="143" t="s">
        <v>168</v>
      </c>
      <c r="G51" s="143" t="s">
        <v>26</v>
      </c>
      <c r="H51" s="143" t="s">
        <v>26</v>
      </c>
      <c r="I51" s="143" t="s">
        <v>176</v>
      </c>
      <c r="J51" s="143" t="s">
        <v>643</v>
      </c>
      <c r="K51" s="144">
        <v>21588</v>
      </c>
      <c r="L51" s="145" t="s">
        <v>172</v>
      </c>
      <c r="M51" s="143" t="s">
        <v>6709</v>
      </c>
    </row>
    <row r="52" spans="1:13">
      <c r="A52" s="27" t="s">
        <v>6705</v>
      </c>
      <c r="B52" s="141" t="s">
        <v>6802</v>
      </c>
      <c r="C52" s="141" t="s">
        <v>6707</v>
      </c>
      <c r="D52" s="142" t="s">
        <v>6803</v>
      </c>
      <c r="E52" s="143">
        <v>1</v>
      </c>
      <c r="F52" s="143" t="s">
        <v>168</v>
      </c>
      <c r="G52" s="143" t="s">
        <v>26</v>
      </c>
      <c r="H52" s="143" t="s">
        <v>26</v>
      </c>
      <c r="I52" s="143" t="s">
        <v>176</v>
      </c>
      <c r="J52" s="143" t="s">
        <v>643</v>
      </c>
      <c r="K52" s="144">
        <v>21588</v>
      </c>
      <c r="L52" s="145" t="s">
        <v>172</v>
      </c>
      <c r="M52" s="143" t="s">
        <v>6709</v>
      </c>
    </row>
    <row r="53" spans="1:13">
      <c r="A53" s="27" t="s">
        <v>6705</v>
      </c>
      <c r="B53" s="141" t="s">
        <v>6804</v>
      </c>
      <c r="C53" s="141" t="s">
        <v>6707</v>
      </c>
      <c r="D53" s="142" t="s">
        <v>6805</v>
      </c>
      <c r="E53" s="143">
        <v>1</v>
      </c>
      <c r="F53" s="143" t="s">
        <v>168</v>
      </c>
      <c r="G53" s="143" t="s">
        <v>26</v>
      </c>
      <c r="H53" s="143" t="s">
        <v>26</v>
      </c>
      <c r="I53" s="143" t="s">
        <v>176</v>
      </c>
      <c r="J53" s="143" t="s">
        <v>643</v>
      </c>
      <c r="K53" s="144">
        <v>99</v>
      </c>
      <c r="L53" s="145" t="s">
        <v>172</v>
      </c>
      <c r="M53" s="143" t="s">
        <v>6709</v>
      </c>
    </row>
    <row r="54" spans="1:13">
      <c r="A54" s="27" t="s">
        <v>6705</v>
      </c>
      <c r="B54" s="141" t="s">
        <v>6806</v>
      </c>
      <c r="C54" s="141" t="s">
        <v>6707</v>
      </c>
      <c r="D54" s="142" t="s">
        <v>6807</v>
      </c>
      <c r="E54" s="143">
        <v>1</v>
      </c>
      <c r="F54" s="143" t="s">
        <v>168</v>
      </c>
      <c r="G54" s="143" t="s">
        <v>26</v>
      </c>
      <c r="H54" s="143" t="s">
        <v>26</v>
      </c>
      <c r="I54" s="143" t="s">
        <v>176</v>
      </c>
      <c r="J54" s="143" t="s">
        <v>643</v>
      </c>
      <c r="K54" s="144">
        <v>99</v>
      </c>
      <c r="L54" s="145" t="s">
        <v>172</v>
      </c>
      <c r="M54" s="143" t="s">
        <v>6709</v>
      </c>
    </row>
    <row r="55" spans="1:13">
      <c r="A55" s="27" t="s">
        <v>6705</v>
      </c>
      <c r="B55" s="141" t="s">
        <v>6808</v>
      </c>
      <c r="C55" s="141" t="s">
        <v>6707</v>
      </c>
      <c r="D55" s="142" t="s">
        <v>6809</v>
      </c>
      <c r="E55" s="143">
        <v>1</v>
      </c>
      <c r="F55" s="143" t="s">
        <v>168</v>
      </c>
      <c r="G55" s="143" t="s">
        <v>26</v>
      </c>
      <c r="H55" s="143" t="s">
        <v>26</v>
      </c>
      <c r="I55" s="143" t="s">
        <v>176</v>
      </c>
      <c r="J55" s="143" t="s">
        <v>643</v>
      </c>
      <c r="K55" s="144">
        <v>199</v>
      </c>
      <c r="L55" s="145" t="s">
        <v>172</v>
      </c>
      <c r="M55" s="143" t="s">
        <v>6709</v>
      </c>
    </row>
    <row r="56" spans="1:13">
      <c r="A56" s="27" t="s">
        <v>6705</v>
      </c>
      <c r="B56" s="141" t="s">
        <v>6810</v>
      </c>
      <c r="C56" s="141" t="s">
        <v>6707</v>
      </c>
      <c r="D56" s="142" t="s">
        <v>6811</v>
      </c>
      <c r="E56" s="143">
        <v>1</v>
      </c>
      <c r="F56" s="143" t="s">
        <v>168</v>
      </c>
      <c r="G56" s="143" t="s">
        <v>26</v>
      </c>
      <c r="H56" s="143" t="s">
        <v>26</v>
      </c>
      <c r="I56" s="143" t="s">
        <v>176</v>
      </c>
      <c r="J56" s="143" t="s">
        <v>643</v>
      </c>
      <c r="K56" s="144">
        <v>199</v>
      </c>
      <c r="L56" s="145" t="s">
        <v>172</v>
      </c>
      <c r="M56" s="143" t="s">
        <v>6709</v>
      </c>
    </row>
    <row r="57" spans="1:13">
      <c r="A57" s="27" t="s">
        <v>6705</v>
      </c>
      <c r="B57" s="141" t="s">
        <v>6812</v>
      </c>
      <c r="C57" s="141" t="s">
        <v>6707</v>
      </c>
      <c r="D57" s="142" t="s">
        <v>6813</v>
      </c>
      <c r="E57" s="143">
        <v>1</v>
      </c>
      <c r="F57" s="143" t="s">
        <v>168</v>
      </c>
      <c r="G57" s="143" t="s">
        <v>26</v>
      </c>
      <c r="H57" s="143" t="s">
        <v>26</v>
      </c>
      <c r="I57" s="143" t="s">
        <v>176</v>
      </c>
      <c r="J57" s="143" t="s">
        <v>643</v>
      </c>
      <c r="K57" s="144">
        <v>349</v>
      </c>
      <c r="L57" s="145" t="s">
        <v>172</v>
      </c>
      <c r="M57" s="143" t="s">
        <v>6709</v>
      </c>
    </row>
    <row r="58" spans="1:13">
      <c r="A58" s="27" t="s">
        <v>6705</v>
      </c>
      <c r="B58" s="141" t="s">
        <v>6814</v>
      </c>
      <c r="C58" s="141" t="s">
        <v>6707</v>
      </c>
      <c r="D58" s="142" t="s">
        <v>6815</v>
      </c>
      <c r="E58" s="143">
        <v>1</v>
      </c>
      <c r="F58" s="143" t="s">
        <v>168</v>
      </c>
      <c r="G58" s="143" t="s">
        <v>26</v>
      </c>
      <c r="H58" s="143" t="s">
        <v>26</v>
      </c>
      <c r="I58" s="143" t="s">
        <v>176</v>
      </c>
      <c r="J58" s="143" t="s">
        <v>643</v>
      </c>
      <c r="K58" s="144">
        <v>349</v>
      </c>
      <c r="L58" s="145" t="s">
        <v>172</v>
      </c>
      <c r="M58" s="143" t="s">
        <v>6709</v>
      </c>
    </row>
    <row r="59" spans="1:13">
      <c r="A59" s="27" t="s">
        <v>6705</v>
      </c>
      <c r="B59" s="141" t="s">
        <v>6816</v>
      </c>
      <c r="C59" s="141" t="s">
        <v>6707</v>
      </c>
      <c r="D59" s="142" t="s">
        <v>6817</v>
      </c>
      <c r="E59" s="143">
        <v>1</v>
      </c>
      <c r="F59" s="143" t="s">
        <v>168</v>
      </c>
      <c r="G59" s="143" t="s">
        <v>26</v>
      </c>
      <c r="H59" s="143" t="s">
        <v>26</v>
      </c>
      <c r="I59" s="143" t="s">
        <v>176</v>
      </c>
      <c r="J59" s="143" t="s">
        <v>643</v>
      </c>
      <c r="K59" s="144">
        <v>499</v>
      </c>
      <c r="L59" s="145" t="s">
        <v>172</v>
      </c>
      <c r="M59" s="143" t="s">
        <v>6709</v>
      </c>
    </row>
    <row r="60" spans="1:13">
      <c r="A60" s="27" t="s">
        <v>6705</v>
      </c>
      <c r="B60" s="141" t="s">
        <v>6818</v>
      </c>
      <c r="C60" s="141" t="s">
        <v>6707</v>
      </c>
      <c r="D60" s="142" t="s">
        <v>6819</v>
      </c>
      <c r="E60" s="143">
        <v>1</v>
      </c>
      <c r="F60" s="143" t="s">
        <v>168</v>
      </c>
      <c r="G60" s="143" t="s">
        <v>26</v>
      </c>
      <c r="H60" s="143" t="s">
        <v>26</v>
      </c>
      <c r="I60" s="143" t="s">
        <v>176</v>
      </c>
      <c r="J60" s="143" t="s">
        <v>643</v>
      </c>
      <c r="K60" s="144">
        <v>499</v>
      </c>
      <c r="L60" s="145" t="s">
        <v>172</v>
      </c>
      <c r="M60" s="143" t="s">
        <v>6709</v>
      </c>
    </row>
    <row r="61" spans="1:13">
      <c r="A61" s="27" t="s">
        <v>6705</v>
      </c>
      <c r="B61" s="141" t="s">
        <v>6820</v>
      </c>
      <c r="C61" s="141" t="s">
        <v>6707</v>
      </c>
      <c r="D61" s="142" t="s">
        <v>6821</v>
      </c>
      <c r="E61" s="143">
        <v>1</v>
      </c>
      <c r="F61" s="143" t="s">
        <v>168</v>
      </c>
      <c r="G61" s="143" t="s">
        <v>26</v>
      </c>
      <c r="H61" s="143" t="s">
        <v>26</v>
      </c>
      <c r="I61" s="143" t="s">
        <v>176</v>
      </c>
      <c r="J61" s="143" t="s">
        <v>643</v>
      </c>
      <c r="K61" s="144">
        <v>716</v>
      </c>
      <c r="L61" s="145" t="s">
        <v>172</v>
      </c>
      <c r="M61" s="143" t="s">
        <v>6709</v>
      </c>
    </row>
    <row r="62" spans="1:13">
      <c r="A62" s="27" t="s">
        <v>6705</v>
      </c>
      <c r="B62" s="141" t="s">
        <v>6822</v>
      </c>
      <c r="C62" s="141" t="s">
        <v>6707</v>
      </c>
      <c r="D62" s="142" t="s">
        <v>6823</v>
      </c>
      <c r="E62" s="143">
        <v>1</v>
      </c>
      <c r="F62" s="143" t="s">
        <v>168</v>
      </c>
      <c r="G62" s="143" t="s">
        <v>26</v>
      </c>
      <c r="H62" s="143" t="s">
        <v>26</v>
      </c>
      <c r="I62" s="143" t="s">
        <v>176</v>
      </c>
      <c r="J62" s="143" t="s">
        <v>643</v>
      </c>
      <c r="K62" s="144">
        <v>716</v>
      </c>
      <c r="L62" s="145" t="s">
        <v>172</v>
      </c>
      <c r="M62" s="143" t="s">
        <v>6709</v>
      </c>
    </row>
    <row r="63" spans="1:13">
      <c r="A63" s="27" t="s">
        <v>6705</v>
      </c>
      <c r="B63" s="141" t="s">
        <v>6824</v>
      </c>
      <c r="C63" s="141" t="s">
        <v>6707</v>
      </c>
      <c r="D63" s="142" t="s">
        <v>6825</v>
      </c>
      <c r="E63" s="143">
        <v>1</v>
      </c>
      <c r="F63" s="143" t="s">
        <v>168</v>
      </c>
      <c r="G63" s="143" t="s">
        <v>26</v>
      </c>
      <c r="H63" s="143" t="s">
        <v>26</v>
      </c>
      <c r="I63" s="143" t="s">
        <v>176</v>
      </c>
      <c r="J63" s="143" t="s">
        <v>643</v>
      </c>
      <c r="K63" s="144">
        <v>1799</v>
      </c>
      <c r="L63" s="145" t="s">
        <v>172</v>
      </c>
      <c r="M63" s="143" t="s">
        <v>6709</v>
      </c>
    </row>
    <row r="64" spans="1:13">
      <c r="A64" s="27" t="s">
        <v>6705</v>
      </c>
      <c r="B64" s="141" t="s">
        <v>6826</v>
      </c>
      <c r="C64" s="141" t="s">
        <v>6707</v>
      </c>
      <c r="D64" s="142" t="s">
        <v>6827</v>
      </c>
      <c r="E64" s="143">
        <v>1</v>
      </c>
      <c r="F64" s="143" t="s">
        <v>168</v>
      </c>
      <c r="G64" s="143" t="s">
        <v>26</v>
      </c>
      <c r="H64" s="143" t="s">
        <v>26</v>
      </c>
      <c r="I64" s="143" t="s">
        <v>176</v>
      </c>
      <c r="J64" s="143" t="s">
        <v>643</v>
      </c>
      <c r="K64" s="144">
        <v>1799</v>
      </c>
      <c r="L64" s="145" t="s">
        <v>172</v>
      </c>
      <c r="M64" s="143" t="s">
        <v>6709</v>
      </c>
    </row>
    <row r="65" spans="1:13">
      <c r="A65" s="27" t="s">
        <v>6705</v>
      </c>
      <c r="B65" s="141" t="s">
        <v>6828</v>
      </c>
      <c r="C65" s="141" t="s">
        <v>6707</v>
      </c>
      <c r="D65" s="142" t="s">
        <v>6829</v>
      </c>
      <c r="E65" s="143">
        <v>1</v>
      </c>
      <c r="F65" s="143" t="s">
        <v>168</v>
      </c>
      <c r="G65" s="143" t="s">
        <v>26</v>
      </c>
      <c r="H65" s="143" t="s">
        <v>26</v>
      </c>
      <c r="I65" s="143" t="s">
        <v>176</v>
      </c>
      <c r="J65" s="143" t="s">
        <v>643</v>
      </c>
      <c r="K65" s="144">
        <v>99</v>
      </c>
      <c r="L65" s="145" t="s">
        <v>172</v>
      </c>
      <c r="M65" s="143" t="s">
        <v>6709</v>
      </c>
    </row>
    <row r="66" spans="1:13">
      <c r="A66" s="27" t="s">
        <v>6705</v>
      </c>
      <c r="B66" s="141" t="s">
        <v>6830</v>
      </c>
      <c r="C66" s="141" t="s">
        <v>6707</v>
      </c>
      <c r="D66" s="142" t="s">
        <v>6831</v>
      </c>
      <c r="E66" s="143">
        <v>1</v>
      </c>
      <c r="F66" s="143" t="s">
        <v>168</v>
      </c>
      <c r="G66" s="143" t="s">
        <v>26</v>
      </c>
      <c r="H66" s="143" t="s">
        <v>26</v>
      </c>
      <c r="I66" s="143" t="s">
        <v>176</v>
      </c>
      <c r="J66" s="143" t="s">
        <v>643</v>
      </c>
      <c r="K66" s="144">
        <v>99</v>
      </c>
      <c r="L66" s="145" t="s">
        <v>172</v>
      </c>
      <c r="M66" s="143" t="s">
        <v>6709</v>
      </c>
    </row>
    <row r="67" spans="1:13">
      <c r="A67" s="27" t="s">
        <v>6705</v>
      </c>
      <c r="B67" s="141" t="s">
        <v>6832</v>
      </c>
      <c r="C67" s="141" t="s">
        <v>6707</v>
      </c>
      <c r="D67" s="142" t="s">
        <v>6833</v>
      </c>
      <c r="E67" s="143">
        <v>1</v>
      </c>
      <c r="F67" s="143" t="s">
        <v>168</v>
      </c>
      <c r="G67" s="143" t="s">
        <v>26</v>
      </c>
      <c r="H67" s="143" t="s">
        <v>26</v>
      </c>
      <c r="I67" s="143" t="s">
        <v>176</v>
      </c>
      <c r="J67" s="143" t="s">
        <v>643</v>
      </c>
      <c r="K67" s="144">
        <v>199</v>
      </c>
      <c r="L67" s="145" t="s">
        <v>172</v>
      </c>
      <c r="M67" s="143" t="s">
        <v>6709</v>
      </c>
    </row>
    <row r="68" spans="1:13">
      <c r="A68" s="27" t="s">
        <v>6705</v>
      </c>
      <c r="B68" s="141" t="s">
        <v>6834</v>
      </c>
      <c r="C68" s="141" t="s">
        <v>6707</v>
      </c>
      <c r="D68" s="142" t="s">
        <v>6835</v>
      </c>
      <c r="E68" s="143">
        <v>1</v>
      </c>
      <c r="F68" s="143" t="s">
        <v>168</v>
      </c>
      <c r="G68" s="143" t="s">
        <v>26</v>
      </c>
      <c r="H68" s="143" t="s">
        <v>26</v>
      </c>
      <c r="I68" s="143" t="s">
        <v>176</v>
      </c>
      <c r="J68" s="143" t="s">
        <v>643</v>
      </c>
      <c r="K68" s="144">
        <v>199</v>
      </c>
      <c r="L68" s="145" t="s">
        <v>172</v>
      </c>
      <c r="M68" s="143" t="s">
        <v>6709</v>
      </c>
    </row>
    <row r="69" spans="1:13">
      <c r="A69" s="27" t="s">
        <v>6705</v>
      </c>
      <c r="B69" s="141" t="s">
        <v>6836</v>
      </c>
      <c r="C69" s="141" t="s">
        <v>6707</v>
      </c>
      <c r="D69" s="142" t="s">
        <v>6837</v>
      </c>
      <c r="E69" s="143">
        <v>1</v>
      </c>
      <c r="F69" s="143" t="s">
        <v>168</v>
      </c>
      <c r="G69" s="143" t="s">
        <v>26</v>
      </c>
      <c r="H69" s="143" t="s">
        <v>26</v>
      </c>
      <c r="I69" s="143" t="s">
        <v>176</v>
      </c>
      <c r="J69" s="143" t="s">
        <v>643</v>
      </c>
      <c r="K69" s="144">
        <v>349</v>
      </c>
      <c r="L69" s="145" t="s">
        <v>172</v>
      </c>
      <c r="M69" s="143" t="s">
        <v>6709</v>
      </c>
    </row>
    <row r="70" spans="1:13">
      <c r="A70" s="27" t="s">
        <v>6705</v>
      </c>
      <c r="B70" s="141" t="s">
        <v>6838</v>
      </c>
      <c r="C70" s="141" t="s">
        <v>6707</v>
      </c>
      <c r="D70" s="142" t="s">
        <v>6839</v>
      </c>
      <c r="E70" s="143">
        <v>1</v>
      </c>
      <c r="F70" s="143" t="s">
        <v>168</v>
      </c>
      <c r="G70" s="143" t="s">
        <v>26</v>
      </c>
      <c r="H70" s="143" t="s">
        <v>26</v>
      </c>
      <c r="I70" s="143" t="s">
        <v>176</v>
      </c>
      <c r="J70" s="143" t="s">
        <v>643</v>
      </c>
      <c r="K70" s="144">
        <v>349</v>
      </c>
      <c r="L70" s="145" t="s">
        <v>172</v>
      </c>
      <c r="M70" s="143" t="s">
        <v>6709</v>
      </c>
    </row>
    <row r="71" spans="1:13">
      <c r="A71" s="27" t="s">
        <v>6705</v>
      </c>
      <c r="B71" s="141" t="s">
        <v>6840</v>
      </c>
      <c r="C71" s="141" t="s">
        <v>6707</v>
      </c>
      <c r="D71" s="142" t="s">
        <v>6841</v>
      </c>
      <c r="E71" s="143">
        <v>1</v>
      </c>
      <c r="F71" s="143" t="s">
        <v>168</v>
      </c>
      <c r="G71" s="143" t="s">
        <v>26</v>
      </c>
      <c r="H71" s="143" t="s">
        <v>26</v>
      </c>
      <c r="I71" s="143" t="s">
        <v>176</v>
      </c>
      <c r="J71" s="143" t="s">
        <v>643</v>
      </c>
      <c r="K71" s="144">
        <v>499</v>
      </c>
      <c r="L71" s="145" t="s">
        <v>172</v>
      </c>
      <c r="M71" s="143" t="s">
        <v>6709</v>
      </c>
    </row>
    <row r="72" spans="1:13">
      <c r="A72" s="27" t="s">
        <v>6705</v>
      </c>
      <c r="B72" s="141" t="s">
        <v>6842</v>
      </c>
      <c r="C72" s="141" t="s">
        <v>6707</v>
      </c>
      <c r="D72" s="142" t="s">
        <v>6843</v>
      </c>
      <c r="E72" s="143">
        <v>1</v>
      </c>
      <c r="F72" s="143" t="s">
        <v>168</v>
      </c>
      <c r="G72" s="143" t="s">
        <v>26</v>
      </c>
      <c r="H72" s="143" t="s">
        <v>26</v>
      </c>
      <c r="I72" s="143" t="s">
        <v>176</v>
      </c>
      <c r="J72" s="143" t="s">
        <v>643</v>
      </c>
      <c r="K72" s="144">
        <v>499</v>
      </c>
      <c r="L72" s="145" t="s">
        <v>172</v>
      </c>
      <c r="M72" s="143" t="s">
        <v>6709</v>
      </c>
    </row>
    <row r="73" spans="1:13">
      <c r="A73" s="27" t="s">
        <v>6705</v>
      </c>
      <c r="B73" s="141" t="s">
        <v>6844</v>
      </c>
      <c r="C73" s="141" t="s">
        <v>6707</v>
      </c>
      <c r="D73" s="142" t="s">
        <v>6845</v>
      </c>
      <c r="E73" s="143">
        <v>1</v>
      </c>
      <c r="F73" s="143" t="s">
        <v>168</v>
      </c>
      <c r="G73" s="143" t="s">
        <v>26</v>
      </c>
      <c r="H73" s="143" t="s">
        <v>26</v>
      </c>
      <c r="I73" s="143" t="s">
        <v>176</v>
      </c>
      <c r="J73" s="143" t="s">
        <v>643</v>
      </c>
      <c r="K73" s="144">
        <v>716</v>
      </c>
      <c r="L73" s="145" t="s">
        <v>172</v>
      </c>
      <c r="M73" s="143" t="s">
        <v>6709</v>
      </c>
    </row>
    <row r="74" spans="1:13">
      <c r="A74" s="27" t="s">
        <v>6705</v>
      </c>
      <c r="B74" s="141" t="s">
        <v>6846</v>
      </c>
      <c r="C74" s="141" t="s">
        <v>6707</v>
      </c>
      <c r="D74" s="142" t="s">
        <v>6847</v>
      </c>
      <c r="E74" s="143">
        <v>1</v>
      </c>
      <c r="F74" s="143" t="s">
        <v>168</v>
      </c>
      <c r="G74" s="143" t="s">
        <v>26</v>
      </c>
      <c r="H74" s="143" t="s">
        <v>26</v>
      </c>
      <c r="I74" s="143" t="s">
        <v>176</v>
      </c>
      <c r="J74" s="143" t="s">
        <v>643</v>
      </c>
      <c r="K74" s="144">
        <v>716</v>
      </c>
      <c r="L74" s="145" t="s">
        <v>172</v>
      </c>
      <c r="M74" s="143" t="s">
        <v>6709</v>
      </c>
    </row>
    <row r="75" spans="1:13">
      <c r="A75" s="27" t="s">
        <v>6705</v>
      </c>
      <c r="B75" s="141" t="s">
        <v>6848</v>
      </c>
      <c r="C75" s="141" t="s">
        <v>6707</v>
      </c>
      <c r="D75" s="142" t="s">
        <v>6849</v>
      </c>
      <c r="E75" s="143">
        <v>1</v>
      </c>
      <c r="F75" s="143" t="s">
        <v>168</v>
      </c>
      <c r="G75" s="143" t="s">
        <v>26</v>
      </c>
      <c r="H75" s="143" t="s">
        <v>26</v>
      </c>
      <c r="I75" s="143" t="s">
        <v>176</v>
      </c>
      <c r="J75" s="143" t="s">
        <v>643</v>
      </c>
      <c r="K75" s="144">
        <v>1799</v>
      </c>
      <c r="L75" s="145" t="s">
        <v>172</v>
      </c>
      <c r="M75" s="143" t="s">
        <v>6709</v>
      </c>
    </row>
    <row r="76" spans="1:13">
      <c r="A76" s="27" t="s">
        <v>6705</v>
      </c>
      <c r="B76" s="141" t="s">
        <v>6850</v>
      </c>
      <c r="C76" s="141" t="s">
        <v>6707</v>
      </c>
      <c r="D76" s="142" t="s">
        <v>6851</v>
      </c>
      <c r="E76" s="143">
        <v>1</v>
      </c>
      <c r="F76" s="143" t="s">
        <v>168</v>
      </c>
      <c r="G76" s="143" t="s">
        <v>26</v>
      </c>
      <c r="H76" s="143" t="s">
        <v>26</v>
      </c>
      <c r="I76" s="143" t="s">
        <v>176</v>
      </c>
      <c r="J76" s="143" t="s">
        <v>643</v>
      </c>
      <c r="K76" s="144">
        <v>1799</v>
      </c>
      <c r="L76" s="145" t="s">
        <v>172</v>
      </c>
      <c r="M76" s="143" t="s">
        <v>6709</v>
      </c>
    </row>
    <row r="77" spans="1:13">
      <c r="A77" s="27" t="s">
        <v>6705</v>
      </c>
      <c r="B77" s="141" t="s">
        <v>6852</v>
      </c>
      <c r="C77" s="141" t="s">
        <v>6707</v>
      </c>
      <c r="D77" s="142" t="s">
        <v>6853</v>
      </c>
      <c r="E77" s="143">
        <v>1</v>
      </c>
      <c r="F77" s="143" t="s">
        <v>168</v>
      </c>
      <c r="G77" s="143" t="s">
        <v>26</v>
      </c>
      <c r="H77" s="143" t="s">
        <v>26</v>
      </c>
      <c r="I77" s="143" t="s">
        <v>176</v>
      </c>
      <c r="J77" s="143" t="s">
        <v>643</v>
      </c>
      <c r="K77" s="144">
        <v>0.01</v>
      </c>
      <c r="L77" s="145" t="s">
        <v>172</v>
      </c>
      <c r="M77" s="143" t="s">
        <v>6709</v>
      </c>
    </row>
    <row r="78" spans="1:13">
      <c r="A78" s="27" t="s">
        <v>6705</v>
      </c>
      <c r="B78" s="141" t="s">
        <v>6854</v>
      </c>
      <c r="C78" s="141" t="s">
        <v>6707</v>
      </c>
      <c r="D78" s="142" t="s">
        <v>6855</v>
      </c>
      <c r="E78" s="143">
        <v>1</v>
      </c>
      <c r="F78" s="143" t="s">
        <v>168</v>
      </c>
      <c r="G78" s="143" t="s">
        <v>26</v>
      </c>
      <c r="H78" s="143" t="s">
        <v>26</v>
      </c>
      <c r="I78" s="143" t="s">
        <v>176</v>
      </c>
      <c r="J78" s="143" t="s">
        <v>643</v>
      </c>
      <c r="K78" s="144">
        <v>0.01</v>
      </c>
      <c r="L78" s="145" t="s">
        <v>172</v>
      </c>
      <c r="M78" s="143" t="s">
        <v>6709</v>
      </c>
    </row>
    <row r="79" spans="1:13">
      <c r="A79" s="27" t="s">
        <v>6705</v>
      </c>
      <c r="B79" s="141" t="s">
        <v>6856</v>
      </c>
      <c r="C79" s="141" t="s">
        <v>6707</v>
      </c>
      <c r="D79" s="142" t="s">
        <v>6857</v>
      </c>
      <c r="E79" s="143">
        <v>1</v>
      </c>
      <c r="F79" s="143" t="s">
        <v>168</v>
      </c>
      <c r="G79" s="143" t="s">
        <v>26</v>
      </c>
      <c r="H79" s="143" t="s">
        <v>26</v>
      </c>
      <c r="I79" s="143" t="s">
        <v>176</v>
      </c>
      <c r="J79" s="143" t="s">
        <v>643</v>
      </c>
      <c r="K79" s="144">
        <v>0.01</v>
      </c>
      <c r="L79" s="145" t="s">
        <v>172</v>
      </c>
      <c r="M79" s="143" t="s">
        <v>6709</v>
      </c>
    </row>
    <row r="80" spans="1:13">
      <c r="A80" s="27" t="s">
        <v>6705</v>
      </c>
      <c r="B80" s="141" t="s">
        <v>6858</v>
      </c>
      <c r="C80" s="141" t="s">
        <v>6707</v>
      </c>
      <c r="D80" s="142" t="s">
        <v>6859</v>
      </c>
      <c r="E80" s="143">
        <v>1</v>
      </c>
      <c r="F80" s="143" t="s">
        <v>168</v>
      </c>
      <c r="G80" s="143" t="s">
        <v>26</v>
      </c>
      <c r="H80" s="143" t="s">
        <v>26</v>
      </c>
      <c r="I80" s="143" t="s">
        <v>176</v>
      </c>
      <c r="J80" s="143" t="s">
        <v>643</v>
      </c>
      <c r="K80" s="144">
        <v>0.01</v>
      </c>
      <c r="L80" s="145" t="s">
        <v>172</v>
      </c>
      <c r="M80" s="143" t="s">
        <v>6709</v>
      </c>
    </row>
    <row r="81" spans="1:13">
      <c r="A81" s="27" t="s">
        <v>6705</v>
      </c>
      <c r="B81" s="141" t="s">
        <v>6860</v>
      </c>
      <c r="C81" s="141" t="s">
        <v>6707</v>
      </c>
      <c r="D81" s="142" t="s">
        <v>6861</v>
      </c>
      <c r="E81" s="143">
        <v>1</v>
      </c>
      <c r="F81" s="143" t="s">
        <v>168</v>
      </c>
      <c r="G81" s="143" t="s">
        <v>26</v>
      </c>
      <c r="H81" s="143" t="s">
        <v>26</v>
      </c>
      <c r="I81" s="143" t="s">
        <v>176</v>
      </c>
      <c r="J81" s="143" t="s">
        <v>643</v>
      </c>
      <c r="K81" s="144">
        <v>0.01</v>
      </c>
      <c r="L81" s="145" t="s">
        <v>172</v>
      </c>
      <c r="M81" s="143" t="s">
        <v>6709</v>
      </c>
    </row>
    <row r="82" spans="1:13">
      <c r="A82" s="27" t="s">
        <v>6705</v>
      </c>
      <c r="B82" s="141" t="s">
        <v>6862</v>
      </c>
      <c r="C82" s="141" t="s">
        <v>6707</v>
      </c>
      <c r="D82" s="142" t="s">
        <v>6863</v>
      </c>
      <c r="E82" s="143">
        <v>1</v>
      </c>
      <c r="F82" s="143" t="s">
        <v>168</v>
      </c>
      <c r="G82" s="143" t="s">
        <v>26</v>
      </c>
      <c r="H82" s="143" t="s">
        <v>26</v>
      </c>
      <c r="I82" s="143" t="s">
        <v>176</v>
      </c>
      <c r="J82" s="143" t="s">
        <v>643</v>
      </c>
      <c r="K82" s="144">
        <v>0.01</v>
      </c>
      <c r="L82" s="145" t="s">
        <v>172</v>
      </c>
      <c r="M82" s="143" t="s">
        <v>6709</v>
      </c>
    </row>
    <row r="83" spans="1:13">
      <c r="A83" s="27" t="s">
        <v>6705</v>
      </c>
      <c r="B83" s="141" t="s">
        <v>6864</v>
      </c>
      <c r="C83" s="141" t="s">
        <v>6707</v>
      </c>
      <c r="D83" s="142" t="s">
        <v>6865</v>
      </c>
      <c r="E83" s="143">
        <v>1</v>
      </c>
      <c r="F83" s="143" t="s">
        <v>168</v>
      </c>
      <c r="G83" s="143" t="s">
        <v>26</v>
      </c>
      <c r="H83" s="143" t="s">
        <v>26</v>
      </c>
      <c r="I83" s="143" t="s">
        <v>176</v>
      </c>
      <c r="J83" s="143" t="s">
        <v>643</v>
      </c>
      <c r="K83" s="144">
        <v>0.01</v>
      </c>
      <c r="L83" s="145" t="s">
        <v>172</v>
      </c>
      <c r="M83" s="143" t="s">
        <v>6709</v>
      </c>
    </row>
    <row r="84" spans="1:13">
      <c r="A84" s="27" t="s">
        <v>6705</v>
      </c>
      <c r="B84" s="141" t="s">
        <v>6866</v>
      </c>
      <c r="C84" s="141" t="s">
        <v>6707</v>
      </c>
      <c r="D84" s="142" t="s">
        <v>6867</v>
      </c>
      <c r="E84" s="143">
        <v>1</v>
      </c>
      <c r="F84" s="143" t="s">
        <v>168</v>
      </c>
      <c r="G84" s="143" t="s">
        <v>26</v>
      </c>
      <c r="H84" s="143" t="s">
        <v>26</v>
      </c>
      <c r="I84" s="143" t="s">
        <v>176</v>
      </c>
      <c r="J84" s="143" t="s">
        <v>643</v>
      </c>
      <c r="K84" s="144">
        <v>0.01</v>
      </c>
      <c r="L84" s="145" t="s">
        <v>172</v>
      </c>
      <c r="M84" s="143" t="s">
        <v>6709</v>
      </c>
    </row>
    <row r="85" spans="1:13">
      <c r="A85" s="27" t="s">
        <v>6705</v>
      </c>
      <c r="B85" s="141" t="s">
        <v>6868</v>
      </c>
      <c r="C85" s="141" t="s">
        <v>6707</v>
      </c>
      <c r="D85" s="142" t="s">
        <v>6869</v>
      </c>
      <c r="E85" s="143">
        <v>1</v>
      </c>
      <c r="F85" s="143" t="s">
        <v>168</v>
      </c>
      <c r="G85" s="143" t="s">
        <v>26</v>
      </c>
      <c r="H85" s="143" t="s">
        <v>26</v>
      </c>
      <c r="I85" s="143" t="s">
        <v>176</v>
      </c>
      <c r="J85" s="143" t="s">
        <v>643</v>
      </c>
      <c r="K85" s="144">
        <v>0.01</v>
      </c>
      <c r="L85" s="145" t="s">
        <v>172</v>
      </c>
      <c r="M85" s="143" t="s">
        <v>6709</v>
      </c>
    </row>
    <row r="86" spans="1:13">
      <c r="A86" s="27" t="s">
        <v>6705</v>
      </c>
      <c r="B86" s="141" t="s">
        <v>6870</v>
      </c>
      <c r="C86" s="141" t="s">
        <v>6707</v>
      </c>
      <c r="D86" s="142" t="s">
        <v>6871</v>
      </c>
      <c r="E86" s="143">
        <v>1</v>
      </c>
      <c r="F86" s="143" t="s">
        <v>168</v>
      </c>
      <c r="G86" s="143" t="s">
        <v>26</v>
      </c>
      <c r="H86" s="143" t="s">
        <v>26</v>
      </c>
      <c r="I86" s="143" t="s">
        <v>176</v>
      </c>
      <c r="J86" s="143" t="s">
        <v>643</v>
      </c>
      <c r="K86" s="144">
        <v>0.01</v>
      </c>
      <c r="L86" s="145" t="s">
        <v>172</v>
      </c>
      <c r="M86" s="143" t="s">
        <v>6709</v>
      </c>
    </row>
    <row r="87" spans="1:13">
      <c r="A87" s="27" t="s">
        <v>6705</v>
      </c>
      <c r="B87" s="141" t="s">
        <v>6872</v>
      </c>
      <c r="C87" s="141" t="s">
        <v>6707</v>
      </c>
      <c r="D87" s="142" t="s">
        <v>6873</v>
      </c>
      <c r="E87" s="143">
        <v>1</v>
      </c>
      <c r="F87" s="143" t="s">
        <v>168</v>
      </c>
      <c r="G87" s="143" t="s">
        <v>26</v>
      </c>
      <c r="H87" s="143" t="s">
        <v>26</v>
      </c>
      <c r="I87" s="143" t="s">
        <v>176</v>
      </c>
      <c r="J87" s="143" t="s">
        <v>643</v>
      </c>
      <c r="K87" s="144">
        <v>0.01</v>
      </c>
      <c r="L87" s="145" t="s">
        <v>172</v>
      </c>
      <c r="M87" s="143" t="s">
        <v>6709</v>
      </c>
    </row>
    <row r="88" spans="1:13">
      <c r="A88" s="27" t="s">
        <v>6705</v>
      </c>
      <c r="B88" s="141" t="s">
        <v>6874</v>
      </c>
      <c r="C88" s="141" t="s">
        <v>6707</v>
      </c>
      <c r="D88" s="142" t="s">
        <v>6875</v>
      </c>
      <c r="E88" s="143">
        <v>1</v>
      </c>
      <c r="F88" s="143" t="s">
        <v>168</v>
      </c>
      <c r="G88" s="143" t="s">
        <v>26</v>
      </c>
      <c r="H88" s="143" t="s">
        <v>26</v>
      </c>
      <c r="I88" s="143" t="s">
        <v>176</v>
      </c>
      <c r="J88" s="143" t="s">
        <v>643</v>
      </c>
      <c r="K88" s="144">
        <v>0.01</v>
      </c>
      <c r="L88" s="145" t="s">
        <v>172</v>
      </c>
      <c r="M88" s="143" t="s">
        <v>6709</v>
      </c>
    </row>
    <row r="89" spans="1:13">
      <c r="A89" s="27" t="s">
        <v>6705</v>
      </c>
      <c r="B89" s="141" t="s">
        <v>6876</v>
      </c>
      <c r="C89" s="141" t="s">
        <v>6707</v>
      </c>
      <c r="D89" s="142" t="s">
        <v>6877</v>
      </c>
      <c r="E89" s="143">
        <v>1</v>
      </c>
      <c r="F89" s="143" t="s">
        <v>168</v>
      </c>
      <c r="G89" s="143" t="s">
        <v>26</v>
      </c>
      <c r="H89" s="143" t="s">
        <v>26</v>
      </c>
      <c r="I89" s="143" t="s">
        <v>176</v>
      </c>
      <c r="J89" s="143" t="s">
        <v>643</v>
      </c>
      <c r="K89" s="144">
        <v>2376</v>
      </c>
      <c r="L89" s="145" t="s">
        <v>172</v>
      </c>
      <c r="M89" s="143" t="s">
        <v>6709</v>
      </c>
    </row>
    <row r="90" spans="1:13">
      <c r="A90" s="27" t="s">
        <v>6705</v>
      </c>
      <c r="B90" s="141" t="s">
        <v>6878</v>
      </c>
      <c r="C90" s="141" t="s">
        <v>6707</v>
      </c>
      <c r="D90" s="142" t="s">
        <v>6879</v>
      </c>
      <c r="E90" s="143">
        <v>1</v>
      </c>
      <c r="F90" s="143" t="s">
        <v>168</v>
      </c>
      <c r="G90" s="143" t="s">
        <v>26</v>
      </c>
      <c r="H90" s="143" t="s">
        <v>26</v>
      </c>
      <c r="I90" s="143" t="s">
        <v>176</v>
      </c>
      <c r="J90" s="143" t="s">
        <v>643</v>
      </c>
      <c r="K90" s="144">
        <v>2376</v>
      </c>
      <c r="L90" s="145" t="s">
        <v>172</v>
      </c>
      <c r="M90" s="143" t="s">
        <v>6709</v>
      </c>
    </row>
    <row r="91" spans="1:13">
      <c r="A91" s="27" t="s">
        <v>6705</v>
      </c>
      <c r="B91" s="141" t="s">
        <v>6880</v>
      </c>
      <c r="C91" s="141" t="s">
        <v>6707</v>
      </c>
      <c r="D91" s="142" t="s">
        <v>6881</v>
      </c>
      <c r="E91" s="143">
        <v>1</v>
      </c>
      <c r="F91" s="143" t="s">
        <v>168</v>
      </c>
      <c r="G91" s="143" t="s">
        <v>26</v>
      </c>
      <c r="H91" s="143" t="s">
        <v>26</v>
      </c>
      <c r="I91" s="143" t="s">
        <v>176</v>
      </c>
      <c r="J91" s="143" t="s">
        <v>643</v>
      </c>
      <c r="K91" s="144">
        <v>4776</v>
      </c>
      <c r="L91" s="145" t="s">
        <v>172</v>
      </c>
      <c r="M91" s="143" t="s">
        <v>6709</v>
      </c>
    </row>
    <row r="92" spans="1:13">
      <c r="A92" s="27" t="s">
        <v>6705</v>
      </c>
      <c r="B92" s="141" t="s">
        <v>6882</v>
      </c>
      <c r="C92" s="141" t="s">
        <v>6707</v>
      </c>
      <c r="D92" s="142" t="s">
        <v>6883</v>
      </c>
      <c r="E92" s="143">
        <v>1</v>
      </c>
      <c r="F92" s="143" t="s">
        <v>168</v>
      </c>
      <c r="G92" s="143" t="s">
        <v>26</v>
      </c>
      <c r="H92" s="143" t="s">
        <v>26</v>
      </c>
      <c r="I92" s="143" t="s">
        <v>176</v>
      </c>
      <c r="J92" s="143" t="s">
        <v>643</v>
      </c>
      <c r="K92" s="144">
        <v>4776</v>
      </c>
      <c r="L92" s="145" t="s">
        <v>172</v>
      </c>
      <c r="M92" s="143" t="s">
        <v>6709</v>
      </c>
    </row>
    <row r="93" spans="1:13">
      <c r="A93" s="27" t="s">
        <v>6705</v>
      </c>
      <c r="B93" s="141" t="s">
        <v>6884</v>
      </c>
      <c r="C93" s="141" t="s">
        <v>6707</v>
      </c>
      <c r="D93" s="142" t="s">
        <v>6885</v>
      </c>
      <c r="E93" s="143">
        <v>1</v>
      </c>
      <c r="F93" s="143" t="s">
        <v>168</v>
      </c>
      <c r="G93" s="143" t="s">
        <v>26</v>
      </c>
      <c r="H93" s="143" t="s">
        <v>26</v>
      </c>
      <c r="I93" s="143" t="s">
        <v>176</v>
      </c>
      <c r="J93" s="143" t="s">
        <v>643</v>
      </c>
      <c r="K93" s="144">
        <v>8376</v>
      </c>
      <c r="L93" s="145" t="s">
        <v>172</v>
      </c>
      <c r="M93" s="143" t="s">
        <v>6709</v>
      </c>
    </row>
    <row r="94" spans="1:13">
      <c r="A94" s="27" t="s">
        <v>6705</v>
      </c>
      <c r="B94" s="141" t="s">
        <v>6886</v>
      </c>
      <c r="C94" s="141" t="s">
        <v>6707</v>
      </c>
      <c r="D94" s="142" t="s">
        <v>6887</v>
      </c>
      <c r="E94" s="143">
        <v>1</v>
      </c>
      <c r="F94" s="143" t="s">
        <v>168</v>
      </c>
      <c r="G94" s="143" t="s">
        <v>26</v>
      </c>
      <c r="H94" s="143" t="s">
        <v>26</v>
      </c>
      <c r="I94" s="143" t="s">
        <v>176</v>
      </c>
      <c r="J94" s="143" t="s">
        <v>643</v>
      </c>
      <c r="K94" s="144">
        <v>8376</v>
      </c>
      <c r="L94" s="145" t="s">
        <v>172</v>
      </c>
      <c r="M94" s="143" t="s">
        <v>6709</v>
      </c>
    </row>
    <row r="95" spans="1:13">
      <c r="A95" s="27" t="s">
        <v>6705</v>
      </c>
      <c r="B95" s="141" t="s">
        <v>6888</v>
      </c>
      <c r="C95" s="141" t="s">
        <v>6707</v>
      </c>
      <c r="D95" s="142" t="s">
        <v>6889</v>
      </c>
      <c r="E95" s="143">
        <v>1</v>
      </c>
      <c r="F95" s="143" t="s">
        <v>168</v>
      </c>
      <c r="G95" s="143" t="s">
        <v>26</v>
      </c>
      <c r="H95" s="143" t="s">
        <v>26</v>
      </c>
      <c r="I95" s="143" t="s">
        <v>176</v>
      </c>
      <c r="J95" s="143" t="s">
        <v>643</v>
      </c>
      <c r="K95" s="144">
        <v>11976</v>
      </c>
      <c r="L95" s="145" t="s">
        <v>172</v>
      </c>
      <c r="M95" s="143" t="s">
        <v>6709</v>
      </c>
    </row>
    <row r="96" spans="1:13">
      <c r="A96" s="27" t="s">
        <v>6705</v>
      </c>
      <c r="B96" s="141" t="s">
        <v>6890</v>
      </c>
      <c r="C96" s="141" t="s">
        <v>6707</v>
      </c>
      <c r="D96" s="142" t="s">
        <v>6891</v>
      </c>
      <c r="E96" s="143">
        <v>1</v>
      </c>
      <c r="F96" s="143" t="s">
        <v>168</v>
      </c>
      <c r="G96" s="143" t="s">
        <v>26</v>
      </c>
      <c r="H96" s="143" t="s">
        <v>26</v>
      </c>
      <c r="I96" s="143" t="s">
        <v>176</v>
      </c>
      <c r="J96" s="143" t="s">
        <v>643</v>
      </c>
      <c r="K96" s="144">
        <v>11976</v>
      </c>
      <c r="L96" s="145" t="s">
        <v>172</v>
      </c>
      <c r="M96" s="143" t="s">
        <v>6709</v>
      </c>
    </row>
    <row r="97" spans="1:13">
      <c r="A97" s="27" t="s">
        <v>6705</v>
      </c>
      <c r="B97" s="141" t="s">
        <v>6892</v>
      </c>
      <c r="C97" s="141" t="s">
        <v>6707</v>
      </c>
      <c r="D97" s="142" t="s">
        <v>6893</v>
      </c>
      <c r="E97" s="143">
        <v>1</v>
      </c>
      <c r="F97" s="143" t="s">
        <v>168</v>
      </c>
      <c r="G97" s="143" t="s">
        <v>26</v>
      </c>
      <c r="H97" s="143" t="s">
        <v>26</v>
      </c>
      <c r="I97" s="143" t="s">
        <v>176</v>
      </c>
      <c r="J97" s="143" t="s">
        <v>643</v>
      </c>
      <c r="K97" s="144">
        <v>17176</v>
      </c>
      <c r="L97" s="145" t="s">
        <v>172</v>
      </c>
      <c r="M97" s="143" t="s">
        <v>6709</v>
      </c>
    </row>
    <row r="98" spans="1:13">
      <c r="A98" s="27" t="s">
        <v>6705</v>
      </c>
      <c r="B98" s="141" t="s">
        <v>6894</v>
      </c>
      <c r="C98" s="141" t="s">
        <v>6707</v>
      </c>
      <c r="D98" s="142" t="s">
        <v>6895</v>
      </c>
      <c r="E98" s="143">
        <v>1</v>
      </c>
      <c r="F98" s="143" t="s">
        <v>168</v>
      </c>
      <c r="G98" s="143" t="s">
        <v>26</v>
      </c>
      <c r="H98" s="143" t="s">
        <v>26</v>
      </c>
      <c r="I98" s="143" t="s">
        <v>176</v>
      </c>
      <c r="J98" s="143" t="s">
        <v>643</v>
      </c>
      <c r="K98" s="144">
        <v>17176</v>
      </c>
      <c r="L98" s="145" t="s">
        <v>172</v>
      </c>
      <c r="M98" s="143" t="s">
        <v>6709</v>
      </c>
    </row>
    <row r="99" spans="1:13">
      <c r="A99" s="27" t="s">
        <v>6705</v>
      </c>
      <c r="B99" s="141" t="s">
        <v>6896</v>
      </c>
      <c r="C99" s="141" t="s">
        <v>6707</v>
      </c>
      <c r="D99" s="142" t="s">
        <v>6897</v>
      </c>
      <c r="E99" s="143">
        <v>1</v>
      </c>
      <c r="F99" s="143" t="s">
        <v>168</v>
      </c>
      <c r="G99" s="143" t="s">
        <v>26</v>
      </c>
      <c r="H99" s="143" t="s">
        <v>26</v>
      </c>
      <c r="I99" s="143" t="s">
        <v>176</v>
      </c>
      <c r="J99" s="143" t="s">
        <v>643</v>
      </c>
      <c r="K99" s="144">
        <v>43176</v>
      </c>
      <c r="L99" s="145" t="s">
        <v>172</v>
      </c>
      <c r="M99" s="143" t="s">
        <v>6709</v>
      </c>
    </row>
    <row r="100" spans="1:13">
      <c r="A100" s="27" t="s">
        <v>6705</v>
      </c>
      <c r="B100" s="141" t="s">
        <v>6898</v>
      </c>
      <c r="C100" s="141" t="s">
        <v>6707</v>
      </c>
      <c r="D100" s="142" t="s">
        <v>6899</v>
      </c>
      <c r="E100" s="143">
        <v>1</v>
      </c>
      <c r="F100" s="143" t="s">
        <v>168</v>
      </c>
      <c r="G100" s="143" t="s">
        <v>26</v>
      </c>
      <c r="H100" s="143" t="s">
        <v>26</v>
      </c>
      <c r="I100" s="143" t="s">
        <v>176</v>
      </c>
      <c r="J100" s="143" t="s">
        <v>643</v>
      </c>
      <c r="K100" s="144">
        <v>43176</v>
      </c>
      <c r="L100" s="145" t="s">
        <v>172</v>
      </c>
      <c r="M100" s="143" t="s">
        <v>6709</v>
      </c>
    </row>
    <row r="101" spans="1:13">
      <c r="A101" s="27" t="s">
        <v>6705</v>
      </c>
      <c r="B101" s="141" t="s">
        <v>6900</v>
      </c>
      <c r="C101" s="141" t="s">
        <v>6707</v>
      </c>
      <c r="D101" s="142" t="s">
        <v>6901</v>
      </c>
      <c r="E101" s="143">
        <v>1</v>
      </c>
      <c r="F101" s="143" t="s">
        <v>168</v>
      </c>
      <c r="G101" s="143" t="s">
        <v>26</v>
      </c>
      <c r="H101" s="143" t="s">
        <v>26</v>
      </c>
      <c r="I101" s="143" t="s">
        <v>176</v>
      </c>
      <c r="J101" s="143" t="s">
        <v>643</v>
      </c>
      <c r="K101" s="144">
        <v>3564</v>
      </c>
      <c r="L101" s="145" t="s">
        <v>172</v>
      </c>
      <c r="M101" s="143" t="s">
        <v>6709</v>
      </c>
    </row>
    <row r="102" spans="1:13">
      <c r="A102" s="27" t="s">
        <v>6705</v>
      </c>
      <c r="B102" s="141" t="s">
        <v>6902</v>
      </c>
      <c r="C102" s="141" t="s">
        <v>6707</v>
      </c>
      <c r="D102" s="142" t="s">
        <v>6903</v>
      </c>
      <c r="E102" s="143">
        <v>1</v>
      </c>
      <c r="F102" s="143" t="s">
        <v>168</v>
      </c>
      <c r="G102" s="143" t="s">
        <v>26</v>
      </c>
      <c r="H102" s="143" t="s">
        <v>26</v>
      </c>
      <c r="I102" s="143" t="s">
        <v>176</v>
      </c>
      <c r="J102" s="143" t="s">
        <v>643</v>
      </c>
      <c r="K102" s="144">
        <v>3564</v>
      </c>
      <c r="L102" s="145" t="s">
        <v>172</v>
      </c>
      <c r="M102" s="143" t="s">
        <v>6709</v>
      </c>
    </row>
    <row r="103" spans="1:13">
      <c r="A103" s="27" t="s">
        <v>6705</v>
      </c>
      <c r="B103" s="141" t="s">
        <v>6904</v>
      </c>
      <c r="C103" s="141" t="s">
        <v>6707</v>
      </c>
      <c r="D103" s="142" t="s">
        <v>6905</v>
      </c>
      <c r="E103" s="143">
        <v>1</v>
      </c>
      <c r="F103" s="143" t="s">
        <v>168</v>
      </c>
      <c r="G103" s="143" t="s">
        <v>26</v>
      </c>
      <c r="H103" s="143" t="s">
        <v>26</v>
      </c>
      <c r="I103" s="143" t="s">
        <v>176</v>
      </c>
      <c r="J103" s="143" t="s">
        <v>643</v>
      </c>
      <c r="K103" s="144">
        <v>7164</v>
      </c>
      <c r="L103" s="145" t="s">
        <v>172</v>
      </c>
      <c r="M103" s="143" t="s">
        <v>6709</v>
      </c>
    </row>
    <row r="104" spans="1:13">
      <c r="A104" s="27" t="s">
        <v>6705</v>
      </c>
      <c r="B104" s="141" t="s">
        <v>6906</v>
      </c>
      <c r="C104" s="141" t="s">
        <v>6707</v>
      </c>
      <c r="D104" s="142" t="s">
        <v>6907</v>
      </c>
      <c r="E104" s="143">
        <v>1</v>
      </c>
      <c r="F104" s="143" t="s">
        <v>168</v>
      </c>
      <c r="G104" s="143" t="s">
        <v>26</v>
      </c>
      <c r="H104" s="143" t="s">
        <v>26</v>
      </c>
      <c r="I104" s="143" t="s">
        <v>176</v>
      </c>
      <c r="J104" s="143" t="s">
        <v>643</v>
      </c>
      <c r="K104" s="144">
        <v>7164</v>
      </c>
      <c r="L104" s="145" t="s">
        <v>172</v>
      </c>
      <c r="M104" s="143" t="s">
        <v>6709</v>
      </c>
    </row>
    <row r="105" spans="1:13">
      <c r="A105" s="27" t="s">
        <v>6705</v>
      </c>
      <c r="B105" s="141" t="s">
        <v>6908</v>
      </c>
      <c r="C105" s="141" t="s">
        <v>6707</v>
      </c>
      <c r="D105" s="142" t="s">
        <v>6909</v>
      </c>
      <c r="E105" s="143">
        <v>1</v>
      </c>
      <c r="F105" s="143" t="s">
        <v>168</v>
      </c>
      <c r="G105" s="143" t="s">
        <v>26</v>
      </c>
      <c r="H105" s="143" t="s">
        <v>26</v>
      </c>
      <c r="I105" s="143" t="s">
        <v>176</v>
      </c>
      <c r="J105" s="143" t="s">
        <v>643</v>
      </c>
      <c r="K105" s="144">
        <v>12564</v>
      </c>
      <c r="L105" s="145" t="s">
        <v>172</v>
      </c>
      <c r="M105" s="143" t="s">
        <v>6709</v>
      </c>
    </row>
    <row r="106" spans="1:13">
      <c r="A106" s="27" t="s">
        <v>6705</v>
      </c>
      <c r="B106" s="141" t="s">
        <v>6910</v>
      </c>
      <c r="C106" s="141" t="s">
        <v>6707</v>
      </c>
      <c r="D106" s="142" t="s">
        <v>6911</v>
      </c>
      <c r="E106" s="143">
        <v>1</v>
      </c>
      <c r="F106" s="143" t="s">
        <v>168</v>
      </c>
      <c r="G106" s="143" t="s">
        <v>26</v>
      </c>
      <c r="H106" s="143" t="s">
        <v>26</v>
      </c>
      <c r="I106" s="143" t="s">
        <v>176</v>
      </c>
      <c r="J106" s="143" t="s">
        <v>643</v>
      </c>
      <c r="K106" s="144">
        <v>12564</v>
      </c>
      <c r="L106" s="145" t="s">
        <v>172</v>
      </c>
      <c r="M106" s="143" t="s">
        <v>6709</v>
      </c>
    </row>
    <row r="107" spans="1:13">
      <c r="A107" s="27" t="s">
        <v>6705</v>
      </c>
      <c r="B107" s="141" t="s">
        <v>6912</v>
      </c>
      <c r="C107" s="141" t="s">
        <v>6707</v>
      </c>
      <c r="D107" s="142" t="s">
        <v>6913</v>
      </c>
      <c r="E107" s="143">
        <v>1</v>
      </c>
      <c r="F107" s="143" t="s">
        <v>168</v>
      </c>
      <c r="G107" s="143" t="s">
        <v>26</v>
      </c>
      <c r="H107" s="143" t="s">
        <v>26</v>
      </c>
      <c r="I107" s="143" t="s">
        <v>176</v>
      </c>
      <c r="J107" s="143" t="s">
        <v>643</v>
      </c>
      <c r="K107" s="144">
        <v>17964</v>
      </c>
      <c r="L107" s="145" t="s">
        <v>172</v>
      </c>
      <c r="M107" s="143" t="s">
        <v>6709</v>
      </c>
    </row>
    <row r="108" spans="1:13">
      <c r="A108" s="27" t="s">
        <v>6705</v>
      </c>
      <c r="B108" s="141" t="s">
        <v>6914</v>
      </c>
      <c r="C108" s="141" t="s">
        <v>6707</v>
      </c>
      <c r="D108" s="142" t="s">
        <v>6915</v>
      </c>
      <c r="E108" s="143">
        <v>1</v>
      </c>
      <c r="F108" s="143" t="s">
        <v>168</v>
      </c>
      <c r="G108" s="143" t="s">
        <v>26</v>
      </c>
      <c r="H108" s="143" t="s">
        <v>26</v>
      </c>
      <c r="I108" s="143" t="s">
        <v>176</v>
      </c>
      <c r="J108" s="143" t="s">
        <v>643</v>
      </c>
      <c r="K108" s="144">
        <v>17964</v>
      </c>
      <c r="L108" s="145" t="s">
        <v>172</v>
      </c>
      <c r="M108" s="143" t="s">
        <v>6709</v>
      </c>
    </row>
    <row r="109" spans="1:13">
      <c r="A109" s="27" t="s">
        <v>6705</v>
      </c>
      <c r="B109" s="141" t="s">
        <v>6916</v>
      </c>
      <c r="C109" s="141" t="s">
        <v>6707</v>
      </c>
      <c r="D109" s="142" t="s">
        <v>6917</v>
      </c>
      <c r="E109" s="143">
        <v>1</v>
      </c>
      <c r="F109" s="143" t="s">
        <v>168</v>
      </c>
      <c r="G109" s="143" t="s">
        <v>26</v>
      </c>
      <c r="H109" s="143" t="s">
        <v>26</v>
      </c>
      <c r="I109" s="143" t="s">
        <v>176</v>
      </c>
      <c r="J109" s="143" t="s">
        <v>643</v>
      </c>
      <c r="K109" s="144">
        <v>25764</v>
      </c>
      <c r="L109" s="145" t="s">
        <v>172</v>
      </c>
      <c r="M109" s="143" t="s">
        <v>6709</v>
      </c>
    </row>
    <row r="110" spans="1:13">
      <c r="A110" s="27" t="s">
        <v>6705</v>
      </c>
      <c r="B110" s="141" t="s">
        <v>6918</v>
      </c>
      <c r="C110" s="141" t="s">
        <v>6707</v>
      </c>
      <c r="D110" s="142" t="s">
        <v>6919</v>
      </c>
      <c r="E110" s="143">
        <v>1</v>
      </c>
      <c r="F110" s="143" t="s">
        <v>168</v>
      </c>
      <c r="G110" s="143" t="s">
        <v>26</v>
      </c>
      <c r="H110" s="143" t="s">
        <v>26</v>
      </c>
      <c r="I110" s="143" t="s">
        <v>176</v>
      </c>
      <c r="J110" s="143" t="s">
        <v>643</v>
      </c>
      <c r="K110" s="144">
        <v>25764</v>
      </c>
      <c r="L110" s="145" t="s">
        <v>172</v>
      </c>
      <c r="M110" s="143" t="s">
        <v>6709</v>
      </c>
    </row>
    <row r="111" spans="1:13">
      <c r="A111" s="27" t="s">
        <v>6705</v>
      </c>
      <c r="B111" s="141" t="s">
        <v>6920</v>
      </c>
      <c r="C111" s="141" t="s">
        <v>6707</v>
      </c>
      <c r="D111" s="142" t="s">
        <v>6921</v>
      </c>
      <c r="E111" s="143">
        <v>1</v>
      </c>
      <c r="F111" s="143" t="s">
        <v>168</v>
      </c>
      <c r="G111" s="143" t="s">
        <v>26</v>
      </c>
      <c r="H111" s="143" t="s">
        <v>26</v>
      </c>
      <c r="I111" s="143" t="s">
        <v>176</v>
      </c>
      <c r="J111" s="143" t="s">
        <v>643</v>
      </c>
      <c r="K111" s="144">
        <v>64764</v>
      </c>
      <c r="L111" s="145" t="s">
        <v>172</v>
      </c>
      <c r="M111" s="143" t="s">
        <v>6709</v>
      </c>
    </row>
    <row r="112" spans="1:13">
      <c r="A112" s="27" t="s">
        <v>6705</v>
      </c>
      <c r="B112" s="141" t="s">
        <v>6922</v>
      </c>
      <c r="C112" s="141" t="s">
        <v>6707</v>
      </c>
      <c r="D112" s="142" t="s">
        <v>6923</v>
      </c>
      <c r="E112" s="143">
        <v>1</v>
      </c>
      <c r="F112" s="143" t="s">
        <v>168</v>
      </c>
      <c r="G112" s="143" t="s">
        <v>26</v>
      </c>
      <c r="H112" s="143" t="s">
        <v>26</v>
      </c>
      <c r="I112" s="143" t="s">
        <v>176</v>
      </c>
      <c r="J112" s="143" t="s">
        <v>643</v>
      </c>
      <c r="K112" s="144">
        <v>64764</v>
      </c>
      <c r="L112" s="145" t="s">
        <v>172</v>
      </c>
      <c r="M112" s="143" t="s">
        <v>6709</v>
      </c>
    </row>
    <row r="113" spans="1:13">
      <c r="A113" s="27" t="s">
        <v>6705</v>
      </c>
      <c r="B113" s="141" t="s">
        <v>6924</v>
      </c>
      <c r="C113" s="141" t="s">
        <v>6707</v>
      </c>
      <c r="D113" s="142" t="s">
        <v>6925</v>
      </c>
      <c r="E113" s="143">
        <v>1</v>
      </c>
      <c r="F113" s="143" t="s">
        <v>168</v>
      </c>
      <c r="G113" s="143" t="s">
        <v>26</v>
      </c>
      <c r="H113" s="143" t="s">
        <v>26</v>
      </c>
      <c r="I113" s="143" t="s">
        <v>176</v>
      </c>
      <c r="J113" s="143" t="s">
        <v>643</v>
      </c>
      <c r="K113" s="144">
        <v>4752</v>
      </c>
      <c r="L113" s="145" t="s">
        <v>172</v>
      </c>
      <c r="M113" s="143" t="s">
        <v>6709</v>
      </c>
    </row>
    <row r="114" spans="1:13">
      <c r="A114" s="27" t="s">
        <v>6705</v>
      </c>
      <c r="B114" s="141" t="s">
        <v>6926</v>
      </c>
      <c r="C114" s="141" t="s">
        <v>6707</v>
      </c>
      <c r="D114" s="142" t="s">
        <v>6927</v>
      </c>
      <c r="E114" s="143">
        <v>1</v>
      </c>
      <c r="F114" s="143" t="s">
        <v>168</v>
      </c>
      <c r="G114" s="143" t="s">
        <v>26</v>
      </c>
      <c r="H114" s="143" t="s">
        <v>26</v>
      </c>
      <c r="I114" s="143" t="s">
        <v>176</v>
      </c>
      <c r="J114" s="143" t="s">
        <v>643</v>
      </c>
      <c r="K114" s="144">
        <v>4752</v>
      </c>
      <c r="L114" s="145" t="s">
        <v>172</v>
      </c>
      <c r="M114" s="143" t="s">
        <v>6709</v>
      </c>
    </row>
    <row r="115" spans="1:13">
      <c r="A115" s="27" t="s">
        <v>6705</v>
      </c>
      <c r="B115" s="141" t="s">
        <v>6928</v>
      </c>
      <c r="C115" s="141" t="s">
        <v>6707</v>
      </c>
      <c r="D115" s="142" t="s">
        <v>6929</v>
      </c>
      <c r="E115" s="143">
        <v>1</v>
      </c>
      <c r="F115" s="143" t="s">
        <v>168</v>
      </c>
      <c r="G115" s="143" t="s">
        <v>26</v>
      </c>
      <c r="H115" s="143" t="s">
        <v>26</v>
      </c>
      <c r="I115" s="143" t="s">
        <v>176</v>
      </c>
      <c r="J115" s="143" t="s">
        <v>643</v>
      </c>
      <c r="K115" s="144">
        <v>9552</v>
      </c>
      <c r="L115" s="145" t="s">
        <v>172</v>
      </c>
      <c r="M115" s="143" t="s">
        <v>6709</v>
      </c>
    </row>
    <row r="116" spans="1:13">
      <c r="A116" s="27" t="s">
        <v>6705</v>
      </c>
      <c r="B116" s="141" t="s">
        <v>6930</v>
      </c>
      <c r="C116" s="141" t="s">
        <v>6707</v>
      </c>
      <c r="D116" s="142" t="s">
        <v>6931</v>
      </c>
      <c r="E116" s="143">
        <v>1</v>
      </c>
      <c r="F116" s="143" t="s">
        <v>168</v>
      </c>
      <c r="G116" s="143" t="s">
        <v>26</v>
      </c>
      <c r="H116" s="143" t="s">
        <v>26</v>
      </c>
      <c r="I116" s="143" t="s">
        <v>176</v>
      </c>
      <c r="J116" s="143" t="s">
        <v>643</v>
      </c>
      <c r="K116" s="144">
        <v>9552</v>
      </c>
      <c r="L116" s="145" t="s">
        <v>172</v>
      </c>
      <c r="M116" s="143" t="s">
        <v>6709</v>
      </c>
    </row>
    <row r="117" spans="1:13">
      <c r="A117" s="27" t="s">
        <v>6705</v>
      </c>
      <c r="B117" s="141" t="s">
        <v>6932</v>
      </c>
      <c r="C117" s="141" t="s">
        <v>6707</v>
      </c>
      <c r="D117" s="142" t="s">
        <v>6933</v>
      </c>
      <c r="E117" s="143">
        <v>1</v>
      </c>
      <c r="F117" s="143" t="s">
        <v>168</v>
      </c>
      <c r="G117" s="143" t="s">
        <v>26</v>
      </c>
      <c r="H117" s="143" t="s">
        <v>26</v>
      </c>
      <c r="I117" s="143" t="s">
        <v>176</v>
      </c>
      <c r="J117" s="143" t="s">
        <v>643</v>
      </c>
      <c r="K117" s="144">
        <v>16752</v>
      </c>
      <c r="L117" s="145" t="s">
        <v>172</v>
      </c>
      <c r="M117" s="143" t="s">
        <v>6709</v>
      </c>
    </row>
    <row r="118" spans="1:13">
      <c r="A118" s="27" t="s">
        <v>6705</v>
      </c>
      <c r="B118" s="141" t="s">
        <v>6934</v>
      </c>
      <c r="C118" s="141" t="s">
        <v>6707</v>
      </c>
      <c r="D118" s="142" t="s">
        <v>6935</v>
      </c>
      <c r="E118" s="143">
        <v>1</v>
      </c>
      <c r="F118" s="143" t="s">
        <v>168</v>
      </c>
      <c r="G118" s="143" t="s">
        <v>26</v>
      </c>
      <c r="H118" s="143" t="s">
        <v>26</v>
      </c>
      <c r="I118" s="143" t="s">
        <v>176</v>
      </c>
      <c r="J118" s="143" t="s">
        <v>643</v>
      </c>
      <c r="K118" s="144">
        <v>16752</v>
      </c>
      <c r="L118" s="145" t="s">
        <v>172</v>
      </c>
      <c r="M118" s="143" t="s">
        <v>6709</v>
      </c>
    </row>
    <row r="119" spans="1:13">
      <c r="A119" s="27" t="s">
        <v>6705</v>
      </c>
      <c r="B119" s="141" t="s">
        <v>6936</v>
      </c>
      <c r="C119" s="141" t="s">
        <v>6707</v>
      </c>
      <c r="D119" s="142" t="s">
        <v>6937</v>
      </c>
      <c r="E119" s="143">
        <v>1</v>
      </c>
      <c r="F119" s="143" t="s">
        <v>168</v>
      </c>
      <c r="G119" s="143" t="s">
        <v>26</v>
      </c>
      <c r="H119" s="143" t="s">
        <v>26</v>
      </c>
      <c r="I119" s="143" t="s">
        <v>176</v>
      </c>
      <c r="J119" s="143" t="s">
        <v>643</v>
      </c>
      <c r="K119" s="144">
        <v>23952</v>
      </c>
      <c r="L119" s="145" t="s">
        <v>172</v>
      </c>
      <c r="M119" s="143" t="s">
        <v>6709</v>
      </c>
    </row>
    <row r="120" spans="1:13">
      <c r="A120" s="27" t="s">
        <v>6705</v>
      </c>
      <c r="B120" s="141" t="s">
        <v>6938</v>
      </c>
      <c r="C120" s="141" t="s">
        <v>6707</v>
      </c>
      <c r="D120" s="142" t="s">
        <v>6939</v>
      </c>
      <c r="E120" s="143">
        <v>1</v>
      </c>
      <c r="F120" s="143" t="s">
        <v>168</v>
      </c>
      <c r="G120" s="143" t="s">
        <v>26</v>
      </c>
      <c r="H120" s="143" t="s">
        <v>26</v>
      </c>
      <c r="I120" s="143" t="s">
        <v>176</v>
      </c>
      <c r="J120" s="143" t="s">
        <v>643</v>
      </c>
      <c r="K120" s="144">
        <v>23952</v>
      </c>
      <c r="L120" s="145" t="s">
        <v>172</v>
      </c>
      <c r="M120" s="143" t="s">
        <v>6709</v>
      </c>
    </row>
    <row r="121" spans="1:13">
      <c r="A121" s="27" t="s">
        <v>6705</v>
      </c>
      <c r="B121" s="141" t="s">
        <v>6940</v>
      </c>
      <c r="C121" s="141" t="s">
        <v>6707</v>
      </c>
      <c r="D121" s="142" t="s">
        <v>6941</v>
      </c>
      <c r="E121" s="143">
        <v>1</v>
      </c>
      <c r="F121" s="143" t="s">
        <v>168</v>
      </c>
      <c r="G121" s="143" t="s">
        <v>26</v>
      </c>
      <c r="H121" s="143" t="s">
        <v>26</v>
      </c>
      <c r="I121" s="143" t="s">
        <v>176</v>
      </c>
      <c r="J121" s="143" t="s">
        <v>643</v>
      </c>
      <c r="K121" s="144">
        <v>34352</v>
      </c>
      <c r="L121" s="145" t="s">
        <v>172</v>
      </c>
      <c r="M121" s="143" t="s">
        <v>6709</v>
      </c>
    </row>
    <row r="122" spans="1:13">
      <c r="A122" s="27" t="s">
        <v>6705</v>
      </c>
      <c r="B122" s="141" t="s">
        <v>6942</v>
      </c>
      <c r="C122" s="141" t="s">
        <v>6707</v>
      </c>
      <c r="D122" s="142" t="s">
        <v>6943</v>
      </c>
      <c r="E122" s="143">
        <v>1</v>
      </c>
      <c r="F122" s="143" t="s">
        <v>168</v>
      </c>
      <c r="G122" s="143" t="s">
        <v>26</v>
      </c>
      <c r="H122" s="143" t="s">
        <v>26</v>
      </c>
      <c r="I122" s="143" t="s">
        <v>176</v>
      </c>
      <c r="J122" s="143" t="s">
        <v>643</v>
      </c>
      <c r="K122" s="144">
        <v>34352</v>
      </c>
      <c r="L122" s="145" t="s">
        <v>172</v>
      </c>
      <c r="M122" s="143" t="s">
        <v>6709</v>
      </c>
    </row>
    <row r="123" spans="1:13">
      <c r="A123" s="27" t="s">
        <v>6705</v>
      </c>
      <c r="B123" s="141" t="s">
        <v>6944</v>
      </c>
      <c r="C123" s="141" t="s">
        <v>6707</v>
      </c>
      <c r="D123" s="142" t="s">
        <v>6945</v>
      </c>
      <c r="E123" s="143">
        <v>1</v>
      </c>
      <c r="F123" s="143" t="s">
        <v>168</v>
      </c>
      <c r="G123" s="143" t="s">
        <v>26</v>
      </c>
      <c r="H123" s="143" t="s">
        <v>26</v>
      </c>
      <c r="I123" s="143" t="s">
        <v>176</v>
      </c>
      <c r="J123" s="143" t="s">
        <v>643</v>
      </c>
      <c r="K123" s="144">
        <v>86352</v>
      </c>
      <c r="L123" s="145" t="s">
        <v>172</v>
      </c>
      <c r="M123" s="143" t="s">
        <v>6709</v>
      </c>
    </row>
    <row r="124" spans="1:13">
      <c r="A124" s="27" t="s">
        <v>6705</v>
      </c>
      <c r="B124" s="141" t="s">
        <v>6946</v>
      </c>
      <c r="C124" s="141" t="s">
        <v>6707</v>
      </c>
      <c r="D124" s="142" t="s">
        <v>6947</v>
      </c>
      <c r="E124" s="143">
        <v>1</v>
      </c>
      <c r="F124" s="143" t="s">
        <v>168</v>
      </c>
      <c r="G124" s="143" t="s">
        <v>26</v>
      </c>
      <c r="H124" s="143" t="s">
        <v>26</v>
      </c>
      <c r="I124" s="143" t="s">
        <v>176</v>
      </c>
      <c r="J124" s="143" t="s">
        <v>643</v>
      </c>
      <c r="K124" s="144">
        <v>86352</v>
      </c>
      <c r="L124" s="145" t="s">
        <v>172</v>
      </c>
      <c r="M124" s="143" t="s">
        <v>6709</v>
      </c>
    </row>
    <row r="125" spans="1:13">
      <c r="A125" s="27" t="s">
        <v>6705</v>
      </c>
      <c r="B125" s="141" t="s">
        <v>6948</v>
      </c>
      <c r="C125" s="141" t="s">
        <v>6707</v>
      </c>
      <c r="D125" s="142" t="s">
        <v>6949</v>
      </c>
      <c r="E125" s="143">
        <v>1</v>
      </c>
      <c r="F125" s="143" t="s">
        <v>168</v>
      </c>
      <c r="G125" s="143" t="s">
        <v>26</v>
      </c>
      <c r="H125" s="143" t="s">
        <v>26</v>
      </c>
      <c r="I125" s="143" t="s">
        <v>176</v>
      </c>
      <c r="J125" s="143" t="s">
        <v>643</v>
      </c>
      <c r="K125" s="144">
        <v>5940</v>
      </c>
      <c r="L125" s="145" t="s">
        <v>172</v>
      </c>
      <c r="M125" s="143" t="s">
        <v>6709</v>
      </c>
    </row>
    <row r="126" spans="1:13">
      <c r="A126" s="27" t="s">
        <v>6705</v>
      </c>
      <c r="B126" s="141" t="s">
        <v>6950</v>
      </c>
      <c r="C126" s="141" t="s">
        <v>6707</v>
      </c>
      <c r="D126" s="142" t="s">
        <v>6951</v>
      </c>
      <c r="E126" s="143">
        <v>1</v>
      </c>
      <c r="F126" s="143" t="s">
        <v>168</v>
      </c>
      <c r="G126" s="143" t="s">
        <v>26</v>
      </c>
      <c r="H126" s="143" t="s">
        <v>26</v>
      </c>
      <c r="I126" s="143" t="s">
        <v>176</v>
      </c>
      <c r="J126" s="143" t="s">
        <v>643</v>
      </c>
      <c r="K126" s="144">
        <v>5940</v>
      </c>
      <c r="L126" s="145" t="s">
        <v>172</v>
      </c>
      <c r="M126" s="143" t="s">
        <v>6709</v>
      </c>
    </row>
    <row r="127" spans="1:13">
      <c r="A127" s="27" t="s">
        <v>6705</v>
      </c>
      <c r="B127" s="141" t="s">
        <v>6952</v>
      </c>
      <c r="C127" s="141" t="s">
        <v>6707</v>
      </c>
      <c r="D127" s="142" t="s">
        <v>6953</v>
      </c>
      <c r="E127" s="143">
        <v>1</v>
      </c>
      <c r="F127" s="143" t="s">
        <v>168</v>
      </c>
      <c r="G127" s="143" t="s">
        <v>26</v>
      </c>
      <c r="H127" s="143" t="s">
        <v>26</v>
      </c>
      <c r="I127" s="143" t="s">
        <v>176</v>
      </c>
      <c r="J127" s="143" t="s">
        <v>643</v>
      </c>
      <c r="K127" s="144">
        <v>11940</v>
      </c>
      <c r="L127" s="145" t="s">
        <v>172</v>
      </c>
      <c r="M127" s="143" t="s">
        <v>6709</v>
      </c>
    </row>
    <row r="128" spans="1:13">
      <c r="A128" s="27" t="s">
        <v>6705</v>
      </c>
      <c r="B128" s="141" t="s">
        <v>6954</v>
      </c>
      <c r="C128" s="141" t="s">
        <v>6707</v>
      </c>
      <c r="D128" s="142" t="s">
        <v>6955</v>
      </c>
      <c r="E128" s="143">
        <v>1</v>
      </c>
      <c r="F128" s="143" t="s">
        <v>168</v>
      </c>
      <c r="G128" s="143" t="s">
        <v>26</v>
      </c>
      <c r="H128" s="143" t="s">
        <v>26</v>
      </c>
      <c r="I128" s="143" t="s">
        <v>176</v>
      </c>
      <c r="J128" s="143" t="s">
        <v>643</v>
      </c>
      <c r="K128" s="144">
        <v>11940</v>
      </c>
      <c r="L128" s="145" t="s">
        <v>172</v>
      </c>
      <c r="M128" s="143" t="s">
        <v>6709</v>
      </c>
    </row>
    <row r="129" spans="1:13">
      <c r="A129" s="27" t="s">
        <v>6705</v>
      </c>
      <c r="B129" s="141" t="s">
        <v>6956</v>
      </c>
      <c r="C129" s="141" t="s">
        <v>6707</v>
      </c>
      <c r="D129" s="142" t="s">
        <v>6957</v>
      </c>
      <c r="E129" s="143">
        <v>1</v>
      </c>
      <c r="F129" s="143" t="s">
        <v>168</v>
      </c>
      <c r="G129" s="143" t="s">
        <v>26</v>
      </c>
      <c r="H129" s="143" t="s">
        <v>26</v>
      </c>
      <c r="I129" s="143" t="s">
        <v>176</v>
      </c>
      <c r="J129" s="143" t="s">
        <v>643</v>
      </c>
      <c r="K129" s="144">
        <v>20940</v>
      </c>
      <c r="L129" s="145" t="s">
        <v>172</v>
      </c>
      <c r="M129" s="143" t="s">
        <v>6709</v>
      </c>
    </row>
    <row r="130" spans="1:13">
      <c r="A130" s="27" t="s">
        <v>6705</v>
      </c>
      <c r="B130" s="141" t="s">
        <v>6958</v>
      </c>
      <c r="C130" s="141" t="s">
        <v>6707</v>
      </c>
      <c r="D130" s="142" t="s">
        <v>6959</v>
      </c>
      <c r="E130" s="143">
        <v>1</v>
      </c>
      <c r="F130" s="143" t="s">
        <v>168</v>
      </c>
      <c r="G130" s="143" t="s">
        <v>26</v>
      </c>
      <c r="H130" s="143" t="s">
        <v>26</v>
      </c>
      <c r="I130" s="143" t="s">
        <v>176</v>
      </c>
      <c r="J130" s="143" t="s">
        <v>643</v>
      </c>
      <c r="K130" s="144">
        <v>20940</v>
      </c>
      <c r="L130" s="145" t="s">
        <v>172</v>
      </c>
      <c r="M130" s="143" t="s">
        <v>6709</v>
      </c>
    </row>
    <row r="131" spans="1:13">
      <c r="A131" s="27" t="s">
        <v>6705</v>
      </c>
      <c r="B131" s="141" t="s">
        <v>6960</v>
      </c>
      <c r="C131" s="141" t="s">
        <v>6707</v>
      </c>
      <c r="D131" s="142" t="s">
        <v>6961</v>
      </c>
      <c r="E131" s="143">
        <v>1</v>
      </c>
      <c r="F131" s="143" t="s">
        <v>168</v>
      </c>
      <c r="G131" s="143" t="s">
        <v>26</v>
      </c>
      <c r="H131" s="143" t="s">
        <v>26</v>
      </c>
      <c r="I131" s="143" t="s">
        <v>176</v>
      </c>
      <c r="J131" s="143" t="s">
        <v>643</v>
      </c>
      <c r="K131" s="144">
        <v>29940</v>
      </c>
      <c r="L131" s="145" t="s">
        <v>172</v>
      </c>
      <c r="M131" s="143" t="s">
        <v>6709</v>
      </c>
    </row>
    <row r="132" spans="1:13">
      <c r="A132" s="27" t="s">
        <v>6705</v>
      </c>
      <c r="B132" s="141" t="s">
        <v>6962</v>
      </c>
      <c r="C132" s="141" t="s">
        <v>6707</v>
      </c>
      <c r="D132" s="142" t="s">
        <v>6963</v>
      </c>
      <c r="E132" s="143">
        <v>1</v>
      </c>
      <c r="F132" s="143" t="s">
        <v>168</v>
      </c>
      <c r="G132" s="143" t="s">
        <v>26</v>
      </c>
      <c r="H132" s="143" t="s">
        <v>26</v>
      </c>
      <c r="I132" s="143" t="s">
        <v>176</v>
      </c>
      <c r="J132" s="143" t="s">
        <v>643</v>
      </c>
      <c r="K132" s="144">
        <v>29940</v>
      </c>
      <c r="L132" s="145" t="s">
        <v>172</v>
      </c>
      <c r="M132" s="143" t="s">
        <v>6709</v>
      </c>
    </row>
    <row r="133" spans="1:13">
      <c r="A133" s="27" t="s">
        <v>6705</v>
      </c>
      <c r="B133" s="141" t="s">
        <v>6964</v>
      </c>
      <c r="C133" s="141" t="s">
        <v>6707</v>
      </c>
      <c r="D133" s="142" t="s">
        <v>6965</v>
      </c>
      <c r="E133" s="143">
        <v>1</v>
      </c>
      <c r="F133" s="143" t="s">
        <v>168</v>
      </c>
      <c r="G133" s="143" t="s">
        <v>26</v>
      </c>
      <c r="H133" s="143" t="s">
        <v>26</v>
      </c>
      <c r="I133" s="143" t="s">
        <v>176</v>
      </c>
      <c r="J133" s="143" t="s">
        <v>643</v>
      </c>
      <c r="K133" s="144">
        <v>42940</v>
      </c>
      <c r="L133" s="145" t="s">
        <v>172</v>
      </c>
      <c r="M133" s="143" t="s">
        <v>6709</v>
      </c>
    </row>
    <row r="134" spans="1:13">
      <c r="A134" s="27" t="s">
        <v>6705</v>
      </c>
      <c r="B134" s="141" t="s">
        <v>6966</v>
      </c>
      <c r="C134" s="141" t="s">
        <v>6707</v>
      </c>
      <c r="D134" s="142" t="s">
        <v>6967</v>
      </c>
      <c r="E134" s="143">
        <v>1</v>
      </c>
      <c r="F134" s="143" t="s">
        <v>168</v>
      </c>
      <c r="G134" s="143" t="s">
        <v>26</v>
      </c>
      <c r="H134" s="143" t="s">
        <v>26</v>
      </c>
      <c r="I134" s="143" t="s">
        <v>176</v>
      </c>
      <c r="J134" s="143" t="s">
        <v>643</v>
      </c>
      <c r="K134" s="144">
        <v>42940</v>
      </c>
      <c r="L134" s="145" t="s">
        <v>172</v>
      </c>
      <c r="M134" s="143" t="s">
        <v>6709</v>
      </c>
    </row>
    <row r="135" spans="1:13">
      <c r="A135" s="27" t="s">
        <v>6705</v>
      </c>
      <c r="B135" s="141" t="s">
        <v>6968</v>
      </c>
      <c r="C135" s="141" t="s">
        <v>6707</v>
      </c>
      <c r="D135" s="142" t="s">
        <v>6969</v>
      </c>
      <c r="E135" s="143">
        <v>1</v>
      </c>
      <c r="F135" s="143" t="s">
        <v>168</v>
      </c>
      <c r="G135" s="143" t="s">
        <v>26</v>
      </c>
      <c r="H135" s="143" t="s">
        <v>26</v>
      </c>
      <c r="I135" s="143" t="s">
        <v>176</v>
      </c>
      <c r="J135" s="143" t="s">
        <v>643</v>
      </c>
      <c r="K135" s="144">
        <v>107940</v>
      </c>
      <c r="L135" s="145" t="s">
        <v>172</v>
      </c>
      <c r="M135" s="143" t="s">
        <v>6709</v>
      </c>
    </row>
    <row r="136" spans="1:13">
      <c r="A136" s="27" t="s">
        <v>6705</v>
      </c>
      <c r="B136" s="141" t="s">
        <v>6970</v>
      </c>
      <c r="C136" s="141" t="s">
        <v>6707</v>
      </c>
      <c r="D136" s="142" t="s">
        <v>6971</v>
      </c>
      <c r="E136" s="143">
        <v>1</v>
      </c>
      <c r="F136" s="143" t="s">
        <v>168</v>
      </c>
      <c r="G136" s="143" t="s">
        <v>26</v>
      </c>
      <c r="H136" s="143" t="s">
        <v>26</v>
      </c>
      <c r="I136" s="143" t="s">
        <v>176</v>
      </c>
      <c r="J136" s="143" t="s">
        <v>643</v>
      </c>
      <c r="K136" s="144">
        <v>107940</v>
      </c>
      <c r="L136" s="145" t="s">
        <v>172</v>
      </c>
      <c r="M136" s="143" t="s">
        <v>6709</v>
      </c>
    </row>
    <row r="137" spans="1:13">
      <c r="A137" s="27" t="s">
        <v>6705</v>
      </c>
      <c r="B137" s="141" t="s">
        <v>6972</v>
      </c>
      <c r="C137" s="141" t="s">
        <v>6707</v>
      </c>
      <c r="D137" s="142" t="s">
        <v>6973</v>
      </c>
      <c r="E137" s="143">
        <v>1</v>
      </c>
      <c r="F137" s="143" t="s">
        <v>168</v>
      </c>
      <c r="G137" s="143" t="s">
        <v>26</v>
      </c>
      <c r="H137" s="143" t="s">
        <v>26</v>
      </c>
      <c r="I137" s="143" t="s">
        <v>176</v>
      </c>
      <c r="J137" s="143" t="s">
        <v>643</v>
      </c>
      <c r="K137" s="144">
        <v>100</v>
      </c>
      <c r="L137" s="145" t="s">
        <v>172</v>
      </c>
      <c r="M137" s="143" t="s">
        <v>6709</v>
      </c>
    </row>
    <row r="138" spans="1:13">
      <c r="A138" s="27" t="s">
        <v>6705</v>
      </c>
      <c r="B138" s="141" t="s">
        <v>6974</v>
      </c>
      <c r="C138" s="141" t="s">
        <v>6707</v>
      </c>
      <c r="D138" s="142" t="s">
        <v>6975</v>
      </c>
      <c r="E138" s="143">
        <v>1</v>
      </c>
      <c r="F138" s="143" t="s">
        <v>168</v>
      </c>
      <c r="G138" s="143" t="s">
        <v>26</v>
      </c>
      <c r="H138" s="143" t="s">
        <v>26</v>
      </c>
      <c r="I138" s="143" t="s">
        <v>176</v>
      </c>
      <c r="J138" s="143" t="s">
        <v>643</v>
      </c>
      <c r="K138" s="144">
        <v>100</v>
      </c>
      <c r="L138" s="145" t="s">
        <v>172</v>
      </c>
      <c r="M138" s="143" t="s">
        <v>6709</v>
      </c>
    </row>
    <row r="139" spans="1:13">
      <c r="A139" s="27" t="s">
        <v>6705</v>
      </c>
      <c r="B139" s="141" t="s">
        <v>6976</v>
      </c>
      <c r="C139" s="141" t="s">
        <v>6707</v>
      </c>
      <c r="D139" s="142" t="s">
        <v>6977</v>
      </c>
      <c r="E139" s="143">
        <v>1</v>
      </c>
      <c r="F139" s="143" t="s">
        <v>168</v>
      </c>
      <c r="G139" s="143" t="s">
        <v>26</v>
      </c>
      <c r="H139" s="143" t="s">
        <v>26</v>
      </c>
      <c r="I139" s="143" t="s">
        <v>176</v>
      </c>
      <c r="J139" s="143" t="s">
        <v>643</v>
      </c>
      <c r="K139" s="144">
        <v>250</v>
      </c>
      <c r="L139" s="145" t="s">
        <v>172</v>
      </c>
      <c r="M139" s="143" t="s">
        <v>6709</v>
      </c>
    </row>
    <row r="140" spans="1:13">
      <c r="A140" s="27" t="s">
        <v>6705</v>
      </c>
      <c r="B140" s="141" t="s">
        <v>6978</v>
      </c>
      <c r="C140" s="141" t="s">
        <v>6707</v>
      </c>
      <c r="D140" s="142" t="s">
        <v>6979</v>
      </c>
      <c r="E140" s="143">
        <v>1</v>
      </c>
      <c r="F140" s="143" t="s">
        <v>168</v>
      </c>
      <c r="G140" s="143" t="s">
        <v>26</v>
      </c>
      <c r="H140" s="143" t="s">
        <v>26</v>
      </c>
      <c r="I140" s="143" t="s">
        <v>176</v>
      </c>
      <c r="J140" s="143" t="s">
        <v>643</v>
      </c>
      <c r="K140" s="144">
        <v>250</v>
      </c>
      <c r="L140" s="145" t="s">
        <v>172</v>
      </c>
      <c r="M140" s="143" t="s">
        <v>6709</v>
      </c>
    </row>
    <row r="141" spans="1:13">
      <c r="A141" s="27" t="s">
        <v>6705</v>
      </c>
      <c r="B141" s="141" t="s">
        <v>6980</v>
      </c>
      <c r="C141" s="141" t="s">
        <v>6707</v>
      </c>
      <c r="D141" s="142" t="s">
        <v>6981</v>
      </c>
      <c r="E141" s="143">
        <v>1</v>
      </c>
      <c r="F141" s="143" t="s">
        <v>168</v>
      </c>
      <c r="G141" s="143" t="s">
        <v>26</v>
      </c>
      <c r="H141" s="143" t="s">
        <v>26</v>
      </c>
      <c r="I141" s="143" t="s">
        <v>176</v>
      </c>
      <c r="J141" s="143" t="s">
        <v>643</v>
      </c>
      <c r="K141" s="144">
        <v>400</v>
      </c>
      <c r="L141" s="145" t="s">
        <v>172</v>
      </c>
      <c r="M141" s="143" t="s">
        <v>6709</v>
      </c>
    </row>
    <row r="142" spans="1:13">
      <c r="A142" s="27" t="s">
        <v>6705</v>
      </c>
      <c r="B142" s="141" t="s">
        <v>6982</v>
      </c>
      <c r="C142" s="141" t="s">
        <v>6707</v>
      </c>
      <c r="D142" s="142" t="s">
        <v>6983</v>
      </c>
      <c r="E142" s="143">
        <v>1</v>
      </c>
      <c r="F142" s="143" t="s">
        <v>168</v>
      </c>
      <c r="G142" s="143" t="s">
        <v>26</v>
      </c>
      <c r="H142" s="143" t="s">
        <v>26</v>
      </c>
      <c r="I142" s="143" t="s">
        <v>176</v>
      </c>
      <c r="J142" s="143" t="s">
        <v>643</v>
      </c>
      <c r="K142" s="144">
        <v>400</v>
      </c>
      <c r="L142" s="145" t="s">
        <v>172</v>
      </c>
      <c r="M142" s="143" t="s">
        <v>6709</v>
      </c>
    </row>
    <row r="143" spans="1:13">
      <c r="A143" s="27" t="s">
        <v>6705</v>
      </c>
      <c r="B143" s="141" t="s">
        <v>6984</v>
      </c>
      <c r="C143" s="141" t="s">
        <v>6707</v>
      </c>
      <c r="D143" s="142" t="s">
        <v>6985</v>
      </c>
      <c r="E143" s="143">
        <v>1</v>
      </c>
      <c r="F143" s="143" t="s">
        <v>168</v>
      </c>
      <c r="G143" s="143" t="s">
        <v>26</v>
      </c>
      <c r="H143" s="143" t="s">
        <v>26</v>
      </c>
      <c r="I143" s="143" t="s">
        <v>176</v>
      </c>
      <c r="J143" s="143" t="s">
        <v>643</v>
      </c>
      <c r="K143" s="144">
        <v>617</v>
      </c>
      <c r="L143" s="145" t="s">
        <v>172</v>
      </c>
      <c r="M143" s="143" t="s">
        <v>6709</v>
      </c>
    </row>
    <row r="144" spans="1:13">
      <c r="A144" s="27" t="s">
        <v>6705</v>
      </c>
      <c r="B144" s="141" t="s">
        <v>6986</v>
      </c>
      <c r="C144" s="141" t="s">
        <v>6707</v>
      </c>
      <c r="D144" s="142" t="s">
        <v>6987</v>
      </c>
      <c r="E144" s="143">
        <v>1</v>
      </c>
      <c r="F144" s="143" t="s">
        <v>168</v>
      </c>
      <c r="G144" s="143" t="s">
        <v>26</v>
      </c>
      <c r="H144" s="143" t="s">
        <v>26</v>
      </c>
      <c r="I144" s="143" t="s">
        <v>176</v>
      </c>
      <c r="J144" s="143" t="s">
        <v>643</v>
      </c>
      <c r="K144" s="144">
        <v>617</v>
      </c>
      <c r="L144" s="145" t="s">
        <v>172</v>
      </c>
      <c r="M144" s="143" t="s">
        <v>6709</v>
      </c>
    </row>
    <row r="145" spans="1:13">
      <c r="A145" s="27" t="s">
        <v>6705</v>
      </c>
      <c r="B145" s="141" t="s">
        <v>6988</v>
      </c>
      <c r="C145" s="141" t="s">
        <v>6707</v>
      </c>
      <c r="D145" s="142" t="s">
        <v>6989</v>
      </c>
      <c r="E145" s="143">
        <v>1</v>
      </c>
      <c r="F145" s="143" t="s">
        <v>168</v>
      </c>
      <c r="G145" s="143" t="s">
        <v>26</v>
      </c>
      <c r="H145" s="143" t="s">
        <v>26</v>
      </c>
      <c r="I145" s="143" t="s">
        <v>176</v>
      </c>
      <c r="J145" s="143" t="s">
        <v>643</v>
      </c>
      <c r="K145" s="144">
        <v>1700</v>
      </c>
      <c r="L145" s="145" t="s">
        <v>172</v>
      </c>
      <c r="M145" s="143" t="s">
        <v>6709</v>
      </c>
    </row>
    <row r="146" spans="1:13">
      <c r="A146" s="27" t="s">
        <v>6705</v>
      </c>
      <c r="B146" s="141" t="s">
        <v>6990</v>
      </c>
      <c r="C146" s="141" t="s">
        <v>6707</v>
      </c>
      <c r="D146" s="142" t="s">
        <v>6991</v>
      </c>
      <c r="E146" s="143">
        <v>1</v>
      </c>
      <c r="F146" s="143" t="s">
        <v>168</v>
      </c>
      <c r="G146" s="143" t="s">
        <v>26</v>
      </c>
      <c r="H146" s="143" t="s">
        <v>26</v>
      </c>
      <c r="I146" s="143" t="s">
        <v>176</v>
      </c>
      <c r="J146" s="143" t="s">
        <v>643</v>
      </c>
      <c r="K146" s="144">
        <v>1700</v>
      </c>
      <c r="L146" s="145" t="s">
        <v>172</v>
      </c>
      <c r="M146" s="143" t="s">
        <v>6709</v>
      </c>
    </row>
    <row r="147" spans="1:13">
      <c r="A147" s="27" t="s">
        <v>6705</v>
      </c>
      <c r="B147" s="141" t="s">
        <v>6992</v>
      </c>
      <c r="C147" s="141" t="s">
        <v>6707</v>
      </c>
      <c r="D147" s="142" t="s">
        <v>6993</v>
      </c>
      <c r="E147" s="143">
        <v>1</v>
      </c>
      <c r="F147" s="143" t="s">
        <v>168</v>
      </c>
      <c r="G147" s="143" t="s">
        <v>26</v>
      </c>
      <c r="H147" s="143" t="s">
        <v>26</v>
      </c>
      <c r="I147" s="143" t="s">
        <v>176</v>
      </c>
      <c r="J147" s="143" t="s">
        <v>643</v>
      </c>
      <c r="K147" s="144">
        <v>150</v>
      </c>
      <c r="L147" s="145" t="s">
        <v>172</v>
      </c>
      <c r="M147" s="143" t="s">
        <v>6709</v>
      </c>
    </row>
    <row r="148" spans="1:13">
      <c r="A148" s="27" t="s">
        <v>6705</v>
      </c>
      <c r="B148" s="141" t="s">
        <v>6994</v>
      </c>
      <c r="C148" s="141" t="s">
        <v>6707</v>
      </c>
      <c r="D148" s="142" t="s">
        <v>6995</v>
      </c>
      <c r="E148" s="143">
        <v>1</v>
      </c>
      <c r="F148" s="143" t="s">
        <v>168</v>
      </c>
      <c r="G148" s="143" t="s">
        <v>26</v>
      </c>
      <c r="H148" s="143" t="s">
        <v>26</v>
      </c>
      <c r="I148" s="143" t="s">
        <v>176</v>
      </c>
      <c r="J148" s="143" t="s">
        <v>643</v>
      </c>
      <c r="K148" s="144">
        <v>150</v>
      </c>
      <c r="L148" s="145" t="s">
        <v>172</v>
      </c>
      <c r="M148" s="143" t="s">
        <v>6709</v>
      </c>
    </row>
    <row r="149" spans="1:13">
      <c r="A149" s="27" t="s">
        <v>6705</v>
      </c>
      <c r="B149" s="141" t="s">
        <v>6996</v>
      </c>
      <c r="C149" s="141" t="s">
        <v>6707</v>
      </c>
      <c r="D149" s="142" t="s">
        <v>6997</v>
      </c>
      <c r="E149" s="143">
        <v>1</v>
      </c>
      <c r="F149" s="143" t="s">
        <v>168</v>
      </c>
      <c r="G149" s="143" t="s">
        <v>26</v>
      </c>
      <c r="H149" s="143" t="s">
        <v>26</v>
      </c>
      <c r="I149" s="143" t="s">
        <v>176</v>
      </c>
      <c r="J149" s="143" t="s">
        <v>643</v>
      </c>
      <c r="K149" s="144">
        <v>300</v>
      </c>
      <c r="L149" s="145" t="s">
        <v>172</v>
      </c>
      <c r="M149" s="143" t="s">
        <v>6709</v>
      </c>
    </row>
    <row r="150" spans="1:13">
      <c r="A150" s="27" t="s">
        <v>6705</v>
      </c>
      <c r="B150" s="141" t="s">
        <v>6998</v>
      </c>
      <c r="C150" s="141" t="s">
        <v>6707</v>
      </c>
      <c r="D150" s="142" t="s">
        <v>6999</v>
      </c>
      <c r="E150" s="143">
        <v>1</v>
      </c>
      <c r="F150" s="143" t="s">
        <v>168</v>
      </c>
      <c r="G150" s="143" t="s">
        <v>26</v>
      </c>
      <c r="H150" s="143" t="s">
        <v>26</v>
      </c>
      <c r="I150" s="143" t="s">
        <v>176</v>
      </c>
      <c r="J150" s="143" t="s">
        <v>643</v>
      </c>
      <c r="K150" s="144">
        <v>300</v>
      </c>
      <c r="L150" s="145" t="s">
        <v>172</v>
      </c>
      <c r="M150" s="143" t="s">
        <v>6709</v>
      </c>
    </row>
    <row r="151" spans="1:13">
      <c r="A151" s="27" t="s">
        <v>6705</v>
      </c>
      <c r="B151" s="141" t="s">
        <v>7000</v>
      </c>
      <c r="C151" s="141" t="s">
        <v>6707</v>
      </c>
      <c r="D151" s="142" t="s">
        <v>7001</v>
      </c>
      <c r="E151" s="143">
        <v>1</v>
      </c>
      <c r="F151" s="143" t="s">
        <v>168</v>
      </c>
      <c r="G151" s="143" t="s">
        <v>26</v>
      </c>
      <c r="H151" s="143" t="s">
        <v>26</v>
      </c>
      <c r="I151" s="143" t="s">
        <v>176</v>
      </c>
      <c r="J151" s="143" t="s">
        <v>643</v>
      </c>
      <c r="K151" s="144">
        <v>517</v>
      </c>
      <c r="L151" s="145" t="s">
        <v>172</v>
      </c>
      <c r="M151" s="143" t="s">
        <v>6709</v>
      </c>
    </row>
    <row r="152" spans="1:13">
      <c r="A152" s="27" t="s">
        <v>6705</v>
      </c>
      <c r="B152" s="141" t="s">
        <v>7002</v>
      </c>
      <c r="C152" s="141" t="s">
        <v>6707</v>
      </c>
      <c r="D152" s="142" t="s">
        <v>7003</v>
      </c>
      <c r="E152" s="143">
        <v>1</v>
      </c>
      <c r="F152" s="143" t="s">
        <v>168</v>
      </c>
      <c r="G152" s="143" t="s">
        <v>26</v>
      </c>
      <c r="H152" s="143" t="s">
        <v>26</v>
      </c>
      <c r="I152" s="143" t="s">
        <v>176</v>
      </c>
      <c r="J152" s="143" t="s">
        <v>643</v>
      </c>
      <c r="K152" s="144">
        <v>517</v>
      </c>
      <c r="L152" s="145" t="s">
        <v>172</v>
      </c>
      <c r="M152" s="143" t="s">
        <v>6709</v>
      </c>
    </row>
    <row r="153" spans="1:13">
      <c r="A153" s="27" t="s">
        <v>6705</v>
      </c>
      <c r="B153" s="141" t="s">
        <v>7004</v>
      </c>
      <c r="C153" s="141" t="s">
        <v>6707</v>
      </c>
      <c r="D153" s="142" t="s">
        <v>7005</v>
      </c>
      <c r="E153" s="143">
        <v>1</v>
      </c>
      <c r="F153" s="143" t="s">
        <v>168</v>
      </c>
      <c r="G153" s="143" t="s">
        <v>26</v>
      </c>
      <c r="H153" s="143" t="s">
        <v>26</v>
      </c>
      <c r="I153" s="143" t="s">
        <v>176</v>
      </c>
      <c r="J153" s="143" t="s">
        <v>643</v>
      </c>
      <c r="K153" s="144">
        <v>1600</v>
      </c>
      <c r="L153" s="145" t="s">
        <v>172</v>
      </c>
      <c r="M153" s="143" t="s">
        <v>6709</v>
      </c>
    </row>
    <row r="154" spans="1:13">
      <c r="A154" s="27" t="s">
        <v>6705</v>
      </c>
      <c r="B154" s="141" t="s">
        <v>7006</v>
      </c>
      <c r="C154" s="141" t="s">
        <v>6707</v>
      </c>
      <c r="D154" s="142" t="s">
        <v>7007</v>
      </c>
      <c r="E154" s="143">
        <v>1</v>
      </c>
      <c r="F154" s="143" t="s">
        <v>168</v>
      </c>
      <c r="G154" s="143" t="s">
        <v>26</v>
      </c>
      <c r="H154" s="143" t="s">
        <v>26</v>
      </c>
      <c r="I154" s="143" t="s">
        <v>176</v>
      </c>
      <c r="J154" s="143" t="s">
        <v>643</v>
      </c>
      <c r="K154" s="144">
        <v>1600</v>
      </c>
      <c r="L154" s="145" t="s">
        <v>172</v>
      </c>
      <c r="M154" s="143" t="s">
        <v>6709</v>
      </c>
    </row>
    <row r="155" spans="1:13">
      <c r="A155" s="27" t="s">
        <v>6705</v>
      </c>
      <c r="B155" s="141" t="s">
        <v>7008</v>
      </c>
      <c r="C155" s="141" t="s">
        <v>6707</v>
      </c>
      <c r="D155" s="142" t="s">
        <v>7009</v>
      </c>
      <c r="E155" s="143">
        <v>1</v>
      </c>
      <c r="F155" s="143" t="s">
        <v>168</v>
      </c>
      <c r="G155" s="143" t="s">
        <v>26</v>
      </c>
      <c r="H155" s="143" t="s">
        <v>26</v>
      </c>
      <c r="I155" s="143" t="s">
        <v>176</v>
      </c>
      <c r="J155" s="143" t="s">
        <v>643</v>
      </c>
      <c r="K155" s="144">
        <v>150</v>
      </c>
      <c r="L155" s="145" t="s">
        <v>172</v>
      </c>
      <c r="M155" s="143" t="s">
        <v>6709</v>
      </c>
    </row>
    <row r="156" spans="1:13">
      <c r="A156" s="27" t="s">
        <v>6705</v>
      </c>
      <c r="B156" s="141" t="s">
        <v>7010</v>
      </c>
      <c r="C156" s="141" t="s">
        <v>6707</v>
      </c>
      <c r="D156" s="142" t="s">
        <v>7011</v>
      </c>
      <c r="E156" s="143">
        <v>1</v>
      </c>
      <c r="F156" s="143" t="s">
        <v>168</v>
      </c>
      <c r="G156" s="143" t="s">
        <v>26</v>
      </c>
      <c r="H156" s="143" t="s">
        <v>26</v>
      </c>
      <c r="I156" s="143" t="s">
        <v>176</v>
      </c>
      <c r="J156" s="143" t="s">
        <v>643</v>
      </c>
      <c r="K156" s="144">
        <v>150</v>
      </c>
      <c r="L156" s="145" t="s">
        <v>172</v>
      </c>
      <c r="M156" s="143" t="s">
        <v>6709</v>
      </c>
    </row>
    <row r="157" spans="1:13">
      <c r="A157" s="27" t="s">
        <v>6705</v>
      </c>
      <c r="B157" s="141" t="s">
        <v>7012</v>
      </c>
      <c r="C157" s="141" t="s">
        <v>6707</v>
      </c>
      <c r="D157" s="142" t="s">
        <v>7013</v>
      </c>
      <c r="E157" s="143">
        <v>1</v>
      </c>
      <c r="F157" s="143" t="s">
        <v>168</v>
      </c>
      <c r="G157" s="143" t="s">
        <v>26</v>
      </c>
      <c r="H157" s="143" t="s">
        <v>26</v>
      </c>
      <c r="I157" s="143" t="s">
        <v>176</v>
      </c>
      <c r="J157" s="143" t="s">
        <v>643</v>
      </c>
      <c r="K157" s="144">
        <v>367</v>
      </c>
      <c r="L157" s="145" t="s">
        <v>172</v>
      </c>
      <c r="M157" s="143" t="s">
        <v>6709</v>
      </c>
    </row>
    <row r="158" spans="1:13">
      <c r="A158" s="27" t="s">
        <v>6705</v>
      </c>
      <c r="B158" s="141" t="s">
        <v>7014</v>
      </c>
      <c r="C158" s="141" t="s">
        <v>6707</v>
      </c>
      <c r="D158" s="142" t="s">
        <v>7015</v>
      </c>
      <c r="E158" s="143">
        <v>1</v>
      </c>
      <c r="F158" s="143" t="s">
        <v>168</v>
      </c>
      <c r="G158" s="143" t="s">
        <v>26</v>
      </c>
      <c r="H158" s="143" t="s">
        <v>26</v>
      </c>
      <c r="I158" s="143" t="s">
        <v>176</v>
      </c>
      <c r="J158" s="143" t="s">
        <v>643</v>
      </c>
      <c r="K158" s="144">
        <v>367</v>
      </c>
      <c r="L158" s="145" t="s">
        <v>172</v>
      </c>
      <c r="M158" s="143" t="s">
        <v>6709</v>
      </c>
    </row>
    <row r="159" spans="1:13">
      <c r="A159" s="27" t="s">
        <v>6705</v>
      </c>
      <c r="B159" s="141" t="s">
        <v>7016</v>
      </c>
      <c r="C159" s="141" t="s">
        <v>6707</v>
      </c>
      <c r="D159" s="142" t="s">
        <v>7017</v>
      </c>
      <c r="E159" s="143">
        <v>1</v>
      </c>
      <c r="F159" s="143" t="s">
        <v>168</v>
      </c>
      <c r="G159" s="143" t="s">
        <v>26</v>
      </c>
      <c r="H159" s="143" t="s">
        <v>26</v>
      </c>
      <c r="I159" s="143" t="s">
        <v>176</v>
      </c>
      <c r="J159" s="143" t="s">
        <v>643</v>
      </c>
      <c r="K159" s="144">
        <v>1450</v>
      </c>
      <c r="L159" s="145" t="s">
        <v>172</v>
      </c>
      <c r="M159" s="143" t="s">
        <v>6709</v>
      </c>
    </row>
    <row r="160" spans="1:13">
      <c r="A160" s="27" t="s">
        <v>6705</v>
      </c>
      <c r="B160" s="141" t="s">
        <v>7018</v>
      </c>
      <c r="C160" s="141" t="s">
        <v>6707</v>
      </c>
      <c r="D160" s="142" t="s">
        <v>7019</v>
      </c>
      <c r="E160" s="143">
        <v>1</v>
      </c>
      <c r="F160" s="143" t="s">
        <v>168</v>
      </c>
      <c r="G160" s="143" t="s">
        <v>26</v>
      </c>
      <c r="H160" s="143" t="s">
        <v>26</v>
      </c>
      <c r="I160" s="143" t="s">
        <v>176</v>
      </c>
      <c r="J160" s="143" t="s">
        <v>643</v>
      </c>
      <c r="K160" s="144">
        <v>1450</v>
      </c>
      <c r="L160" s="145" t="s">
        <v>172</v>
      </c>
      <c r="M160" s="143" t="s">
        <v>6709</v>
      </c>
    </row>
    <row r="161" spans="1:13">
      <c r="A161" s="27" t="s">
        <v>6705</v>
      </c>
      <c r="B161" s="141" t="s">
        <v>7020</v>
      </c>
      <c r="C161" s="141" t="s">
        <v>6707</v>
      </c>
      <c r="D161" s="142" t="s">
        <v>7021</v>
      </c>
      <c r="E161" s="143">
        <v>1</v>
      </c>
      <c r="F161" s="143" t="s">
        <v>168</v>
      </c>
      <c r="G161" s="143" t="s">
        <v>26</v>
      </c>
      <c r="H161" s="143" t="s">
        <v>26</v>
      </c>
      <c r="I161" s="143" t="s">
        <v>176</v>
      </c>
      <c r="J161" s="143" t="s">
        <v>643</v>
      </c>
      <c r="K161" s="144">
        <v>217</v>
      </c>
      <c r="L161" s="145" t="s">
        <v>172</v>
      </c>
      <c r="M161" s="143" t="s">
        <v>6709</v>
      </c>
    </row>
    <row r="162" spans="1:13">
      <c r="A162" s="27" t="s">
        <v>6705</v>
      </c>
      <c r="B162" s="141" t="s">
        <v>7022</v>
      </c>
      <c r="C162" s="141" t="s">
        <v>6707</v>
      </c>
      <c r="D162" s="142" t="s">
        <v>7023</v>
      </c>
      <c r="E162" s="143">
        <v>1</v>
      </c>
      <c r="F162" s="143" t="s">
        <v>168</v>
      </c>
      <c r="G162" s="143" t="s">
        <v>26</v>
      </c>
      <c r="H162" s="143" t="s">
        <v>26</v>
      </c>
      <c r="I162" s="143" t="s">
        <v>176</v>
      </c>
      <c r="J162" s="143" t="s">
        <v>643</v>
      </c>
      <c r="K162" s="144">
        <v>217</v>
      </c>
      <c r="L162" s="145" t="s">
        <v>172</v>
      </c>
      <c r="M162" s="143" t="s">
        <v>6709</v>
      </c>
    </row>
    <row r="163" spans="1:13">
      <c r="A163" s="27" t="s">
        <v>6705</v>
      </c>
      <c r="B163" s="141" t="s">
        <v>7024</v>
      </c>
      <c r="C163" s="141" t="s">
        <v>6707</v>
      </c>
      <c r="D163" s="142" t="s">
        <v>7025</v>
      </c>
      <c r="E163" s="143">
        <v>1</v>
      </c>
      <c r="F163" s="143" t="s">
        <v>168</v>
      </c>
      <c r="G163" s="143" t="s">
        <v>26</v>
      </c>
      <c r="H163" s="143" t="s">
        <v>26</v>
      </c>
      <c r="I163" s="143" t="s">
        <v>176</v>
      </c>
      <c r="J163" s="143" t="s">
        <v>643</v>
      </c>
      <c r="K163" s="144">
        <v>1300</v>
      </c>
      <c r="L163" s="145" t="s">
        <v>172</v>
      </c>
      <c r="M163" s="143" t="s">
        <v>6709</v>
      </c>
    </row>
    <row r="164" spans="1:13">
      <c r="A164" s="27" t="s">
        <v>6705</v>
      </c>
      <c r="B164" s="141" t="s">
        <v>7026</v>
      </c>
      <c r="C164" s="141" t="s">
        <v>6707</v>
      </c>
      <c r="D164" s="142" t="s">
        <v>7027</v>
      </c>
      <c r="E164" s="143">
        <v>1</v>
      </c>
      <c r="F164" s="143" t="s">
        <v>168</v>
      </c>
      <c r="G164" s="143" t="s">
        <v>26</v>
      </c>
      <c r="H164" s="143" t="s">
        <v>26</v>
      </c>
      <c r="I164" s="143" t="s">
        <v>176</v>
      </c>
      <c r="J164" s="143" t="s">
        <v>643</v>
      </c>
      <c r="K164" s="144">
        <v>1300</v>
      </c>
      <c r="L164" s="145" t="s">
        <v>172</v>
      </c>
      <c r="M164" s="143" t="s">
        <v>6709</v>
      </c>
    </row>
    <row r="165" spans="1:13">
      <c r="A165" s="27" t="s">
        <v>6705</v>
      </c>
      <c r="B165" s="141" t="s">
        <v>7028</v>
      </c>
      <c r="C165" s="141" t="s">
        <v>6707</v>
      </c>
      <c r="D165" s="142" t="s">
        <v>7029</v>
      </c>
      <c r="E165" s="143">
        <v>1</v>
      </c>
      <c r="F165" s="143" t="s">
        <v>168</v>
      </c>
      <c r="G165" s="143" t="s">
        <v>26</v>
      </c>
      <c r="H165" s="143" t="s">
        <v>26</v>
      </c>
      <c r="I165" s="143" t="s">
        <v>176</v>
      </c>
      <c r="J165" s="143" t="s">
        <v>643</v>
      </c>
      <c r="K165" s="144">
        <v>1083</v>
      </c>
      <c r="L165" s="145" t="s">
        <v>172</v>
      </c>
      <c r="M165" s="143" t="s">
        <v>6709</v>
      </c>
    </row>
    <row r="166" spans="1:13">
      <c r="A166" s="27" t="s">
        <v>6705</v>
      </c>
      <c r="B166" s="141" t="s">
        <v>7030</v>
      </c>
      <c r="C166" s="141" t="s">
        <v>6707</v>
      </c>
      <c r="D166" s="142" t="s">
        <v>7031</v>
      </c>
      <c r="E166" s="143">
        <v>1</v>
      </c>
      <c r="F166" s="143" t="s">
        <v>168</v>
      </c>
      <c r="G166" s="143" t="s">
        <v>26</v>
      </c>
      <c r="H166" s="143" t="s">
        <v>26</v>
      </c>
      <c r="I166" s="143" t="s">
        <v>176</v>
      </c>
      <c r="J166" s="143" t="s">
        <v>643</v>
      </c>
      <c r="K166" s="144">
        <v>1083</v>
      </c>
      <c r="L166" s="145" t="s">
        <v>172</v>
      </c>
      <c r="M166" s="143" t="s">
        <v>6709</v>
      </c>
    </row>
    <row r="167" spans="1:13">
      <c r="A167" s="27" t="s">
        <v>6705</v>
      </c>
      <c r="B167" s="141" t="s">
        <v>7032</v>
      </c>
      <c r="C167" s="141" t="s">
        <v>6707</v>
      </c>
      <c r="D167" s="142" t="s">
        <v>7033</v>
      </c>
      <c r="E167" s="143">
        <v>1</v>
      </c>
      <c r="F167" s="143" t="s">
        <v>168</v>
      </c>
      <c r="G167" s="143" t="s">
        <v>26</v>
      </c>
      <c r="H167" s="143" t="s">
        <v>26</v>
      </c>
      <c r="I167" s="143" t="s">
        <v>176</v>
      </c>
      <c r="J167" s="143" t="s">
        <v>643</v>
      </c>
      <c r="K167" s="144">
        <v>20000</v>
      </c>
      <c r="L167" s="145" t="s">
        <v>172</v>
      </c>
      <c r="M167" s="143" t="s">
        <v>6709</v>
      </c>
    </row>
    <row r="168" spans="1:13">
      <c r="A168" s="27" t="s">
        <v>6705</v>
      </c>
      <c r="B168" s="141" t="s">
        <v>7034</v>
      </c>
      <c r="C168" s="141" t="s">
        <v>6707</v>
      </c>
      <c r="D168" s="142" t="s">
        <v>7035</v>
      </c>
      <c r="E168" s="143">
        <v>1</v>
      </c>
      <c r="F168" s="143" t="s">
        <v>168</v>
      </c>
      <c r="G168" s="143" t="s">
        <v>26</v>
      </c>
      <c r="H168" s="143" t="s">
        <v>26</v>
      </c>
      <c r="I168" s="143" t="s">
        <v>176</v>
      </c>
      <c r="J168" s="143" t="s">
        <v>643</v>
      </c>
      <c r="K168" s="144">
        <v>312500</v>
      </c>
      <c r="L168" s="145" t="s">
        <v>172</v>
      </c>
      <c r="M168" s="143" t="s">
        <v>6709</v>
      </c>
    </row>
    <row r="169" spans="1:13">
      <c r="A169" s="27" t="s">
        <v>6705</v>
      </c>
      <c r="B169" s="141" t="s">
        <v>7036</v>
      </c>
      <c r="C169" s="141" t="s">
        <v>6707</v>
      </c>
      <c r="D169" s="142" t="s">
        <v>7037</v>
      </c>
      <c r="E169" s="143">
        <v>1</v>
      </c>
      <c r="F169" s="143" t="s">
        <v>168</v>
      </c>
      <c r="G169" s="143" t="s">
        <v>26</v>
      </c>
      <c r="H169" s="143" t="s">
        <v>26</v>
      </c>
      <c r="I169" s="143" t="s">
        <v>176</v>
      </c>
      <c r="J169" s="143" t="s">
        <v>643</v>
      </c>
      <c r="K169" s="144">
        <v>26042</v>
      </c>
      <c r="L169" s="145" t="s">
        <v>172</v>
      </c>
      <c r="M169" s="143" t="s">
        <v>6709</v>
      </c>
    </row>
    <row r="170" spans="1:13">
      <c r="A170" s="27" t="s">
        <v>6705</v>
      </c>
      <c r="B170" s="141" t="s">
        <v>7038</v>
      </c>
      <c r="C170" s="141" t="s">
        <v>6707</v>
      </c>
      <c r="D170" s="142" t="s">
        <v>7039</v>
      </c>
      <c r="E170" s="143">
        <v>1</v>
      </c>
      <c r="F170" s="143" t="s">
        <v>168</v>
      </c>
      <c r="G170" s="143" t="s">
        <v>26</v>
      </c>
      <c r="H170" s="143" t="s">
        <v>26</v>
      </c>
      <c r="I170" s="143" t="s">
        <v>176</v>
      </c>
      <c r="J170" s="143" t="s">
        <v>643</v>
      </c>
      <c r="K170" s="144">
        <v>1688</v>
      </c>
      <c r="L170" s="145" t="s">
        <v>172</v>
      </c>
      <c r="M170" s="143" t="s">
        <v>6709</v>
      </c>
    </row>
    <row r="171" spans="1:13">
      <c r="A171" s="27" t="s">
        <v>6705</v>
      </c>
      <c r="B171" s="141" t="s">
        <v>7040</v>
      </c>
      <c r="C171" s="141" t="s">
        <v>6707</v>
      </c>
      <c r="D171" s="142" t="s">
        <v>7041</v>
      </c>
      <c r="E171" s="143">
        <v>1</v>
      </c>
      <c r="F171" s="143" t="s">
        <v>168</v>
      </c>
      <c r="G171" s="143" t="s">
        <v>26</v>
      </c>
      <c r="H171" s="143" t="s">
        <v>26</v>
      </c>
      <c r="I171" s="143" t="s">
        <v>176</v>
      </c>
      <c r="J171" s="143" t="s">
        <v>643</v>
      </c>
      <c r="K171" s="144">
        <v>1688</v>
      </c>
      <c r="L171" s="145" t="s">
        <v>172</v>
      </c>
      <c r="M171" s="143" t="s">
        <v>6709</v>
      </c>
    </row>
    <row r="172" spans="1:13">
      <c r="A172" s="27" t="s">
        <v>6705</v>
      </c>
      <c r="B172" s="141" t="s">
        <v>7042</v>
      </c>
      <c r="C172" s="141" t="s">
        <v>6707</v>
      </c>
      <c r="D172" s="142" t="s">
        <v>7043</v>
      </c>
      <c r="E172" s="143">
        <v>1</v>
      </c>
      <c r="F172" s="143" t="s">
        <v>168</v>
      </c>
      <c r="G172" s="143" t="s">
        <v>26</v>
      </c>
      <c r="H172" s="143" t="s">
        <v>26</v>
      </c>
      <c r="I172" s="143" t="s">
        <v>176</v>
      </c>
      <c r="J172" s="143" t="s">
        <v>643</v>
      </c>
      <c r="K172" s="144">
        <v>3376</v>
      </c>
      <c r="L172" s="145" t="s">
        <v>172</v>
      </c>
      <c r="M172" s="143" t="s">
        <v>6709</v>
      </c>
    </row>
    <row r="173" spans="1:13">
      <c r="A173" s="27" t="s">
        <v>6705</v>
      </c>
      <c r="B173" s="141" t="s">
        <v>7044</v>
      </c>
      <c r="C173" s="141" t="s">
        <v>6707</v>
      </c>
      <c r="D173" s="142" t="s">
        <v>7045</v>
      </c>
      <c r="E173" s="143">
        <v>1</v>
      </c>
      <c r="F173" s="143" t="s">
        <v>168</v>
      </c>
      <c r="G173" s="143" t="s">
        <v>26</v>
      </c>
      <c r="H173" s="143" t="s">
        <v>26</v>
      </c>
      <c r="I173" s="143" t="s">
        <v>176</v>
      </c>
      <c r="J173" s="143" t="s">
        <v>643</v>
      </c>
      <c r="K173" s="144">
        <v>3376</v>
      </c>
      <c r="L173" s="145" t="s">
        <v>172</v>
      </c>
      <c r="M173" s="143" t="s">
        <v>6709</v>
      </c>
    </row>
    <row r="174" spans="1:13">
      <c r="A174" s="27" t="s">
        <v>6705</v>
      </c>
      <c r="B174" s="141" t="s">
        <v>7046</v>
      </c>
      <c r="C174" s="141" t="s">
        <v>6707</v>
      </c>
      <c r="D174" s="142" t="s">
        <v>7047</v>
      </c>
      <c r="E174" s="143">
        <v>1</v>
      </c>
      <c r="F174" s="143" t="s">
        <v>168</v>
      </c>
      <c r="G174" s="143" t="s">
        <v>26</v>
      </c>
      <c r="H174" s="143" t="s">
        <v>26</v>
      </c>
      <c r="I174" s="143" t="s">
        <v>176</v>
      </c>
      <c r="J174" s="143" t="s">
        <v>643</v>
      </c>
      <c r="K174" s="144">
        <v>5064</v>
      </c>
      <c r="L174" s="145" t="s">
        <v>172</v>
      </c>
      <c r="M174" s="143" t="s">
        <v>6709</v>
      </c>
    </row>
    <row r="175" spans="1:13">
      <c r="A175" s="27" t="s">
        <v>6705</v>
      </c>
      <c r="B175" s="141" t="s">
        <v>7048</v>
      </c>
      <c r="C175" s="141" t="s">
        <v>6707</v>
      </c>
      <c r="D175" s="142" t="s">
        <v>7049</v>
      </c>
      <c r="E175" s="143">
        <v>1</v>
      </c>
      <c r="F175" s="143" t="s">
        <v>168</v>
      </c>
      <c r="G175" s="143" t="s">
        <v>26</v>
      </c>
      <c r="H175" s="143" t="s">
        <v>26</v>
      </c>
      <c r="I175" s="143" t="s">
        <v>176</v>
      </c>
      <c r="J175" s="143" t="s">
        <v>643</v>
      </c>
      <c r="K175" s="144">
        <v>5064</v>
      </c>
      <c r="L175" s="145" t="s">
        <v>172</v>
      </c>
      <c r="M175" s="143" t="s">
        <v>6709</v>
      </c>
    </row>
    <row r="176" spans="1:13">
      <c r="A176" s="27" t="s">
        <v>6705</v>
      </c>
      <c r="B176" s="141" t="s">
        <v>7050</v>
      </c>
      <c r="C176" s="141" t="s">
        <v>6707</v>
      </c>
      <c r="D176" s="142" t="s">
        <v>7051</v>
      </c>
      <c r="E176" s="143">
        <v>1</v>
      </c>
      <c r="F176" s="143" t="s">
        <v>168</v>
      </c>
      <c r="G176" s="143" t="s">
        <v>26</v>
      </c>
      <c r="H176" s="143" t="s">
        <v>26</v>
      </c>
      <c r="I176" s="143" t="s">
        <v>176</v>
      </c>
      <c r="J176" s="143" t="s">
        <v>643</v>
      </c>
      <c r="K176" s="144">
        <v>6752</v>
      </c>
      <c r="L176" s="145" t="s">
        <v>172</v>
      </c>
      <c r="M176" s="143" t="s">
        <v>6709</v>
      </c>
    </row>
    <row r="177" spans="1:13">
      <c r="A177" s="27" t="s">
        <v>6705</v>
      </c>
      <c r="B177" s="141" t="s">
        <v>7052</v>
      </c>
      <c r="C177" s="141" t="s">
        <v>6707</v>
      </c>
      <c r="D177" s="142" t="s">
        <v>7053</v>
      </c>
      <c r="E177" s="143">
        <v>1</v>
      </c>
      <c r="F177" s="143" t="s">
        <v>168</v>
      </c>
      <c r="G177" s="143" t="s">
        <v>26</v>
      </c>
      <c r="H177" s="143" t="s">
        <v>26</v>
      </c>
      <c r="I177" s="143" t="s">
        <v>176</v>
      </c>
      <c r="J177" s="143" t="s">
        <v>643</v>
      </c>
      <c r="K177" s="144">
        <v>6752</v>
      </c>
      <c r="L177" s="145" t="s">
        <v>172</v>
      </c>
      <c r="M177" s="143" t="s">
        <v>6709</v>
      </c>
    </row>
    <row r="178" spans="1:13">
      <c r="A178" s="27" t="s">
        <v>6705</v>
      </c>
      <c r="B178" s="141" t="s">
        <v>7054</v>
      </c>
      <c r="C178" s="141" t="s">
        <v>6707</v>
      </c>
      <c r="D178" s="142" t="s">
        <v>7055</v>
      </c>
      <c r="E178" s="143">
        <v>1</v>
      </c>
      <c r="F178" s="143" t="s">
        <v>168</v>
      </c>
      <c r="G178" s="143" t="s">
        <v>26</v>
      </c>
      <c r="H178" s="143" t="s">
        <v>26</v>
      </c>
      <c r="I178" s="143" t="s">
        <v>176</v>
      </c>
      <c r="J178" s="143" t="s">
        <v>643</v>
      </c>
      <c r="K178" s="144">
        <v>8440</v>
      </c>
      <c r="L178" s="145" t="s">
        <v>172</v>
      </c>
      <c r="M178" s="143" t="s">
        <v>6709</v>
      </c>
    </row>
    <row r="179" spans="1:13">
      <c r="A179" s="27" t="s">
        <v>6705</v>
      </c>
      <c r="B179" s="141" t="s">
        <v>7056</v>
      </c>
      <c r="C179" s="141" t="s">
        <v>6707</v>
      </c>
      <c r="D179" s="142" t="s">
        <v>7057</v>
      </c>
      <c r="E179" s="143">
        <v>1</v>
      </c>
      <c r="F179" s="143" t="s">
        <v>168</v>
      </c>
      <c r="G179" s="143" t="s">
        <v>26</v>
      </c>
      <c r="H179" s="143" t="s">
        <v>26</v>
      </c>
      <c r="I179" s="143" t="s">
        <v>176</v>
      </c>
      <c r="J179" s="143" t="s">
        <v>643</v>
      </c>
      <c r="K179" s="144">
        <v>8440</v>
      </c>
      <c r="L179" s="145" t="s">
        <v>172</v>
      </c>
      <c r="M179" s="143" t="s">
        <v>6709</v>
      </c>
    </row>
    <row r="180" spans="1:13">
      <c r="A180" s="27" t="s">
        <v>6705</v>
      </c>
      <c r="B180" s="141" t="s">
        <v>7058</v>
      </c>
      <c r="C180" s="141" t="s">
        <v>6707</v>
      </c>
      <c r="D180" s="142" t="s">
        <v>7059</v>
      </c>
      <c r="E180" s="143">
        <v>1</v>
      </c>
      <c r="F180" s="143" t="s">
        <v>168</v>
      </c>
      <c r="G180" s="143" t="s">
        <v>26</v>
      </c>
      <c r="H180" s="143" t="s">
        <v>26</v>
      </c>
      <c r="I180" s="143" t="s">
        <v>176</v>
      </c>
      <c r="J180" s="143" t="s">
        <v>643</v>
      </c>
      <c r="K180" s="144">
        <v>141</v>
      </c>
      <c r="L180" s="145" t="s">
        <v>172</v>
      </c>
      <c r="M180" s="143" t="s">
        <v>6709</v>
      </c>
    </row>
    <row r="181" spans="1:13">
      <c r="A181" s="27" t="s">
        <v>6705</v>
      </c>
      <c r="B181" s="141" t="s">
        <v>7060</v>
      </c>
      <c r="C181" s="141" t="s">
        <v>6707</v>
      </c>
      <c r="D181" s="142" t="s">
        <v>7061</v>
      </c>
      <c r="E181" s="143">
        <v>1</v>
      </c>
      <c r="F181" s="143" t="s">
        <v>168</v>
      </c>
      <c r="G181" s="143" t="s">
        <v>26</v>
      </c>
      <c r="H181" s="143" t="s">
        <v>26</v>
      </c>
      <c r="I181" s="143" t="s">
        <v>176</v>
      </c>
      <c r="J181" s="143" t="s">
        <v>643</v>
      </c>
      <c r="K181" s="144">
        <v>141</v>
      </c>
      <c r="L181" s="145" t="s">
        <v>172</v>
      </c>
      <c r="M181" s="143" t="s">
        <v>6709</v>
      </c>
    </row>
    <row r="182" spans="1:13">
      <c r="A182" s="27" t="s">
        <v>6705</v>
      </c>
      <c r="B182" s="141" t="s">
        <v>7062</v>
      </c>
      <c r="C182" s="141" t="s">
        <v>6707</v>
      </c>
      <c r="D182" s="142" t="s">
        <v>7063</v>
      </c>
      <c r="E182" s="143">
        <v>1</v>
      </c>
      <c r="F182" s="143" t="s">
        <v>168</v>
      </c>
      <c r="G182" s="143" t="s">
        <v>26</v>
      </c>
      <c r="H182" s="143" t="s">
        <v>26</v>
      </c>
      <c r="I182" s="143" t="s">
        <v>176</v>
      </c>
      <c r="J182" s="143" t="s">
        <v>643</v>
      </c>
      <c r="K182" s="144">
        <v>141</v>
      </c>
      <c r="L182" s="145" t="s">
        <v>172</v>
      </c>
      <c r="M182" s="143" t="s">
        <v>6709</v>
      </c>
    </row>
    <row r="183" spans="1:13">
      <c r="A183" s="27" t="s">
        <v>6705</v>
      </c>
      <c r="B183" s="141" t="s">
        <v>7064</v>
      </c>
      <c r="C183" s="141" t="s">
        <v>6707</v>
      </c>
      <c r="D183" s="142" t="s">
        <v>7065</v>
      </c>
      <c r="E183" s="143">
        <v>1</v>
      </c>
      <c r="F183" s="143" t="s">
        <v>168</v>
      </c>
      <c r="G183" s="143" t="s">
        <v>26</v>
      </c>
      <c r="H183" s="143" t="s">
        <v>26</v>
      </c>
      <c r="I183" s="143" t="s">
        <v>176</v>
      </c>
      <c r="J183" s="143" t="s">
        <v>643</v>
      </c>
      <c r="K183" s="144">
        <v>141</v>
      </c>
      <c r="L183" s="145" t="s">
        <v>172</v>
      </c>
      <c r="M183" s="143" t="s">
        <v>6709</v>
      </c>
    </row>
    <row r="184" spans="1:13">
      <c r="A184" s="27" t="s">
        <v>6705</v>
      </c>
      <c r="B184" s="141" t="s">
        <v>7066</v>
      </c>
      <c r="C184" s="141" t="s">
        <v>6707</v>
      </c>
      <c r="D184" s="142" t="s">
        <v>7067</v>
      </c>
      <c r="E184" s="143">
        <v>1</v>
      </c>
      <c r="F184" s="143" t="s">
        <v>168</v>
      </c>
      <c r="G184" s="143" t="s">
        <v>26</v>
      </c>
      <c r="H184" s="143" t="s">
        <v>26</v>
      </c>
      <c r="I184" s="143" t="s">
        <v>176</v>
      </c>
      <c r="J184" s="143" t="s">
        <v>643</v>
      </c>
      <c r="K184" s="144">
        <v>0.01</v>
      </c>
      <c r="L184" s="145" t="s">
        <v>172</v>
      </c>
      <c r="M184" s="143" t="s">
        <v>6709</v>
      </c>
    </row>
    <row r="185" spans="1:13">
      <c r="A185" s="27" t="s">
        <v>6705</v>
      </c>
      <c r="B185" s="141" t="s">
        <v>7068</v>
      </c>
      <c r="C185" s="141" t="s">
        <v>6707</v>
      </c>
      <c r="D185" s="142" t="s">
        <v>7069</v>
      </c>
      <c r="E185" s="143">
        <v>1</v>
      </c>
      <c r="F185" s="143" t="s">
        <v>168</v>
      </c>
      <c r="G185" s="143" t="s">
        <v>26</v>
      </c>
      <c r="H185" s="143" t="s">
        <v>26</v>
      </c>
      <c r="I185" s="143" t="s">
        <v>176</v>
      </c>
      <c r="J185" s="143" t="s">
        <v>643</v>
      </c>
      <c r="K185" s="144">
        <v>0.01</v>
      </c>
      <c r="L185" s="145" t="s">
        <v>172</v>
      </c>
      <c r="M185" s="143" t="s">
        <v>6709</v>
      </c>
    </row>
    <row r="186" spans="1:13">
      <c r="A186" s="27" t="s">
        <v>6705</v>
      </c>
      <c r="B186" s="141" t="s">
        <v>7070</v>
      </c>
      <c r="C186" s="141" t="s">
        <v>6707</v>
      </c>
      <c r="D186" s="142" t="s">
        <v>7071</v>
      </c>
      <c r="E186" s="143">
        <v>1</v>
      </c>
      <c r="F186" s="143" t="s">
        <v>168</v>
      </c>
      <c r="G186" s="143" t="s">
        <v>26</v>
      </c>
      <c r="H186" s="143" t="s">
        <v>26</v>
      </c>
      <c r="I186" s="143" t="s">
        <v>176</v>
      </c>
      <c r="J186" s="143" t="s">
        <v>643</v>
      </c>
      <c r="K186" s="144">
        <v>42</v>
      </c>
      <c r="L186" s="145" t="s">
        <v>172</v>
      </c>
      <c r="M186" s="143" t="s">
        <v>6709</v>
      </c>
    </row>
    <row r="187" spans="1:13">
      <c r="A187" s="27" t="s">
        <v>6705</v>
      </c>
      <c r="B187" s="141" t="s">
        <v>7072</v>
      </c>
      <c r="C187" s="141" t="s">
        <v>6707</v>
      </c>
      <c r="D187" s="142" t="s">
        <v>7073</v>
      </c>
      <c r="E187" s="143">
        <v>1</v>
      </c>
      <c r="F187" s="143" t="s">
        <v>168</v>
      </c>
      <c r="G187" s="143" t="s">
        <v>26</v>
      </c>
      <c r="H187" s="143" t="s">
        <v>26</v>
      </c>
      <c r="I187" s="143" t="s">
        <v>176</v>
      </c>
      <c r="J187" s="143" t="s">
        <v>643</v>
      </c>
      <c r="K187" s="144">
        <v>58</v>
      </c>
      <c r="L187" s="145" t="s">
        <v>172</v>
      </c>
      <c r="M187" s="143" t="s">
        <v>6709</v>
      </c>
    </row>
    <row r="188" spans="1:13">
      <c r="A188" s="27" t="s">
        <v>6705</v>
      </c>
      <c r="B188" s="141" t="s">
        <v>7074</v>
      </c>
      <c r="C188" s="141" t="s">
        <v>6707</v>
      </c>
      <c r="D188" s="142" t="s">
        <v>7075</v>
      </c>
      <c r="E188" s="143">
        <v>1</v>
      </c>
      <c r="F188" s="143" t="s">
        <v>168</v>
      </c>
      <c r="G188" s="143" t="s">
        <v>26</v>
      </c>
      <c r="H188" s="143" t="s">
        <v>26</v>
      </c>
      <c r="I188" s="143" t="s">
        <v>176</v>
      </c>
      <c r="J188" s="143" t="s">
        <v>643</v>
      </c>
      <c r="K188" s="144">
        <v>208</v>
      </c>
      <c r="L188" s="145" t="s">
        <v>172</v>
      </c>
      <c r="M188" s="143" t="s">
        <v>6709</v>
      </c>
    </row>
    <row r="189" spans="1:13">
      <c r="A189" s="27" t="s">
        <v>6705</v>
      </c>
      <c r="B189" s="141" t="s">
        <v>7076</v>
      </c>
      <c r="C189" s="141" t="s">
        <v>6707</v>
      </c>
      <c r="D189" s="142" t="s">
        <v>7077</v>
      </c>
      <c r="E189" s="143">
        <v>1</v>
      </c>
      <c r="F189" s="143" t="s">
        <v>168</v>
      </c>
      <c r="G189" s="143" t="s">
        <v>26</v>
      </c>
      <c r="H189" s="143" t="s">
        <v>26</v>
      </c>
      <c r="I189" s="143" t="s">
        <v>176</v>
      </c>
      <c r="J189" s="143" t="s">
        <v>643</v>
      </c>
      <c r="K189" s="144">
        <v>358</v>
      </c>
      <c r="L189" s="145" t="s">
        <v>172</v>
      </c>
      <c r="M189" s="143" t="s">
        <v>6709</v>
      </c>
    </row>
    <row r="190" spans="1:13">
      <c r="A190" s="27" t="s">
        <v>6705</v>
      </c>
      <c r="B190" s="141" t="s">
        <v>7078</v>
      </c>
      <c r="C190" s="141" t="s">
        <v>6707</v>
      </c>
      <c r="D190" s="142" t="s">
        <v>7079</v>
      </c>
      <c r="E190" s="143">
        <v>1</v>
      </c>
      <c r="F190" s="143" t="s">
        <v>168</v>
      </c>
      <c r="G190" s="143" t="s">
        <v>26</v>
      </c>
      <c r="H190" s="143" t="s">
        <v>26</v>
      </c>
      <c r="I190" s="143" t="s">
        <v>176</v>
      </c>
      <c r="J190" s="143" t="s">
        <v>643</v>
      </c>
      <c r="K190" s="144">
        <v>758</v>
      </c>
      <c r="L190" s="145" t="s">
        <v>172</v>
      </c>
      <c r="M190" s="143" t="s">
        <v>6709</v>
      </c>
    </row>
    <row r="191" spans="1:13">
      <c r="A191" s="27" t="s">
        <v>6705</v>
      </c>
      <c r="B191" s="141" t="s">
        <v>7080</v>
      </c>
      <c r="C191" s="141" t="s">
        <v>6707</v>
      </c>
      <c r="D191" s="142" t="s">
        <v>7081</v>
      </c>
      <c r="E191" s="143">
        <v>1</v>
      </c>
      <c r="F191" s="143" t="s">
        <v>168</v>
      </c>
      <c r="G191" s="143" t="s">
        <v>26</v>
      </c>
      <c r="H191" s="143" t="s">
        <v>26</v>
      </c>
      <c r="I191" s="143" t="s">
        <v>176</v>
      </c>
      <c r="J191" s="143" t="s">
        <v>643</v>
      </c>
      <c r="K191" s="144">
        <v>1658</v>
      </c>
      <c r="L191" s="145" t="s">
        <v>172</v>
      </c>
      <c r="M191" s="143" t="s">
        <v>6709</v>
      </c>
    </row>
    <row r="192" spans="1:13">
      <c r="A192" s="27" t="s">
        <v>6705</v>
      </c>
      <c r="B192" s="141" t="s">
        <v>7082</v>
      </c>
      <c r="C192" s="141" t="s">
        <v>6707</v>
      </c>
      <c r="D192" s="142" t="s">
        <v>7083</v>
      </c>
      <c r="E192" s="143">
        <v>1</v>
      </c>
      <c r="F192" s="143" t="s">
        <v>168</v>
      </c>
      <c r="G192" s="143" t="s">
        <v>26</v>
      </c>
      <c r="H192" s="143" t="s">
        <v>26</v>
      </c>
      <c r="I192" s="143" t="s">
        <v>176</v>
      </c>
      <c r="J192" s="143" t="s">
        <v>643</v>
      </c>
      <c r="K192" s="144">
        <v>42</v>
      </c>
      <c r="L192" s="145" t="s">
        <v>172</v>
      </c>
      <c r="M192" s="143" t="s">
        <v>6709</v>
      </c>
    </row>
    <row r="193" spans="1:13">
      <c r="A193" s="27" t="s">
        <v>6705</v>
      </c>
      <c r="B193" s="141" t="s">
        <v>7084</v>
      </c>
      <c r="C193" s="141" t="s">
        <v>6707</v>
      </c>
      <c r="D193" s="142" t="s">
        <v>7085</v>
      </c>
      <c r="E193" s="143">
        <v>1</v>
      </c>
      <c r="F193" s="143" t="s">
        <v>168</v>
      </c>
      <c r="G193" s="143" t="s">
        <v>26</v>
      </c>
      <c r="H193" s="143" t="s">
        <v>26</v>
      </c>
      <c r="I193" s="143" t="s">
        <v>176</v>
      </c>
      <c r="J193" s="143" t="s">
        <v>643</v>
      </c>
      <c r="K193" s="144">
        <v>58</v>
      </c>
      <c r="L193" s="145" t="s">
        <v>172</v>
      </c>
      <c r="M193" s="143" t="s">
        <v>6709</v>
      </c>
    </row>
    <row r="194" spans="1:13">
      <c r="A194" s="27" t="s">
        <v>6705</v>
      </c>
      <c r="B194" s="141" t="s">
        <v>7086</v>
      </c>
      <c r="C194" s="141" t="s">
        <v>6707</v>
      </c>
      <c r="D194" s="142" t="s">
        <v>7087</v>
      </c>
      <c r="E194" s="143">
        <v>1</v>
      </c>
      <c r="F194" s="143" t="s">
        <v>168</v>
      </c>
      <c r="G194" s="143" t="s">
        <v>26</v>
      </c>
      <c r="H194" s="143" t="s">
        <v>26</v>
      </c>
      <c r="I194" s="143" t="s">
        <v>176</v>
      </c>
      <c r="J194" s="143" t="s">
        <v>643</v>
      </c>
      <c r="K194" s="144">
        <v>208</v>
      </c>
      <c r="L194" s="145" t="s">
        <v>172</v>
      </c>
      <c r="M194" s="143" t="s">
        <v>6709</v>
      </c>
    </row>
    <row r="195" spans="1:13">
      <c r="A195" s="27" t="s">
        <v>6705</v>
      </c>
      <c r="B195" s="141" t="s">
        <v>7088</v>
      </c>
      <c r="C195" s="141" t="s">
        <v>6707</v>
      </c>
      <c r="D195" s="142" t="s">
        <v>7089</v>
      </c>
      <c r="E195" s="143">
        <v>1</v>
      </c>
      <c r="F195" s="143" t="s">
        <v>168</v>
      </c>
      <c r="G195" s="143" t="s">
        <v>26</v>
      </c>
      <c r="H195" s="143" t="s">
        <v>26</v>
      </c>
      <c r="I195" s="143" t="s">
        <v>176</v>
      </c>
      <c r="J195" s="143" t="s">
        <v>643</v>
      </c>
      <c r="K195" s="144">
        <v>358</v>
      </c>
      <c r="L195" s="145" t="s">
        <v>172</v>
      </c>
      <c r="M195" s="143" t="s">
        <v>6709</v>
      </c>
    </row>
    <row r="196" spans="1:13">
      <c r="A196" s="27" t="s">
        <v>6705</v>
      </c>
      <c r="B196" s="141" t="s">
        <v>7090</v>
      </c>
      <c r="C196" s="141" t="s">
        <v>6707</v>
      </c>
      <c r="D196" s="142" t="s">
        <v>7091</v>
      </c>
      <c r="E196" s="143">
        <v>1</v>
      </c>
      <c r="F196" s="143" t="s">
        <v>168</v>
      </c>
      <c r="G196" s="143" t="s">
        <v>26</v>
      </c>
      <c r="H196" s="143" t="s">
        <v>26</v>
      </c>
      <c r="I196" s="143" t="s">
        <v>176</v>
      </c>
      <c r="J196" s="143" t="s">
        <v>643</v>
      </c>
      <c r="K196" s="144">
        <v>758</v>
      </c>
      <c r="L196" s="145" t="s">
        <v>172</v>
      </c>
      <c r="M196" s="143" t="s">
        <v>6709</v>
      </c>
    </row>
    <row r="197" spans="1:13">
      <c r="A197" s="27" t="s">
        <v>6705</v>
      </c>
      <c r="B197" s="141" t="s">
        <v>7092</v>
      </c>
      <c r="C197" s="141" t="s">
        <v>6707</v>
      </c>
      <c r="D197" s="142" t="s">
        <v>7093</v>
      </c>
      <c r="E197" s="143">
        <v>1</v>
      </c>
      <c r="F197" s="143" t="s">
        <v>168</v>
      </c>
      <c r="G197" s="143" t="s">
        <v>26</v>
      </c>
      <c r="H197" s="143" t="s">
        <v>26</v>
      </c>
      <c r="I197" s="143" t="s">
        <v>176</v>
      </c>
      <c r="J197" s="143" t="s">
        <v>643</v>
      </c>
      <c r="K197" s="144">
        <v>1658</v>
      </c>
      <c r="L197" s="145" t="s">
        <v>172</v>
      </c>
      <c r="M197" s="143" t="s">
        <v>6709</v>
      </c>
    </row>
    <row r="198" spans="1:13">
      <c r="A198" s="27" t="s">
        <v>6705</v>
      </c>
      <c r="B198" s="141" t="s">
        <v>7094</v>
      </c>
      <c r="C198" s="141" t="s">
        <v>6707</v>
      </c>
      <c r="D198" s="142" t="s">
        <v>7095</v>
      </c>
      <c r="E198" s="143">
        <v>1</v>
      </c>
      <c r="F198" s="143" t="s">
        <v>168</v>
      </c>
      <c r="G198" s="143" t="s">
        <v>26</v>
      </c>
      <c r="H198" s="143" t="s">
        <v>26</v>
      </c>
      <c r="I198" s="143" t="s">
        <v>176</v>
      </c>
      <c r="J198" s="143" t="s">
        <v>643</v>
      </c>
      <c r="K198" s="144">
        <v>828</v>
      </c>
      <c r="L198" s="145" t="s">
        <v>172</v>
      </c>
      <c r="M198" s="143" t="s">
        <v>6709</v>
      </c>
    </row>
    <row r="199" spans="1:13">
      <c r="A199" s="27" t="s">
        <v>6705</v>
      </c>
      <c r="B199" s="141" t="s">
        <v>7096</v>
      </c>
      <c r="C199" s="141" t="s">
        <v>6707</v>
      </c>
      <c r="D199" s="142" t="s">
        <v>7097</v>
      </c>
      <c r="E199" s="143">
        <v>1</v>
      </c>
      <c r="F199" s="143" t="s">
        <v>168</v>
      </c>
      <c r="G199" s="143" t="s">
        <v>26</v>
      </c>
      <c r="H199" s="143" t="s">
        <v>26</v>
      </c>
      <c r="I199" s="143" t="s">
        <v>176</v>
      </c>
      <c r="J199" s="143" t="s">
        <v>643</v>
      </c>
      <c r="K199" s="144">
        <v>828</v>
      </c>
      <c r="L199" s="145" t="s">
        <v>172</v>
      </c>
      <c r="M199" s="143" t="s">
        <v>6709</v>
      </c>
    </row>
    <row r="200" spans="1:13">
      <c r="A200" s="27" t="s">
        <v>6705</v>
      </c>
      <c r="B200" s="141" t="s">
        <v>7098</v>
      </c>
      <c r="C200" s="141" t="s">
        <v>6707</v>
      </c>
      <c r="D200" s="142" t="s">
        <v>7099</v>
      </c>
      <c r="E200" s="143">
        <v>1</v>
      </c>
      <c r="F200" s="143" t="s">
        <v>168</v>
      </c>
      <c r="G200" s="143" t="s">
        <v>26</v>
      </c>
      <c r="H200" s="143" t="s">
        <v>26</v>
      </c>
      <c r="I200" s="143" t="s">
        <v>176</v>
      </c>
      <c r="J200" s="143" t="s">
        <v>643</v>
      </c>
      <c r="K200" s="144">
        <v>1656</v>
      </c>
      <c r="L200" s="145" t="s">
        <v>172</v>
      </c>
      <c r="M200" s="143" t="s">
        <v>6709</v>
      </c>
    </row>
    <row r="201" spans="1:13">
      <c r="A201" s="27" t="s">
        <v>6705</v>
      </c>
      <c r="B201" s="141" t="s">
        <v>7100</v>
      </c>
      <c r="C201" s="141" t="s">
        <v>6707</v>
      </c>
      <c r="D201" s="142" t="s">
        <v>7101</v>
      </c>
      <c r="E201" s="143">
        <v>1</v>
      </c>
      <c r="F201" s="143" t="s">
        <v>168</v>
      </c>
      <c r="G201" s="143" t="s">
        <v>26</v>
      </c>
      <c r="H201" s="143" t="s">
        <v>26</v>
      </c>
      <c r="I201" s="143" t="s">
        <v>176</v>
      </c>
      <c r="J201" s="143" t="s">
        <v>643</v>
      </c>
      <c r="K201" s="144">
        <v>1656</v>
      </c>
      <c r="L201" s="145" t="s">
        <v>172</v>
      </c>
      <c r="M201" s="143" t="s">
        <v>6709</v>
      </c>
    </row>
    <row r="202" spans="1:13">
      <c r="A202" s="27" t="s">
        <v>6705</v>
      </c>
      <c r="B202" s="141" t="s">
        <v>7102</v>
      </c>
      <c r="C202" s="141" t="s">
        <v>6707</v>
      </c>
      <c r="D202" s="142" t="s">
        <v>7103</v>
      </c>
      <c r="E202" s="143">
        <v>1</v>
      </c>
      <c r="F202" s="143" t="s">
        <v>168</v>
      </c>
      <c r="G202" s="143" t="s">
        <v>26</v>
      </c>
      <c r="H202" s="143" t="s">
        <v>26</v>
      </c>
      <c r="I202" s="143" t="s">
        <v>176</v>
      </c>
      <c r="J202" s="143" t="s">
        <v>643</v>
      </c>
      <c r="K202" s="144">
        <v>2484</v>
      </c>
      <c r="L202" s="145" t="s">
        <v>172</v>
      </c>
      <c r="M202" s="143" t="s">
        <v>6709</v>
      </c>
    </row>
    <row r="203" spans="1:13">
      <c r="A203" s="27" t="s">
        <v>6705</v>
      </c>
      <c r="B203" s="141" t="s">
        <v>7104</v>
      </c>
      <c r="C203" s="141" t="s">
        <v>6707</v>
      </c>
      <c r="D203" s="142" t="s">
        <v>7105</v>
      </c>
      <c r="E203" s="143">
        <v>1</v>
      </c>
      <c r="F203" s="143" t="s">
        <v>168</v>
      </c>
      <c r="G203" s="143" t="s">
        <v>26</v>
      </c>
      <c r="H203" s="143" t="s">
        <v>26</v>
      </c>
      <c r="I203" s="143" t="s">
        <v>176</v>
      </c>
      <c r="J203" s="143" t="s">
        <v>643</v>
      </c>
      <c r="K203" s="144">
        <v>2484</v>
      </c>
      <c r="L203" s="145" t="s">
        <v>172</v>
      </c>
      <c r="M203" s="143" t="s">
        <v>6709</v>
      </c>
    </row>
    <row r="204" spans="1:13">
      <c r="A204" s="27" t="s">
        <v>6705</v>
      </c>
      <c r="B204" s="141" t="s">
        <v>7106</v>
      </c>
      <c r="C204" s="141" t="s">
        <v>6707</v>
      </c>
      <c r="D204" s="142" t="s">
        <v>7107</v>
      </c>
      <c r="E204" s="143">
        <v>1</v>
      </c>
      <c r="F204" s="143" t="s">
        <v>168</v>
      </c>
      <c r="G204" s="143" t="s">
        <v>26</v>
      </c>
      <c r="H204" s="143" t="s">
        <v>26</v>
      </c>
      <c r="I204" s="143" t="s">
        <v>176</v>
      </c>
      <c r="J204" s="143" t="s">
        <v>643</v>
      </c>
      <c r="K204" s="144">
        <v>3312</v>
      </c>
      <c r="L204" s="145" t="s">
        <v>172</v>
      </c>
      <c r="M204" s="143" t="s">
        <v>6709</v>
      </c>
    </row>
    <row r="205" spans="1:13">
      <c r="A205" s="27" t="s">
        <v>6705</v>
      </c>
      <c r="B205" s="141" t="s">
        <v>7108</v>
      </c>
      <c r="C205" s="141" t="s">
        <v>6707</v>
      </c>
      <c r="D205" s="142" t="s">
        <v>7109</v>
      </c>
      <c r="E205" s="143">
        <v>1</v>
      </c>
      <c r="F205" s="143" t="s">
        <v>168</v>
      </c>
      <c r="G205" s="143" t="s">
        <v>26</v>
      </c>
      <c r="H205" s="143" t="s">
        <v>26</v>
      </c>
      <c r="I205" s="143" t="s">
        <v>176</v>
      </c>
      <c r="J205" s="143" t="s">
        <v>643</v>
      </c>
      <c r="K205" s="144">
        <v>3312</v>
      </c>
      <c r="L205" s="145" t="s">
        <v>172</v>
      </c>
      <c r="M205" s="143" t="s">
        <v>6709</v>
      </c>
    </row>
    <row r="206" spans="1:13">
      <c r="A206" s="27" t="s">
        <v>6705</v>
      </c>
      <c r="B206" s="141" t="s">
        <v>7110</v>
      </c>
      <c r="C206" s="141" t="s">
        <v>6707</v>
      </c>
      <c r="D206" s="142" t="s">
        <v>7111</v>
      </c>
      <c r="E206" s="143">
        <v>1</v>
      </c>
      <c r="F206" s="143" t="s">
        <v>168</v>
      </c>
      <c r="G206" s="143" t="s">
        <v>26</v>
      </c>
      <c r="H206" s="143" t="s">
        <v>26</v>
      </c>
      <c r="I206" s="143" t="s">
        <v>176</v>
      </c>
      <c r="J206" s="143" t="s">
        <v>643</v>
      </c>
      <c r="K206" s="144">
        <v>4140</v>
      </c>
      <c r="L206" s="145" t="s">
        <v>172</v>
      </c>
      <c r="M206" s="143" t="s">
        <v>6709</v>
      </c>
    </row>
    <row r="207" spans="1:13">
      <c r="A207" s="27" t="s">
        <v>6705</v>
      </c>
      <c r="B207" s="141" t="s">
        <v>7112</v>
      </c>
      <c r="C207" s="141" t="s">
        <v>6707</v>
      </c>
      <c r="D207" s="142" t="s">
        <v>7113</v>
      </c>
      <c r="E207" s="143">
        <v>1</v>
      </c>
      <c r="F207" s="143" t="s">
        <v>168</v>
      </c>
      <c r="G207" s="143" t="s">
        <v>26</v>
      </c>
      <c r="H207" s="143" t="s">
        <v>26</v>
      </c>
      <c r="I207" s="143" t="s">
        <v>176</v>
      </c>
      <c r="J207" s="143" t="s">
        <v>643</v>
      </c>
      <c r="K207" s="144">
        <v>4140</v>
      </c>
      <c r="L207" s="145" t="s">
        <v>172</v>
      </c>
      <c r="M207" s="143" t="s">
        <v>6709</v>
      </c>
    </row>
    <row r="208" spans="1:13">
      <c r="A208" s="27" t="s">
        <v>6705</v>
      </c>
      <c r="B208" s="141" t="s">
        <v>7114</v>
      </c>
      <c r="C208" s="141" t="s">
        <v>6707</v>
      </c>
      <c r="D208" s="142" t="s">
        <v>7115</v>
      </c>
      <c r="E208" s="143">
        <v>1</v>
      </c>
      <c r="F208" s="143" t="s">
        <v>168</v>
      </c>
      <c r="G208" s="143" t="s">
        <v>26</v>
      </c>
      <c r="H208" s="143" t="s">
        <v>26</v>
      </c>
      <c r="I208" s="143" t="s">
        <v>176</v>
      </c>
      <c r="J208" s="143" t="s">
        <v>643</v>
      </c>
      <c r="K208" s="144">
        <v>69</v>
      </c>
      <c r="L208" s="145" t="s">
        <v>172</v>
      </c>
      <c r="M208" s="143" t="s">
        <v>6709</v>
      </c>
    </row>
    <row r="209" spans="1:13">
      <c r="A209" s="27" t="s">
        <v>6705</v>
      </c>
      <c r="B209" s="141" t="s">
        <v>7116</v>
      </c>
      <c r="C209" s="141" t="s">
        <v>6707</v>
      </c>
      <c r="D209" s="142" t="s">
        <v>7117</v>
      </c>
      <c r="E209" s="143">
        <v>1</v>
      </c>
      <c r="F209" s="143" t="s">
        <v>168</v>
      </c>
      <c r="G209" s="143" t="s">
        <v>26</v>
      </c>
      <c r="H209" s="143" t="s">
        <v>26</v>
      </c>
      <c r="I209" s="143" t="s">
        <v>176</v>
      </c>
      <c r="J209" s="143" t="s">
        <v>643</v>
      </c>
      <c r="K209" s="144">
        <v>69</v>
      </c>
      <c r="L209" s="145" t="s">
        <v>172</v>
      </c>
      <c r="M209" s="143" t="s">
        <v>6709</v>
      </c>
    </row>
    <row r="210" spans="1:13">
      <c r="A210" s="27" t="s">
        <v>6705</v>
      </c>
      <c r="B210" s="141" t="s">
        <v>7118</v>
      </c>
      <c r="C210" s="141" t="s">
        <v>6707</v>
      </c>
      <c r="D210" s="142" t="s">
        <v>7119</v>
      </c>
      <c r="E210" s="143">
        <v>1</v>
      </c>
      <c r="F210" s="143" t="s">
        <v>168</v>
      </c>
      <c r="G210" s="143" t="s">
        <v>26</v>
      </c>
      <c r="H210" s="143" t="s">
        <v>26</v>
      </c>
      <c r="I210" s="143" t="s">
        <v>176</v>
      </c>
      <c r="J210" s="143" t="s">
        <v>643</v>
      </c>
      <c r="K210" s="144">
        <v>69</v>
      </c>
      <c r="L210" s="145" t="s">
        <v>172</v>
      </c>
      <c r="M210" s="143" t="s">
        <v>6709</v>
      </c>
    </row>
    <row r="211" spans="1:13">
      <c r="A211" s="27" t="s">
        <v>6705</v>
      </c>
      <c r="B211" s="141" t="s">
        <v>7120</v>
      </c>
      <c r="C211" s="141" t="s">
        <v>6707</v>
      </c>
      <c r="D211" s="142" t="s">
        <v>7121</v>
      </c>
      <c r="E211" s="143">
        <v>1</v>
      </c>
      <c r="F211" s="143" t="s">
        <v>168</v>
      </c>
      <c r="G211" s="143" t="s">
        <v>26</v>
      </c>
      <c r="H211" s="143" t="s">
        <v>26</v>
      </c>
      <c r="I211" s="143" t="s">
        <v>176</v>
      </c>
      <c r="J211" s="143" t="s">
        <v>643</v>
      </c>
      <c r="K211" s="144">
        <v>69</v>
      </c>
      <c r="L211" s="145" t="s">
        <v>172</v>
      </c>
      <c r="M211" s="143" t="s">
        <v>6709</v>
      </c>
    </row>
    <row r="212" spans="1:13">
      <c r="A212" s="27" t="s">
        <v>6705</v>
      </c>
      <c r="B212" s="141" t="s">
        <v>7122</v>
      </c>
      <c r="C212" s="141" t="s">
        <v>6707</v>
      </c>
      <c r="D212" s="142" t="s">
        <v>7123</v>
      </c>
      <c r="E212" s="143">
        <v>1</v>
      </c>
      <c r="F212" s="143" t="s">
        <v>168</v>
      </c>
      <c r="G212" s="143" t="s">
        <v>26</v>
      </c>
      <c r="H212" s="143" t="s">
        <v>26</v>
      </c>
      <c r="I212" s="143" t="s">
        <v>176</v>
      </c>
      <c r="J212" s="143" t="s">
        <v>643</v>
      </c>
      <c r="K212" s="144">
        <v>0.01</v>
      </c>
      <c r="L212" s="145" t="s">
        <v>172</v>
      </c>
      <c r="M212" s="143" t="s">
        <v>6709</v>
      </c>
    </row>
    <row r="213" spans="1:13">
      <c r="A213" s="27" t="s">
        <v>6705</v>
      </c>
      <c r="B213" s="141" t="s">
        <v>7124</v>
      </c>
      <c r="C213" s="141" t="s">
        <v>6707</v>
      </c>
      <c r="D213" s="142" t="s">
        <v>7125</v>
      </c>
      <c r="E213" s="143">
        <v>1</v>
      </c>
      <c r="F213" s="143" t="s">
        <v>168</v>
      </c>
      <c r="G213" s="143" t="s">
        <v>26</v>
      </c>
      <c r="H213" s="143" t="s">
        <v>26</v>
      </c>
      <c r="I213" s="143" t="s">
        <v>176</v>
      </c>
      <c r="J213" s="143" t="s">
        <v>643</v>
      </c>
      <c r="K213" s="144">
        <v>0.01</v>
      </c>
      <c r="L213" s="145" t="s">
        <v>172</v>
      </c>
      <c r="M213" s="143" t="s">
        <v>6709</v>
      </c>
    </row>
    <row r="214" spans="1:13">
      <c r="A214" s="27" t="s">
        <v>6705</v>
      </c>
      <c r="B214" s="141" t="s">
        <v>7126</v>
      </c>
      <c r="C214" s="141" t="s">
        <v>6707</v>
      </c>
      <c r="D214" s="142" t="s">
        <v>7127</v>
      </c>
      <c r="E214" s="143">
        <v>1</v>
      </c>
      <c r="F214" s="143" t="s">
        <v>168</v>
      </c>
      <c r="G214" s="143" t="s">
        <v>26</v>
      </c>
      <c r="H214" s="143" t="s">
        <v>26</v>
      </c>
      <c r="I214" s="143" t="s">
        <v>176</v>
      </c>
      <c r="J214" s="143" t="s">
        <v>643</v>
      </c>
      <c r="K214" s="144">
        <v>30</v>
      </c>
      <c r="L214" s="145" t="s">
        <v>172</v>
      </c>
      <c r="M214" s="143" t="s">
        <v>6709</v>
      </c>
    </row>
    <row r="215" spans="1:13">
      <c r="A215" s="27" t="s">
        <v>6705</v>
      </c>
      <c r="B215" s="141" t="s">
        <v>7128</v>
      </c>
      <c r="C215" s="141" t="s">
        <v>6707</v>
      </c>
      <c r="D215" s="142" t="s">
        <v>7129</v>
      </c>
      <c r="E215" s="143">
        <v>1</v>
      </c>
      <c r="F215" s="143" t="s">
        <v>168</v>
      </c>
      <c r="G215" s="143" t="s">
        <v>26</v>
      </c>
      <c r="H215" s="143" t="s">
        <v>26</v>
      </c>
      <c r="I215" s="143" t="s">
        <v>176</v>
      </c>
      <c r="J215" s="143" t="s">
        <v>643</v>
      </c>
      <c r="K215" s="144">
        <v>72</v>
      </c>
      <c r="L215" s="145" t="s">
        <v>172</v>
      </c>
      <c r="M215" s="143" t="s">
        <v>6709</v>
      </c>
    </row>
    <row r="216" spans="1:13">
      <c r="A216" s="27" t="s">
        <v>6705</v>
      </c>
      <c r="B216" s="141" t="s">
        <v>7130</v>
      </c>
      <c r="C216" s="141" t="s">
        <v>6707</v>
      </c>
      <c r="D216" s="142" t="s">
        <v>7131</v>
      </c>
      <c r="E216" s="143">
        <v>1</v>
      </c>
      <c r="F216" s="143" t="s">
        <v>168</v>
      </c>
      <c r="G216" s="143" t="s">
        <v>26</v>
      </c>
      <c r="H216" s="143" t="s">
        <v>26</v>
      </c>
      <c r="I216" s="143" t="s">
        <v>176</v>
      </c>
      <c r="J216" s="143" t="s">
        <v>643</v>
      </c>
      <c r="K216" s="144">
        <v>130</v>
      </c>
      <c r="L216" s="145" t="s">
        <v>172</v>
      </c>
      <c r="M216" s="143" t="s">
        <v>6709</v>
      </c>
    </row>
    <row r="217" spans="1:13">
      <c r="A217" s="27" t="s">
        <v>6705</v>
      </c>
      <c r="B217" s="141" t="s">
        <v>7132</v>
      </c>
      <c r="C217" s="141" t="s">
        <v>6707</v>
      </c>
      <c r="D217" s="142" t="s">
        <v>7133</v>
      </c>
      <c r="E217" s="143">
        <v>1</v>
      </c>
      <c r="F217" s="143" t="s">
        <v>168</v>
      </c>
      <c r="G217" s="143" t="s">
        <v>26</v>
      </c>
      <c r="H217" s="143" t="s">
        <v>26</v>
      </c>
      <c r="I217" s="143" t="s">
        <v>176</v>
      </c>
      <c r="J217" s="143" t="s">
        <v>643</v>
      </c>
      <c r="K217" s="144">
        <v>280</v>
      </c>
      <c r="L217" s="145" t="s">
        <v>172</v>
      </c>
      <c r="M217" s="143" t="s">
        <v>6709</v>
      </c>
    </row>
    <row r="218" spans="1:13">
      <c r="A218" s="27" t="s">
        <v>6705</v>
      </c>
      <c r="B218" s="141" t="s">
        <v>7134</v>
      </c>
      <c r="C218" s="141" t="s">
        <v>6707</v>
      </c>
      <c r="D218" s="142" t="s">
        <v>7135</v>
      </c>
      <c r="E218" s="143">
        <v>1</v>
      </c>
      <c r="F218" s="143" t="s">
        <v>168</v>
      </c>
      <c r="G218" s="143" t="s">
        <v>26</v>
      </c>
      <c r="H218" s="143" t="s">
        <v>26</v>
      </c>
      <c r="I218" s="143" t="s">
        <v>176</v>
      </c>
      <c r="J218" s="143" t="s">
        <v>643</v>
      </c>
      <c r="K218" s="144">
        <v>430</v>
      </c>
      <c r="L218" s="145" t="s">
        <v>172</v>
      </c>
      <c r="M218" s="143" t="s">
        <v>6709</v>
      </c>
    </row>
    <row r="219" spans="1:13">
      <c r="A219" s="27" t="s">
        <v>6705</v>
      </c>
      <c r="B219" s="141" t="s">
        <v>7136</v>
      </c>
      <c r="C219" s="141" t="s">
        <v>6707</v>
      </c>
      <c r="D219" s="142" t="s">
        <v>7137</v>
      </c>
      <c r="E219" s="143">
        <v>1</v>
      </c>
      <c r="F219" s="143" t="s">
        <v>168</v>
      </c>
      <c r="G219" s="143" t="s">
        <v>26</v>
      </c>
      <c r="H219" s="143" t="s">
        <v>26</v>
      </c>
      <c r="I219" s="143" t="s">
        <v>176</v>
      </c>
      <c r="J219" s="143" t="s">
        <v>643</v>
      </c>
      <c r="K219" s="144">
        <v>647</v>
      </c>
      <c r="L219" s="145" t="s">
        <v>172</v>
      </c>
      <c r="M219" s="143" t="s">
        <v>6709</v>
      </c>
    </row>
    <row r="220" spans="1:13">
      <c r="A220" s="27" t="s">
        <v>6705</v>
      </c>
      <c r="B220" s="141" t="s">
        <v>7138</v>
      </c>
      <c r="C220" s="141" t="s">
        <v>6707</v>
      </c>
      <c r="D220" s="142" t="s">
        <v>7139</v>
      </c>
      <c r="E220" s="143">
        <v>1</v>
      </c>
      <c r="F220" s="143" t="s">
        <v>168</v>
      </c>
      <c r="G220" s="143" t="s">
        <v>26</v>
      </c>
      <c r="H220" s="143" t="s">
        <v>26</v>
      </c>
      <c r="I220" s="143" t="s">
        <v>176</v>
      </c>
      <c r="J220" s="143" t="s">
        <v>643</v>
      </c>
      <c r="K220" s="144">
        <v>1730</v>
      </c>
      <c r="L220" s="145" t="s">
        <v>172</v>
      </c>
      <c r="M220" s="143" t="s">
        <v>6709</v>
      </c>
    </row>
    <row r="221" spans="1:13">
      <c r="A221" s="27" t="s">
        <v>6705</v>
      </c>
      <c r="B221" s="141" t="s">
        <v>7140</v>
      </c>
      <c r="C221" s="141" t="s">
        <v>6707</v>
      </c>
      <c r="D221" s="142" t="s">
        <v>7141</v>
      </c>
      <c r="E221" s="143">
        <v>1</v>
      </c>
      <c r="F221" s="143" t="s">
        <v>168</v>
      </c>
      <c r="G221" s="143" t="s">
        <v>26</v>
      </c>
      <c r="H221" s="143" t="s">
        <v>26</v>
      </c>
      <c r="I221" s="143" t="s">
        <v>176</v>
      </c>
      <c r="J221" s="143" t="s">
        <v>643</v>
      </c>
      <c r="K221" s="144">
        <v>30</v>
      </c>
      <c r="L221" s="145" t="s">
        <v>172</v>
      </c>
      <c r="M221" s="143" t="s">
        <v>6709</v>
      </c>
    </row>
    <row r="222" spans="1:13">
      <c r="A222" s="27" t="s">
        <v>6705</v>
      </c>
      <c r="B222" s="141" t="s">
        <v>7142</v>
      </c>
      <c r="C222" s="141" t="s">
        <v>6707</v>
      </c>
      <c r="D222" s="142" t="s">
        <v>7143</v>
      </c>
      <c r="E222" s="143">
        <v>1</v>
      </c>
      <c r="F222" s="143" t="s">
        <v>168</v>
      </c>
      <c r="G222" s="143" t="s">
        <v>26</v>
      </c>
      <c r="H222" s="143" t="s">
        <v>26</v>
      </c>
      <c r="I222" s="143" t="s">
        <v>176</v>
      </c>
      <c r="J222" s="143" t="s">
        <v>643</v>
      </c>
      <c r="K222" s="144">
        <v>72</v>
      </c>
      <c r="L222" s="145" t="s">
        <v>172</v>
      </c>
      <c r="M222" s="143" t="s">
        <v>6709</v>
      </c>
    </row>
    <row r="223" spans="1:13">
      <c r="A223" s="27" t="s">
        <v>6705</v>
      </c>
      <c r="B223" s="141" t="s">
        <v>7144</v>
      </c>
      <c r="C223" s="141" t="s">
        <v>6707</v>
      </c>
      <c r="D223" s="142" t="s">
        <v>7145</v>
      </c>
      <c r="E223" s="143">
        <v>1</v>
      </c>
      <c r="F223" s="143" t="s">
        <v>168</v>
      </c>
      <c r="G223" s="143" t="s">
        <v>26</v>
      </c>
      <c r="H223" s="143" t="s">
        <v>26</v>
      </c>
      <c r="I223" s="143" t="s">
        <v>176</v>
      </c>
      <c r="J223" s="143" t="s">
        <v>643</v>
      </c>
      <c r="K223" s="144">
        <v>130</v>
      </c>
      <c r="L223" s="145" t="s">
        <v>172</v>
      </c>
      <c r="M223" s="143" t="s">
        <v>6709</v>
      </c>
    </row>
    <row r="224" spans="1:13">
      <c r="A224" s="27" t="s">
        <v>6705</v>
      </c>
      <c r="B224" s="141" t="s">
        <v>7146</v>
      </c>
      <c r="C224" s="141" t="s">
        <v>6707</v>
      </c>
      <c r="D224" s="142" t="s">
        <v>7147</v>
      </c>
      <c r="E224" s="143">
        <v>1</v>
      </c>
      <c r="F224" s="143" t="s">
        <v>168</v>
      </c>
      <c r="G224" s="143" t="s">
        <v>26</v>
      </c>
      <c r="H224" s="143" t="s">
        <v>26</v>
      </c>
      <c r="I224" s="143" t="s">
        <v>176</v>
      </c>
      <c r="J224" s="143" t="s">
        <v>643</v>
      </c>
      <c r="K224" s="144">
        <v>280</v>
      </c>
      <c r="L224" s="145" t="s">
        <v>172</v>
      </c>
      <c r="M224" s="143" t="s">
        <v>6709</v>
      </c>
    </row>
    <row r="225" spans="1:13">
      <c r="A225" s="27" t="s">
        <v>6705</v>
      </c>
      <c r="B225" s="141" t="s">
        <v>7148</v>
      </c>
      <c r="C225" s="141" t="s">
        <v>6707</v>
      </c>
      <c r="D225" s="142" t="s">
        <v>7149</v>
      </c>
      <c r="E225" s="143">
        <v>1</v>
      </c>
      <c r="F225" s="143" t="s">
        <v>168</v>
      </c>
      <c r="G225" s="143" t="s">
        <v>26</v>
      </c>
      <c r="H225" s="143" t="s">
        <v>26</v>
      </c>
      <c r="I225" s="143" t="s">
        <v>176</v>
      </c>
      <c r="J225" s="143" t="s">
        <v>643</v>
      </c>
      <c r="K225" s="144">
        <v>430</v>
      </c>
      <c r="L225" s="145" t="s">
        <v>172</v>
      </c>
      <c r="M225" s="143" t="s">
        <v>6709</v>
      </c>
    </row>
    <row r="226" spans="1:13">
      <c r="A226" s="27" t="s">
        <v>6705</v>
      </c>
      <c r="B226" s="141" t="s">
        <v>7150</v>
      </c>
      <c r="C226" s="141" t="s">
        <v>6707</v>
      </c>
      <c r="D226" s="142" t="s">
        <v>7151</v>
      </c>
      <c r="E226" s="143">
        <v>1</v>
      </c>
      <c r="F226" s="143" t="s">
        <v>168</v>
      </c>
      <c r="G226" s="143" t="s">
        <v>26</v>
      </c>
      <c r="H226" s="143" t="s">
        <v>26</v>
      </c>
      <c r="I226" s="143" t="s">
        <v>176</v>
      </c>
      <c r="J226" s="143" t="s">
        <v>643</v>
      </c>
      <c r="K226" s="144">
        <v>647</v>
      </c>
      <c r="L226" s="145" t="s">
        <v>172</v>
      </c>
      <c r="M226" s="143" t="s">
        <v>6709</v>
      </c>
    </row>
    <row r="227" spans="1:13">
      <c r="A227" s="27" t="s">
        <v>6705</v>
      </c>
      <c r="B227" s="141" t="s">
        <v>7152</v>
      </c>
      <c r="C227" s="141" t="s">
        <v>6707</v>
      </c>
      <c r="D227" s="142" t="s">
        <v>7153</v>
      </c>
      <c r="E227" s="143">
        <v>1</v>
      </c>
      <c r="F227" s="143" t="s">
        <v>168</v>
      </c>
      <c r="G227" s="143" t="s">
        <v>26</v>
      </c>
      <c r="H227" s="143" t="s">
        <v>26</v>
      </c>
      <c r="I227" s="143" t="s">
        <v>176</v>
      </c>
      <c r="J227" s="143" t="s">
        <v>643</v>
      </c>
      <c r="K227" s="144">
        <v>1730</v>
      </c>
      <c r="L227" s="145" t="s">
        <v>172</v>
      </c>
      <c r="M227" s="143" t="s">
        <v>6709</v>
      </c>
    </row>
    <row r="228" spans="1:13">
      <c r="A228" s="27" t="s">
        <v>6705</v>
      </c>
      <c r="B228" s="141" t="s">
        <v>7154</v>
      </c>
      <c r="C228" s="141" t="s">
        <v>6707</v>
      </c>
      <c r="D228" s="142" t="s">
        <v>7155</v>
      </c>
      <c r="E228" s="143">
        <v>1</v>
      </c>
      <c r="F228" s="143" t="s">
        <v>168</v>
      </c>
      <c r="G228" s="143" t="s">
        <v>26</v>
      </c>
      <c r="H228" s="143" t="s">
        <v>26</v>
      </c>
      <c r="I228" s="143" t="s">
        <v>176</v>
      </c>
      <c r="J228" s="143" t="s">
        <v>643</v>
      </c>
      <c r="K228" s="144">
        <v>6960</v>
      </c>
      <c r="L228" s="145" t="s">
        <v>172</v>
      </c>
      <c r="M228" s="143" t="s">
        <v>6709</v>
      </c>
    </row>
    <row r="229" spans="1:13">
      <c r="A229" s="27" t="s">
        <v>6705</v>
      </c>
      <c r="B229" s="141" t="s">
        <v>7156</v>
      </c>
      <c r="C229" s="141" t="s">
        <v>6707</v>
      </c>
      <c r="D229" s="142" t="s">
        <v>7157</v>
      </c>
      <c r="E229" s="143">
        <v>1</v>
      </c>
      <c r="F229" s="143" t="s">
        <v>168</v>
      </c>
      <c r="G229" s="143" t="s">
        <v>26</v>
      </c>
      <c r="H229" s="143" t="s">
        <v>26</v>
      </c>
      <c r="I229" s="143" t="s">
        <v>176</v>
      </c>
      <c r="J229" s="143" t="s">
        <v>643</v>
      </c>
      <c r="K229" s="144">
        <v>13920</v>
      </c>
      <c r="L229" s="145" t="s">
        <v>172</v>
      </c>
      <c r="M229" s="143" t="s">
        <v>6709</v>
      </c>
    </row>
    <row r="230" spans="1:13">
      <c r="A230" s="27" t="s">
        <v>6705</v>
      </c>
      <c r="B230" s="141" t="s">
        <v>7158</v>
      </c>
      <c r="C230" s="141" t="s">
        <v>6707</v>
      </c>
      <c r="D230" s="142" t="s">
        <v>7159</v>
      </c>
      <c r="E230" s="143">
        <v>1</v>
      </c>
      <c r="F230" s="143" t="s">
        <v>168</v>
      </c>
      <c r="G230" s="143" t="s">
        <v>26</v>
      </c>
      <c r="H230" s="143" t="s">
        <v>26</v>
      </c>
      <c r="I230" s="143" t="s">
        <v>176</v>
      </c>
      <c r="J230" s="143" t="s">
        <v>643</v>
      </c>
      <c r="K230" s="144">
        <v>20880</v>
      </c>
      <c r="L230" s="145" t="s">
        <v>172</v>
      </c>
      <c r="M230" s="143" t="s">
        <v>6709</v>
      </c>
    </row>
    <row r="231" spans="1:13">
      <c r="A231" s="27" t="s">
        <v>6705</v>
      </c>
      <c r="B231" s="141" t="s">
        <v>7160</v>
      </c>
      <c r="C231" s="141" t="s">
        <v>6707</v>
      </c>
      <c r="D231" s="142" t="s">
        <v>7161</v>
      </c>
      <c r="E231" s="143">
        <v>1</v>
      </c>
      <c r="F231" s="143" t="s">
        <v>168</v>
      </c>
      <c r="G231" s="143" t="s">
        <v>26</v>
      </c>
      <c r="H231" s="143" t="s">
        <v>26</v>
      </c>
      <c r="I231" s="143" t="s">
        <v>176</v>
      </c>
      <c r="J231" s="143" t="s">
        <v>643</v>
      </c>
      <c r="K231" s="144">
        <v>27840</v>
      </c>
      <c r="L231" s="145" t="s">
        <v>172</v>
      </c>
      <c r="M231" s="143" t="s">
        <v>6709</v>
      </c>
    </row>
    <row r="232" spans="1:13">
      <c r="A232" s="27" t="s">
        <v>6705</v>
      </c>
      <c r="B232" s="141" t="s">
        <v>7162</v>
      </c>
      <c r="C232" s="141" t="s">
        <v>6707</v>
      </c>
      <c r="D232" s="142" t="s">
        <v>7163</v>
      </c>
      <c r="E232" s="143">
        <v>1</v>
      </c>
      <c r="F232" s="143" t="s">
        <v>168</v>
      </c>
      <c r="G232" s="143" t="s">
        <v>26</v>
      </c>
      <c r="H232" s="143" t="s">
        <v>26</v>
      </c>
      <c r="I232" s="143" t="s">
        <v>176</v>
      </c>
      <c r="J232" s="143" t="s">
        <v>643</v>
      </c>
      <c r="K232" s="144">
        <v>34800</v>
      </c>
      <c r="L232" s="145" t="s">
        <v>172</v>
      </c>
      <c r="M232" s="143" t="s">
        <v>6709</v>
      </c>
    </row>
    <row r="233" spans="1:13">
      <c r="A233" s="27" t="s">
        <v>6705</v>
      </c>
      <c r="B233" s="141" t="s">
        <v>7164</v>
      </c>
      <c r="C233" s="141" t="s">
        <v>6707</v>
      </c>
      <c r="D233" s="142" t="s">
        <v>7165</v>
      </c>
      <c r="E233" s="143">
        <v>1</v>
      </c>
      <c r="F233" s="143" t="s">
        <v>168</v>
      </c>
      <c r="G233" s="143" t="s">
        <v>26</v>
      </c>
      <c r="H233" s="143" t="s">
        <v>26</v>
      </c>
      <c r="I233" s="143" t="s">
        <v>176</v>
      </c>
      <c r="J233" s="143" t="s">
        <v>643</v>
      </c>
      <c r="K233" s="144">
        <v>48720</v>
      </c>
      <c r="L233" s="145" t="s">
        <v>172</v>
      </c>
      <c r="M233" s="143" t="s">
        <v>6709</v>
      </c>
    </row>
    <row r="234" spans="1:13">
      <c r="A234" s="27" t="s">
        <v>6705</v>
      </c>
      <c r="B234" s="141" t="s">
        <v>7166</v>
      </c>
      <c r="C234" s="141" t="s">
        <v>6707</v>
      </c>
      <c r="D234" s="142" t="s">
        <v>7167</v>
      </c>
      <c r="E234" s="143">
        <v>1</v>
      </c>
      <c r="F234" s="143" t="s">
        <v>168</v>
      </c>
      <c r="G234" s="143" t="s">
        <v>26</v>
      </c>
      <c r="H234" s="143" t="s">
        <v>26</v>
      </c>
      <c r="I234" s="143" t="s">
        <v>176</v>
      </c>
      <c r="J234" s="143" t="s">
        <v>643</v>
      </c>
      <c r="K234" s="144">
        <v>17400</v>
      </c>
      <c r="L234" s="145" t="s">
        <v>172</v>
      </c>
      <c r="M234" s="143" t="s">
        <v>6709</v>
      </c>
    </row>
    <row r="235" spans="1:13">
      <c r="A235" s="27" t="s">
        <v>6705</v>
      </c>
      <c r="B235" s="141" t="s">
        <v>7168</v>
      </c>
      <c r="C235" s="141" t="s">
        <v>6707</v>
      </c>
      <c r="D235" s="142" t="s">
        <v>7169</v>
      </c>
      <c r="E235" s="143">
        <v>1</v>
      </c>
      <c r="F235" s="143" t="s">
        <v>168</v>
      </c>
      <c r="G235" s="143" t="s">
        <v>26</v>
      </c>
      <c r="H235" s="143" t="s">
        <v>26</v>
      </c>
      <c r="I235" s="143" t="s">
        <v>176</v>
      </c>
      <c r="J235" s="143" t="s">
        <v>643</v>
      </c>
      <c r="K235" s="144">
        <v>34800</v>
      </c>
      <c r="L235" s="145" t="s">
        <v>172</v>
      </c>
      <c r="M235" s="143" t="s">
        <v>6709</v>
      </c>
    </row>
    <row r="236" spans="1:13">
      <c r="A236" s="27" t="s">
        <v>6705</v>
      </c>
      <c r="B236" s="141" t="s">
        <v>7170</v>
      </c>
      <c r="C236" s="141" t="s">
        <v>6707</v>
      </c>
      <c r="D236" s="142" t="s">
        <v>7171</v>
      </c>
      <c r="E236" s="143">
        <v>1</v>
      </c>
      <c r="F236" s="143" t="s">
        <v>168</v>
      </c>
      <c r="G236" s="143" t="s">
        <v>26</v>
      </c>
      <c r="H236" s="143" t="s">
        <v>26</v>
      </c>
      <c r="I236" s="143" t="s">
        <v>176</v>
      </c>
      <c r="J236" s="143" t="s">
        <v>643</v>
      </c>
      <c r="K236" s="144">
        <v>52200</v>
      </c>
      <c r="L236" s="145" t="s">
        <v>172</v>
      </c>
      <c r="M236" s="143" t="s">
        <v>6709</v>
      </c>
    </row>
    <row r="237" spans="1:13">
      <c r="A237" s="27" t="s">
        <v>6705</v>
      </c>
      <c r="B237" s="141" t="s">
        <v>7172</v>
      </c>
      <c r="C237" s="141" t="s">
        <v>6707</v>
      </c>
      <c r="D237" s="142" t="s">
        <v>7173</v>
      </c>
      <c r="E237" s="143">
        <v>1</v>
      </c>
      <c r="F237" s="143" t="s">
        <v>168</v>
      </c>
      <c r="G237" s="143" t="s">
        <v>26</v>
      </c>
      <c r="H237" s="143" t="s">
        <v>26</v>
      </c>
      <c r="I237" s="143" t="s">
        <v>176</v>
      </c>
      <c r="J237" s="143" t="s">
        <v>643</v>
      </c>
      <c r="K237" s="144">
        <v>69600</v>
      </c>
      <c r="L237" s="145" t="s">
        <v>172</v>
      </c>
      <c r="M237" s="143" t="s">
        <v>6709</v>
      </c>
    </row>
    <row r="238" spans="1:13">
      <c r="A238" s="27" t="s">
        <v>6705</v>
      </c>
      <c r="B238" s="141" t="s">
        <v>7174</v>
      </c>
      <c r="C238" s="141" t="s">
        <v>6707</v>
      </c>
      <c r="D238" s="142" t="s">
        <v>7175</v>
      </c>
      <c r="E238" s="143">
        <v>1</v>
      </c>
      <c r="F238" s="143" t="s">
        <v>168</v>
      </c>
      <c r="G238" s="143" t="s">
        <v>26</v>
      </c>
      <c r="H238" s="143" t="s">
        <v>26</v>
      </c>
      <c r="I238" s="143" t="s">
        <v>176</v>
      </c>
      <c r="J238" s="143" t="s">
        <v>643</v>
      </c>
      <c r="K238" s="144">
        <v>87000</v>
      </c>
      <c r="L238" s="145" t="s">
        <v>172</v>
      </c>
      <c r="M238" s="143" t="s">
        <v>6709</v>
      </c>
    </row>
    <row r="239" spans="1:13">
      <c r="A239" s="27" t="s">
        <v>6705</v>
      </c>
      <c r="B239" s="141" t="s">
        <v>7176</v>
      </c>
      <c r="C239" s="141" t="s">
        <v>6707</v>
      </c>
      <c r="D239" s="142" t="s">
        <v>7177</v>
      </c>
      <c r="E239" s="143">
        <v>1</v>
      </c>
      <c r="F239" s="143" t="s">
        <v>168</v>
      </c>
      <c r="G239" s="143" t="s">
        <v>26</v>
      </c>
      <c r="H239" s="143" t="s">
        <v>26</v>
      </c>
      <c r="I239" s="143" t="s">
        <v>176</v>
      </c>
      <c r="J239" s="143" t="s">
        <v>643</v>
      </c>
      <c r="K239" s="144">
        <v>121800</v>
      </c>
      <c r="L239" s="145" t="s">
        <v>172</v>
      </c>
      <c r="M239" s="143" t="s">
        <v>6709</v>
      </c>
    </row>
    <row r="240" spans="1:13">
      <c r="A240" s="27" t="s">
        <v>6705</v>
      </c>
      <c r="B240" s="141" t="s">
        <v>7178</v>
      </c>
      <c r="C240" s="141" t="s">
        <v>6707</v>
      </c>
      <c r="D240" s="142" t="s">
        <v>7179</v>
      </c>
      <c r="E240" s="143">
        <v>1</v>
      </c>
      <c r="F240" s="143" t="s">
        <v>168</v>
      </c>
      <c r="G240" s="143" t="s">
        <v>26</v>
      </c>
      <c r="H240" s="143" t="s">
        <v>26</v>
      </c>
      <c r="I240" s="143" t="s">
        <v>176</v>
      </c>
      <c r="J240" s="143" t="s">
        <v>643</v>
      </c>
      <c r="K240" s="144">
        <v>48000</v>
      </c>
      <c r="L240" s="145" t="s">
        <v>172</v>
      </c>
      <c r="M240" s="143" t="s">
        <v>6709</v>
      </c>
    </row>
    <row r="241" spans="1:13">
      <c r="A241" s="27" t="s">
        <v>6705</v>
      </c>
      <c r="B241" s="141" t="s">
        <v>7180</v>
      </c>
      <c r="C241" s="141" t="s">
        <v>6707</v>
      </c>
      <c r="D241" s="142" t="s">
        <v>7181</v>
      </c>
      <c r="E241" s="143">
        <v>1</v>
      </c>
      <c r="F241" s="143" t="s">
        <v>168</v>
      </c>
      <c r="G241" s="143" t="s">
        <v>26</v>
      </c>
      <c r="H241" s="143" t="s">
        <v>26</v>
      </c>
      <c r="I241" s="143" t="s">
        <v>176</v>
      </c>
      <c r="J241" s="143" t="s">
        <v>643</v>
      </c>
      <c r="K241" s="144">
        <v>96000</v>
      </c>
      <c r="L241" s="145" t="s">
        <v>172</v>
      </c>
      <c r="M241" s="143" t="s">
        <v>6709</v>
      </c>
    </row>
    <row r="242" spans="1:13">
      <c r="A242" s="27" t="s">
        <v>6705</v>
      </c>
      <c r="B242" s="141" t="s">
        <v>7182</v>
      </c>
      <c r="C242" s="141" t="s">
        <v>6707</v>
      </c>
      <c r="D242" s="142" t="s">
        <v>7183</v>
      </c>
      <c r="E242" s="143">
        <v>1</v>
      </c>
      <c r="F242" s="143" t="s">
        <v>168</v>
      </c>
      <c r="G242" s="143" t="s">
        <v>26</v>
      </c>
      <c r="H242" s="143" t="s">
        <v>26</v>
      </c>
      <c r="I242" s="143" t="s">
        <v>176</v>
      </c>
      <c r="J242" s="143" t="s">
        <v>643</v>
      </c>
      <c r="K242" s="144">
        <v>144000</v>
      </c>
      <c r="L242" s="145" t="s">
        <v>172</v>
      </c>
      <c r="M242" s="143" t="s">
        <v>6709</v>
      </c>
    </row>
    <row r="243" spans="1:13">
      <c r="A243" s="27" t="s">
        <v>6705</v>
      </c>
      <c r="B243" s="141" t="s">
        <v>7184</v>
      </c>
      <c r="C243" s="141" t="s">
        <v>6707</v>
      </c>
      <c r="D243" s="142" t="s">
        <v>7185</v>
      </c>
      <c r="E243" s="143">
        <v>1</v>
      </c>
      <c r="F243" s="143" t="s">
        <v>168</v>
      </c>
      <c r="G243" s="143" t="s">
        <v>26</v>
      </c>
      <c r="H243" s="143" t="s">
        <v>26</v>
      </c>
      <c r="I243" s="143" t="s">
        <v>176</v>
      </c>
      <c r="J243" s="143" t="s">
        <v>643</v>
      </c>
      <c r="K243" s="144">
        <v>192000</v>
      </c>
      <c r="L243" s="145" t="s">
        <v>172</v>
      </c>
      <c r="M243" s="143" t="s">
        <v>6709</v>
      </c>
    </row>
    <row r="244" spans="1:13">
      <c r="A244" s="27" t="s">
        <v>6705</v>
      </c>
      <c r="B244" s="141" t="s">
        <v>7186</v>
      </c>
      <c r="C244" s="141" t="s">
        <v>6707</v>
      </c>
      <c r="D244" s="142" t="s">
        <v>7187</v>
      </c>
      <c r="E244" s="143">
        <v>1</v>
      </c>
      <c r="F244" s="143" t="s">
        <v>168</v>
      </c>
      <c r="G244" s="143" t="s">
        <v>26</v>
      </c>
      <c r="H244" s="143" t="s">
        <v>26</v>
      </c>
      <c r="I244" s="143" t="s">
        <v>176</v>
      </c>
      <c r="J244" s="143" t="s">
        <v>643</v>
      </c>
      <c r="K244" s="144">
        <v>240000</v>
      </c>
      <c r="L244" s="145" t="s">
        <v>172</v>
      </c>
      <c r="M244" s="143" t="s">
        <v>6709</v>
      </c>
    </row>
    <row r="245" spans="1:13">
      <c r="A245" s="27" t="s">
        <v>6705</v>
      </c>
      <c r="B245" s="141" t="s">
        <v>7188</v>
      </c>
      <c r="C245" s="141" t="s">
        <v>6707</v>
      </c>
      <c r="D245" s="142" t="s">
        <v>7189</v>
      </c>
      <c r="E245" s="143">
        <v>1</v>
      </c>
      <c r="F245" s="143" t="s">
        <v>168</v>
      </c>
      <c r="G245" s="143" t="s">
        <v>26</v>
      </c>
      <c r="H245" s="143" t="s">
        <v>26</v>
      </c>
      <c r="I245" s="143" t="s">
        <v>176</v>
      </c>
      <c r="J245" s="143" t="s">
        <v>643</v>
      </c>
      <c r="K245" s="144">
        <v>336000</v>
      </c>
      <c r="L245" s="145" t="s">
        <v>172</v>
      </c>
      <c r="M245" s="143" t="s">
        <v>6709</v>
      </c>
    </row>
    <row r="246" spans="1:13">
      <c r="A246" s="27" t="s">
        <v>6705</v>
      </c>
      <c r="B246" s="141" t="s">
        <v>7190</v>
      </c>
      <c r="C246" s="141" t="s">
        <v>6707</v>
      </c>
      <c r="D246" s="142" t="s">
        <v>7191</v>
      </c>
      <c r="E246" s="143">
        <v>1</v>
      </c>
      <c r="F246" s="143" t="s">
        <v>168</v>
      </c>
      <c r="G246" s="143" t="s">
        <v>26</v>
      </c>
      <c r="H246" s="143" t="s">
        <v>26</v>
      </c>
      <c r="I246" s="143" t="s">
        <v>176</v>
      </c>
      <c r="J246" s="143" t="s">
        <v>643</v>
      </c>
      <c r="K246" s="144">
        <v>580</v>
      </c>
      <c r="L246" s="145" t="s">
        <v>172</v>
      </c>
      <c r="M246" s="143" t="s">
        <v>6709</v>
      </c>
    </row>
    <row r="247" spans="1:13">
      <c r="A247" s="27" t="s">
        <v>6705</v>
      </c>
      <c r="B247" s="141" t="s">
        <v>7192</v>
      </c>
      <c r="C247" s="141" t="s">
        <v>6707</v>
      </c>
      <c r="D247" s="142" t="s">
        <v>7193</v>
      </c>
      <c r="E247" s="143">
        <v>1</v>
      </c>
      <c r="F247" s="143" t="s">
        <v>168</v>
      </c>
      <c r="G247" s="143" t="s">
        <v>26</v>
      </c>
      <c r="H247" s="143" t="s">
        <v>26</v>
      </c>
      <c r="I247" s="143" t="s">
        <v>176</v>
      </c>
      <c r="J247" s="143" t="s">
        <v>643</v>
      </c>
      <c r="K247" s="144">
        <v>580</v>
      </c>
      <c r="L247" s="145" t="s">
        <v>172</v>
      </c>
      <c r="M247" s="143" t="s">
        <v>6709</v>
      </c>
    </row>
    <row r="248" spans="1:13">
      <c r="A248" s="27" t="s">
        <v>6705</v>
      </c>
      <c r="B248" s="141" t="s">
        <v>7194</v>
      </c>
      <c r="C248" s="141" t="s">
        <v>6707</v>
      </c>
      <c r="D248" s="142" t="s">
        <v>7195</v>
      </c>
      <c r="E248" s="143">
        <v>1</v>
      </c>
      <c r="F248" s="143" t="s">
        <v>168</v>
      </c>
      <c r="G248" s="143" t="s">
        <v>26</v>
      </c>
      <c r="H248" s="143" t="s">
        <v>26</v>
      </c>
      <c r="I248" s="143" t="s">
        <v>176</v>
      </c>
      <c r="J248" s="143" t="s">
        <v>643</v>
      </c>
      <c r="K248" s="144">
        <v>1450</v>
      </c>
      <c r="L248" s="145" t="s">
        <v>172</v>
      </c>
      <c r="M248" s="143" t="s">
        <v>6709</v>
      </c>
    </row>
    <row r="249" spans="1:13">
      <c r="A249" s="27" t="s">
        <v>6705</v>
      </c>
      <c r="B249" s="141" t="s">
        <v>7196</v>
      </c>
      <c r="C249" s="141" t="s">
        <v>6707</v>
      </c>
      <c r="D249" s="142" t="s">
        <v>7197</v>
      </c>
      <c r="E249" s="143">
        <v>1</v>
      </c>
      <c r="F249" s="143" t="s">
        <v>168</v>
      </c>
      <c r="G249" s="143" t="s">
        <v>26</v>
      </c>
      <c r="H249" s="143" t="s">
        <v>26</v>
      </c>
      <c r="I249" s="143" t="s">
        <v>176</v>
      </c>
      <c r="J249" s="143" t="s">
        <v>643</v>
      </c>
      <c r="K249" s="144">
        <v>1450</v>
      </c>
      <c r="L249" s="145" t="s">
        <v>172</v>
      </c>
      <c r="M249" s="143" t="s">
        <v>6709</v>
      </c>
    </row>
    <row r="250" spans="1:13">
      <c r="A250" s="27" t="s">
        <v>6705</v>
      </c>
      <c r="B250" s="141" t="s">
        <v>7198</v>
      </c>
      <c r="C250" s="141" t="s">
        <v>6707</v>
      </c>
      <c r="D250" s="142" t="s">
        <v>7199</v>
      </c>
      <c r="E250" s="143">
        <v>1</v>
      </c>
      <c r="F250" s="143" t="s">
        <v>168</v>
      </c>
      <c r="G250" s="143" t="s">
        <v>26</v>
      </c>
      <c r="H250" s="143" t="s">
        <v>26</v>
      </c>
      <c r="I250" s="143" t="s">
        <v>176</v>
      </c>
      <c r="J250" s="143" t="s">
        <v>643</v>
      </c>
      <c r="K250" s="144">
        <v>4000</v>
      </c>
      <c r="L250" s="145" t="s">
        <v>172</v>
      </c>
      <c r="M250" s="143" t="s">
        <v>6709</v>
      </c>
    </row>
    <row r="251" spans="1:13">
      <c r="A251" s="27" t="s">
        <v>6705</v>
      </c>
      <c r="B251" s="141" t="s">
        <v>7200</v>
      </c>
      <c r="C251" s="141" t="s">
        <v>6707</v>
      </c>
      <c r="D251" s="142" t="s">
        <v>7201</v>
      </c>
      <c r="E251" s="143">
        <v>1</v>
      </c>
      <c r="F251" s="143" t="s">
        <v>168</v>
      </c>
      <c r="G251" s="143" t="s">
        <v>26</v>
      </c>
      <c r="H251" s="143" t="s">
        <v>26</v>
      </c>
      <c r="I251" s="143" t="s">
        <v>176</v>
      </c>
      <c r="J251" s="143" t="s">
        <v>643</v>
      </c>
      <c r="K251" s="144">
        <v>4000</v>
      </c>
      <c r="L251" s="145" t="s">
        <v>172</v>
      </c>
      <c r="M251" s="143" t="s">
        <v>6709</v>
      </c>
    </row>
    <row r="252" spans="1:13">
      <c r="A252" s="27" t="s">
        <v>6705</v>
      </c>
      <c r="B252" s="141" t="s">
        <v>7202</v>
      </c>
      <c r="C252" s="141" t="s">
        <v>6707</v>
      </c>
      <c r="D252" s="142" t="s">
        <v>7203</v>
      </c>
      <c r="E252" s="143">
        <v>1</v>
      </c>
      <c r="F252" s="143" t="s">
        <v>168</v>
      </c>
      <c r="G252" s="143" t="s">
        <v>26</v>
      </c>
      <c r="H252" s="143" t="s">
        <v>26</v>
      </c>
      <c r="I252" s="143" t="s">
        <v>176</v>
      </c>
      <c r="J252" s="143" t="s">
        <v>643</v>
      </c>
      <c r="K252" s="144">
        <v>8999</v>
      </c>
      <c r="L252" s="145" t="s">
        <v>172</v>
      </c>
      <c r="M252" s="143" t="s">
        <v>6709</v>
      </c>
    </row>
    <row r="253" spans="1:13">
      <c r="A253" s="27" t="s">
        <v>6705</v>
      </c>
      <c r="B253" s="141" t="s">
        <v>7204</v>
      </c>
      <c r="C253" s="141" t="s">
        <v>6707</v>
      </c>
      <c r="D253" s="142" t="s">
        <v>7205</v>
      </c>
      <c r="E253" s="143">
        <v>1</v>
      </c>
      <c r="F253" s="143" t="s">
        <v>168</v>
      </c>
      <c r="G253" s="143" t="s">
        <v>26</v>
      </c>
      <c r="H253" s="143" t="s">
        <v>26</v>
      </c>
      <c r="I253" s="143" t="s">
        <v>176</v>
      </c>
      <c r="J253" s="143" t="s">
        <v>643</v>
      </c>
      <c r="K253" s="144">
        <v>6960</v>
      </c>
      <c r="L253" s="145" t="s">
        <v>172</v>
      </c>
      <c r="M253" s="143" t="s">
        <v>6709</v>
      </c>
    </row>
    <row r="254" spans="1:13">
      <c r="A254" s="27" t="s">
        <v>6705</v>
      </c>
      <c r="B254" s="141" t="s">
        <v>7206</v>
      </c>
      <c r="C254" s="141" t="s">
        <v>6707</v>
      </c>
      <c r="D254" s="142" t="s">
        <v>7207</v>
      </c>
      <c r="E254" s="143">
        <v>1</v>
      </c>
      <c r="F254" s="143" t="s">
        <v>168</v>
      </c>
      <c r="G254" s="143" t="s">
        <v>26</v>
      </c>
      <c r="H254" s="143" t="s">
        <v>26</v>
      </c>
      <c r="I254" s="143" t="s">
        <v>176</v>
      </c>
      <c r="J254" s="143" t="s">
        <v>643</v>
      </c>
      <c r="K254" s="144">
        <v>13920</v>
      </c>
      <c r="L254" s="145" t="s">
        <v>172</v>
      </c>
      <c r="M254" s="143" t="s">
        <v>6709</v>
      </c>
    </row>
    <row r="255" spans="1:13">
      <c r="A255" s="27" t="s">
        <v>6705</v>
      </c>
      <c r="B255" s="141" t="s">
        <v>7208</v>
      </c>
      <c r="C255" s="141" t="s">
        <v>6707</v>
      </c>
      <c r="D255" s="142" t="s">
        <v>7209</v>
      </c>
      <c r="E255" s="143">
        <v>1</v>
      </c>
      <c r="F255" s="143" t="s">
        <v>168</v>
      </c>
      <c r="G255" s="143" t="s">
        <v>26</v>
      </c>
      <c r="H255" s="143" t="s">
        <v>26</v>
      </c>
      <c r="I255" s="143" t="s">
        <v>176</v>
      </c>
      <c r="J255" s="143" t="s">
        <v>643</v>
      </c>
      <c r="K255" s="144">
        <v>20880</v>
      </c>
      <c r="L255" s="145" t="s">
        <v>172</v>
      </c>
      <c r="M255" s="143" t="s">
        <v>6709</v>
      </c>
    </row>
    <row r="256" spans="1:13">
      <c r="A256" s="27" t="s">
        <v>6705</v>
      </c>
      <c r="B256" s="141" t="s">
        <v>7210</v>
      </c>
      <c r="C256" s="141" t="s">
        <v>6707</v>
      </c>
      <c r="D256" s="142" t="s">
        <v>7211</v>
      </c>
      <c r="E256" s="143">
        <v>1</v>
      </c>
      <c r="F256" s="143" t="s">
        <v>168</v>
      </c>
      <c r="G256" s="143" t="s">
        <v>26</v>
      </c>
      <c r="H256" s="143" t="s">
        <v>26</v>
      </c>
      <c r="I256" s="143" t="s">
        <v>176</v>
      </c>
      <c r="J256" s="143" t="s">
        <v>643</v>
      </c>
      <c r="K256" s="144">
        <v>27840</v>
      </c>
      <c r="L256" s="145" t="s">
        <v>172</v>
      </c>
      <c r="M256" s="143" t="s">
        <v>6709</v>
      </c>
    </row>
    <row r="257" spans="1:13">
      <c r="A257" s="27" t="s">
        <v>6705</v>
      </c>
      <c r="B257" s="141" t="s">
        <v>7212</v>
      </c>
      <c r="C257" s="141" t="s">
        <v>6707</v>
      </c>
      <c r="D257" s="142" t="s">
        <v>7213</v>
      </c>
      <c r="E257" s="143">
        <v>1</v>
      </c>
      <c r="F257" s="143" t="s">
        <v>168</v>
      </c>
      <c r="G257" s="143" t="s">
        <v>26</v>
      </c>
      <c r="H257" s="143" t="s">
        <v>26</v>
      </c>
      <c r="I257" s="143" t="s">
        <v>176</v>
      </c>
      <c r="J257" s="143" t="s">
        <v>643</v>
      </c>
      <c r="K257" s="144">
        <v>34800</v>
      </c>
      <c r="L257" s="145" t="s">
        <v>172</v>
      </c>
      <c r="M257" s="143" t="s">
        <v>6709</v>
      </c>
    </row>
    <row r="258" spans="1:13">
      <c r="A258" s="27" t="s">
        <v>6705</v>
      </c>
      <c r="B258" s="141" t="s">
        <v>7214</v>
      </c>
      <c r="C258" s="141" t="s">
        <v>6707</v>
      </c>
      <c r="D258" s="142" t="s">
        <v>7215</v>
      </c>
      <c r="E258" s="143">
        <v>1</v>
      </c>
      <c r="F258" s="143" t="s">
        <v>168</v>
      </c>
      <c r="G258" s="143" t="s">
        <v>26</v>
      </c>
      <c r="H258" s="143" t="s">
        <v>26</v>
      </c>
      <c r="I258" s="143" t="s">
        <v>176</v>
      </c>
      <c r="J258" s="143" t="s">
        <v>643</v>
      </c>
      <c r="K258" s="144">
        <v>17400</v>
      </c>
      <c r="L258" s="145" t="s">
        <v>172</v>
      </c>
      <c r="M258" s="143" t="s">
        <v>6709</v>
      </c>
    </row>
    <row r="259" spans="1:13">
      <c r="A259" s="27" t="s">
        <v>6705</v>
      </c>
      <c r="B259" s="141" t="s">
        <v>7216</v>
      </c>
      <c r="C259" s="141" t="s">
        <v>6707</v>
      </c>
      <c r="D259" s="142" t="s">
        <v>7217</v>
      </c>
      <c r="E259" s="143">
        <v>1</v>
      </c>
      <c r="F259" s="143" t="s">
        <v>168</v>
      </c>
      <c r="G259" s="143" t="s">
        <v>26</v>
      </c>
      <c r="H259" s="143" t="s">
        <v>26</v>
      </c>
      <c r="I259" s="143" t="s">
        <v>176</v>
      </c>
      <c r="J259" s="143" t="s">
        <v>643</v>
      </c>
      <c r="K259" s="144">
        <v>34800</v>
      </c>
      <c r="L259" s="145" t="s">
        <v>172</v>
      </c>
      <c r="M259" s="143" t="s">
        <v>6709</v>
      </c>
    </row>
    <row r="260" spans="1:13">
      <c r="A260" s="27" t="s">
        <v>6705</v>
      </c>
      <c r="B260" s="141" t="s">
        <v>7218</v>
      </c>
      <c r="C260" s="141" t="s">
        <v>6707</v>
      </c>
      <c r="D260" s="142" t="s">
        <v>7219</v>
      </c>
      <c r="E260" s="143">
        <v>1</v>
      </c>
      <c r="F260" s="143" t="s">
        <v>168</v>
      </c>
      <c r="G260" s="143" t="s">
        <v>26</v>
      </c>
      <c r="H260" s="143" t="s">
        <v>26</v>
      </c>
      <c r="I260" s="143" t="s">
        <v>176</v>
      </c>
      <c r="J260" s="143" t="s">
        <v>643</v>
      </c>
      <c r="K260" s="144">
        <v>52200</v>
      </c>
      <c r="L260" s="145" t="s">
        <v>172</v>
      </c>
      <c r="M260" s="143" t="s">
        <v>6709</v>
      </c>
    </row>
    <row r="261" spans="1:13">
      <c r="A261" s="27" t="s">
        <v>6705</v>
      </c>
      <c r="B261" s="141" t="s">
        <v>7220</v>
      </c>
      <c r="C261" s="141" t="s">
        <v>6707</v>
      </c>
      <c r="D261" s="142" t="s">
        <v>7221</v>
      </c>
      <c r="E261" s="143">
        <v>1</v>
      </c>
      <c r="F261" s="143" t="s">
        <v>168</v>
      </c>
      <c r="G261" s="143" t="s">
        <v>26</v>
      </c>
      <c r="H261" s="143" t="s">
        <v>26</v>
      </c>
      <c r="I261" s="143" t="s">
        <v>176</v>
      </c>
      <c r="J261" s="143" t="s">
        <v>643</v>
      </c>
      <c r="K261" s="144">
        <v>69600</v>
      </c>
      <c r="L261" s="145" t="s">
        <v>172</v>
      </c>
      <c r="M261" s="143" t="s">
        <v>6709</v>
      </c>
    </row>
    <row r="262" spans="1:13">
      <c r="A262" s="27" t="s">
        <v>6705</v>
      </c>
      <c r="B262" s="141" t="s">
        <v>7222</v>
      </c>
      <c r="C262" s="141" t="s">
        <v>6707</v>
      </c>
      <c r="D262" s="142" t="s">
        <v>7223</v>
      </c>
      <c r="E262" s="143">
        <v>1</v>
      </c>
      <c r="F262" s="143" t="s">
        <v>168</v>
      </c>
      <c r="G262" s="143" t="s">
        <v>26</v>
      </c>
      <c r="H262" s="143" t="s">
        <v>26</v>
      </c>
      <c r="I262" s="143" t="s">
        <v>176</v>
      </c>
      <c r="J262" s="143" t="s">
        <v>643</v>
      </c>
      <c r="K262" s="144">
        <v>87000</v>
      </c>
      <c r="L262" s="145" t="s">
        <v>172</v>
      </c>
      <c r="M262" s="143" t="s">
        <v>6709</v>
      </c>
    </row>
    <row r="263" spans="1:13">
      <c r="A263" s="27" t="s">
        <v>6705</v>
      </c>
      <c r="B263" s="141" t="s">
        <v>7224</v>
      </c>
      <c r="C263" s="141" t="s">
        <v>6707</v>
      </c>
      <c r="D263" s="142" t="s">
        <v>7225</v>
      </c>
      <c r="E263" s="143">
        <v>1</v>
      </c>
      <c r="F263" s="143" t="s">
        <v>168</v>
      </c>
      <c r="G263" s="143" t="s">
        <v>26</v>
      </c>
      <c r="H263" s="143" t="s">
        <v>26</v>
      </c>
      <c r="I263" s="143" t="s">
        <v>176</v>
      </c>
      <c r="J263" s="143" t="s">
        <v>643</v>
      </c>
      <c r="K263" s="144">
        <v>48000</v>
      </c>
      <c r="L263" s="145" t="s">
        <v>172</v>
      </c>
      <c r="M263" s="143" t="s">
        <v>6709</v>
      </c>
    </row>
    <row r="264" spans="1:13">
      <c r="A264" s="27" t="s">
        <v>6705</v>
      </c>
      <c r="B264" s="141" t="s">
        <v>7226</v>
      </c>
      <c r="C264" s="141" t="s">
        <v>6707</v>
      </c>
      <c r="D264" s="142" t="s">
        <v>7227</v>
      </c>
      <c r="E264" s="143">
        <v>1</v>
      </c>
      <c r="F264" s="143" t="s">
        <v>168</v>
      </c>
      <c r="G264" s="143" t="s">
        <v>26</v>
      </c>
      <c r="H264" s="143" t="s">
        <v>26</v>
      </c>
      <c r="I264" s="143" t="s">
        <v>176</v>
      </c>
      <c r="J264" s="143" t="s">
        <v>643</v>
      </c>
      <c r="K264" s="144">
        <v>96000</v>
      </c>
      <c r="L264" s="145" t="s">
        <v>172</v>
      </c>
      <c r="M264" s="143" t="s">
        <v>6709</v>
      </c>
    </row>
    <row r="265" spans="1:13">
      <c r="A265" s="27" t="s">
        <v>6705</v>
      </c>
      <c r="B265" s="141" t="s">
        <v>7228</v>
      </c>
      <c r="C265" s="141" t="s">
        <v>6707</v>
      </c>
      <c r="D265" s="142" t="s">
        <v>7229</v>
      </c>
      <c r="E265" s="143">
        <v>1</v>
      </c>
      <c r="F265" s="143" t="s">
        <v>168</v>
      </c>
      <c r="G265" s="143" t="s">
        <v>26</v>
      </c>
      <c r="H265" s="143" t="s">
        <v>26</v>
      </c>
      <c r="I265" s="143" t="s">
        <v>176</v>
      </c>
      <c r="J265" s="143" t="s">
        <v>643</v>
      </c>
      <c r="K265" s="144">
        <v>144000</v>
      </c>
      <c r="L265" s="145" t="s">
        <v>172</v>
      </c>
      <c r="M265" s="143" t="s">
        <v>6709</v>
      </c>
    </row>
    <row r="266" spans="1:13">
      <c r="A266" s="27" t="s">
        <v>6705</v>
      </c>
      <c r="B266" s="141" t="s">
        <v>7230</v>
      </c>
      <c r="C266" s="141" t="s">
        <v>6707</v>
      </c>
      <c r="D266" s="142" t="s">
        <v>7231</v>
      </c>
      <c r="E266" s="143">
        <v>1</v>
      </c>
      <c r="F266" s="143" t="s">
        <v>168</v>
      </c>
      <c r="G266" s="143" t="s">
        <v>26</v>
      </c>
      <c r="H266" s="143" t="s">
        <v>26</v>
      </c>
      <c r="I266" s="143" t="s">
        <v>176</v>
      </c>
      <c r="J266" s="143" t="s">
        <v>643</v>
      </c>
      <c r="K266" s="144">
        <v>192000</v>
      </c>
      <c r="L266" s="145" t="s">
        <v>172</v>
      </c>
      <c r="M266" s="143" t="s">
        <v>6709</v>
      </c>
    </row>
    <row r="267" spans="1:13">
      <c r="A267" s="27" t="s">
        <v>6705</v>
      </c>
      <c r="B267" s="141" t="s">
        <v>7232</v>
      </c>
      <c r="C267" s="141" t="s">
        <v>6707</v>
      </c>
      <c r="D267" s="142" t="s">
        <v>7233</v>
      </c>
      <c r="E267" s="143">
        <v>1</v>
      </c>
      <c r="F267" s="143" t="s">
        <v>168</v>
      </c>
      <c r="G267" s="143" t="s">
        <v>26</v>
      </c>
      <c r="H267" s="143" t="s">
        <v>26</v>
      </c>
      <c r="I267" s="143" t="s">
        <v>176</v>
      </c>
      <c r="J267" s="143" t="s">
        <v>643</v>
      </c>
      <c r="K267" s="144">
        <v>240000</v>
      </c>
      <c r="L267" s="145" t="s">
        <v>172</v>
      </c>
      <c r="M267" s="143" t="s">
        <v>6709</v>
      </c>
    </row>
    <row r="268" spans="1:13">
      <c r="A268" s="27" t="s">
        <v>6705</v>
      </c>
      <c r="B268" s="141" t="s">
        <v>7234</v>
      </c>
      <c r="C268" s="141" t="s">
        <v>6707</v>
      </c>
      <c r="D268" s="142" t="s">
        <v>7235</v>
      </c>
      <c r="E268" s="143">
        <v>1</v>
      </c>
      <c r="F268" s="143" t="s">
        <v>168</v>
      </c>
      <c r="G268" s="143" t="s">
        <v>26</v>
      </c>
      <c r="H268" s="143" t="s">
        <v>26</v>
      </c>
      <c r="I268" s="143" t="s">
        <v>176</v>
      </c>
      <c r="J268" s="143" t="s">
        <v>643</v>
      </c>
      <c r="K268" s="144">
        <v>580</v>
      </c>
      <c r="L268" s="145" t="s">
        <v>172</v>
      </c>
      <c r="M268" s="143" t="s">
        <v>6709</v>
      </c>
    </row>
    <row r="269" spans="1:13">
      <c r="A269" s="27" t="s">
        <v>6705</v>
      </c>
      <c r="B269" s="141" t="s">
        <v>7236</v>
      </c>
      <c r="C269" s="141" t="s">
        <v>6707</v>
      </c>
      <c r="D269" s="142" t="s">
        <v>7237</v>
      </c>
      <c r="E269" s="143">
        <v>1</v>
      </c>
      <c r="F269" s="143" t="s">
        <v>168</v>
      </c>
      <c r="G269" s="143" t="s">
        <v>26</v>
      </c>
      <c r="H269" s="143" t="s">
        <v>26</v>
      </c>
      <c r="I269" s="143" t="s">
        <v>176</v>
      </c>
      <c r="J269" s="143" t="s">
        <v>643</v>
      </c>
      <c r="K269" s="144">
        <v>580</v>
      </c>
      <c r="L269" s="145" t="s">
        <v>172</v>
      </c>
      <c r="M269" s="143" t="s">
        <v>6709</v>
      </c>
    </row>
    <row r="270" spans="1:13">
      <c r="A270" s="27" t="s">
        <v>6705</v>
      </c>
      <c r="B270" s="141" t="s">
        <v>7238</v>
      </c>
      <c r="C270" s="141" t="s">
        <v>6707</v>
      </c>
      <c r="D270" s="142" t="s">
        <v>7239</v>
      </c>
      <c r="E270" s="143">
        <v>1</v>
      </c>
      <c r="F270" s="143" t="s">
        <v>168</v>
      </c>
      <c r="G270" s="143" t="s">
        <v>26</v>
      </c>
      <c r="H270" s="143" t="s">
        <v>26</v>
      </c>
      <c r="I270" s="143" t="s">
        <v>176</v>
      </c>
      <c r="J270" s="143" t="s">
        <v>643</v>
      </c>
      <c r="K270" s="144">
        <v>1450</v>
      </c>
      <c r="L270" s="145" t="s">
        <v>172</v>
      </c>
      <c r="M270" s="143" t="s">
        <v>6709</v>
      </c>
    </row>
    <row r="271" spans="1:13">
      <c r="A271" s="27" t="s">
        <v>6705</v>
      </c>
      <c r="B271" s="141" t="s">
        <v>7240</v>
      </c>
      <c r="C271" s="141" t="s">
        <v>6707</v>
      </c>
      <c r="D271" s="142" t="s">
        <v>7241</v>
      </c>
      <c r="E271" s="143">
        <v>1</v>
      </c>
      <c r="F271" s="143" t="s">
        <v>168</v>
      </c>
      <c r="G271" s="143" t="s">
        <v>26</v>
      </c>
      <c r="H271" s="143" t="s">
        <v>26</v>
      </c>
      <c r="I271" s="143" t="s">
        <v>176</v>
      </c>
      <c r="J271" s="143" t="s">
        <v>643</v>
      </c>
      <c r="K271" s="144">
        <v>1450</v>
      </c>
      <c r="L271" s="145" t="s">
        <v>172</v>
      </c>
      <c r="M271" s="143" t="s">
        <v>6709</v>
      </c>
    </row>
    <row r="272" spans="1:13">
      <c r="A272" s="27" t="s">
        <v>6705</v>
      </c>
      <c r="B272" s="141" t="s">
        <v>7242</v>
      </c>
      <c r="C272" s="141" t="s">
        <v>6707</v>
      </c>
      <c r="D272" s="142" t="s">
        <v>7243</v>
      </c>
      <c r="E272" s="143">
        <v>1</v>
      </c>
      <c r="F272" s="143" t="s">
        <v>168</v>
      </c>
      <c r="G272" s="143" t="s">
        <v>26</v>
      </c>
      <c r="H272" s="143" t="s">
        <v>26</v>
      </c>
      <c r="I272" s="143" t="s">
        <v>176</v>
      </c>
      <c r="J272" s="143" t="s">
        <v>643</v>
      </c>
      <c r="K272" s="144">
        <v>4000</v>
      </c>
      <c r="L272" s="145" t="s">
        <v>172</v>
      </c>
      <c r="M272" s="143" t="s">
        <v>6709</v>
      </c>
    </row>
    <row r="273" spans="1:13">
      <c r="A273" s="27" t="s">
        <v>6705</v>
      </c>
      <c r="B273" s="141" t="s">
        <v>7244</v>
      </c>
      <c r="C273" s="141" t="s">
        <v>6707</v>
      </c>
      <c r="D273" s="142" t="s">
        <v>7245</v>
      </c>
      <c r="E273" s="143">
        <v>1</v>
      </c>
      <c r="F273" s="143" t="s">
        <v>168</v>
      </c>
      <c r="G273" s="143" t="s">
        <v>26</v>
      </c>
      <c r="H273" s="143" t="s">
        <v>26</v>
      </c>
      <c r="I273" s="143" t="s">
        <v>176</v>
      </c>
      <c r="J273" s="143" t="s">
        <v>643</v>
      </c>
      <c r="K273" s="144">
        <v>4000</v>
      </c>
      <c r="L273" s="145" t="s">
        <v>172</v>
      </c>
      <c r="M273" s="143" t="s">
        <v>6709</v>
      </c>
    </row>
    <row r="274" spans="1:13">
      <c r="A274" s="27" t="s">
        <v>6705</v>
      </c>
      <c r="B274" s="141" t="s">
        <v>7246</v>
      </c>
      <c r="C274" s="141" t="s">
        <v>6707</v>
      </c>
      <c r="D274" s="142" t="s">
        <v>7247</v>
      </c>
      <c r="E274" s="143">
        <v>1</v>
      </c>
      <c r="F274" s="143" t="s">
        <v>168</v>
      </c>
      <c r="G274" s="143" t="s">
        <v>26</v>
      </c>
      <c r="H274" s="143" t="s">
        <v>26</v>
      </c>
      <c r="I274" s="143" t="s">
        <v>176</v>
      </c>
      <c r="J274" s="143" t="s">
        <v>643</v>
      </c>
      <c r="K274" s="144">
        <v>4800</v>
      </c>
      <c r="L274" s="145" t="s">
        <v>172</v>
      </c>
      <c r="M274" s="143" t="s">
        <v>6709</v>
      </c>
    </row>
    <row r="275" spans="1:13">
      <c r="A275" s="27" t="s">
        <v>6705</v>
      </c>
      <c r="B275" s="141" t="s">
        <v>7248</v>
      </c>
      <c r="C275" s="141" t="s">
        <v>6707</v>
      </c>
      <c r="D275" s="142" t="s">
        <v>7249</v>
      </c>
      <c r="E275" s="143">
        <v>1</v>
      </c>
      <c r="F275" s="143" t="s">
        <v>168</v>
      </c>
      <c r="G275" s="143" t="s">
        <v>26</v>
      </c>
      <c r="H275" s="143" t="s">
        <v>26</v>
      </c>
      <c r="I275" s="143" t="s">
        <v>176</v>
      </c>
      <c r="J275" s="143" t="s">
        <v>643</v>
      </c>
      <c r="K275" s="144">
        <v>8352</v>
      </c>
      <c r="L275" s="145" t="s">
        <v>172</v>
      </c>
      <c r="M275" s="143" t="s">
        <v>6709</v>
      </c>
    </row>
    <row r="276" spans="1:13">
      <c r="A276" s="27" t="s">
        <v>6705</v>
      </c>
      <c r="B276" s="141" t="s">
        <v>7250</v>
      </c>
      <c r="C276" s="141" t="s">
        <v>6707</v>
      </c>
      <c r="D276" s="142" t="s">
        <v>7251</v>
      </c>
      <c r="E276" s="143">
        <v>1</v>
      </c>
      <c r="F276" s="143" t="s">
        <v>168</v>
      </c>
      <c r="G276" s="143" t="s">
        <v>26</v>
      </c>
      <c r="H276" s="143" t="s">
        <v>26</v>
      </c>
      <c r="I276" s="143" t="s">
        <v>176</v>
      </c>
      <c r="J276" s="143" t="s">
        <v>643</v>
      </c>
      <c r="K276" s="144">
        <v>1740</v>
      </c>
      <c r="L276" s="145" t="s">
        <v>172</v>
      </c>
      <c r="M276" s="143" t="s">
        <v>6709</v>
      </c>
    </row>
    <row r="277" spans="1:13">
      <c r="A277" s="27" t="s">
        <v>6705</v>
      </c>
      <c r="B277" s="141" t="s">
        <v>7252</v>
      </c>
      <c r="C277" s="141" t="s">
        <v>6707</v>
      </c>
      <c r="D277" s="142" t="s">
        <v>7253</v>
      </c>
      <c r="E277" s="143">
        <v>1</v>
      </c>
      <c r="F277" s="143" t="s">
        <v>168</v>
      </c>
      <c r="G277" s="143" t="s">
        <v>26</v>
      </c>
      <c r="H277" s="143" t="s">
        <v>26</v>
      </c>
      <c r="I277" s="143" t="s">
        <v>176</v>
      </c>
      <c r="J277" s="143" t="s">
        <v>643</v>
      </c>
      <c r="K277" s="144">
        <v>696</v>
      </c>
      <c r="L277" s="145" t="s">
        <v>172</v>
      </c>
      <c r="M277" s="143" t="s">
        <v>6709</v>
      </c>
    </row>
    <row r="278" spans="1:13">
      <c r="A278" s="27" t="s">
        <v>6705</v>
      </c>
      <c r="B278" s="141" t="s">
        <v>7254</v>
      </c>
      <c r="C278" s="141" t="s">
        <v>6707</v>
      </c>
      <c r="D278" s="142" t="s">
        <v>7255</v>
      </c>
      <c r="E278" s="143">
        <v>1</v>
      </c>
      <c r="F278" s="143" t="s">
        <v>168</v>
      </c>
      <c r="G278" s="143" t="s">
        <v>26</v>
      </c>
      <c r="H278" s="143" t="s">
        <v>26</v>
      </c>
      <c r="I278" s="143" t="s">
        <v>176</v>
      </c>
      <c r="J278" s="143" t="s">
        <v>643</v>
      </c>
      <c r="K278" s="144">
        <v>16704</v>
      </c>
      <c r="L278" s="145" t="s">
        <v>172</v>
      </c>
      <c r="M278" s="143" t="s">
        <v>6709</v>
      </c>
    </row>
    <row r="279" spans="1:13">
      <c r="A279" s="27" t="s">
        <v>6705</v>
      </c>
      <c r="B279" s="141" t="s">
        <v>7256</v>
      </c>
      <c r="C279" s="141" t="s">
        <v>6707</v>
      </c>
      <c r="D279" s="142" t="s">
        <v>7257</v>
      </c>
      <c r="E279" s="143">
        <v>1</v>
      </c>
      <c r="F279" s="143" t="s">
        <v>168</v>
      </c>
      <c r="G279" s="143" t="s">
        <v>26</v>
      </c>
      <c r="H279" s="143" t="s">
        <v>26</v>
      </c>
      <c r="I279" s="143" t="s">
        <v>176</v>
      </c>
      <c r="J279" s="143" t="s">
        <v>643</v>
      </c>
      <c r="K279" s="144">
        <v>4800</v>
      </c>
      <c r="L279" s="145" t="s">
        <v>172</v>
      </c>
      <c r="M279" s="143" t="s">
        <v>6709</v>
      </c>
    </row>
    <row r="280" spans="1:13">
      <c r="A280" s="27" t="s">
        <v>6705</v>
      </c>
      <c r="B280" s="141" t="s">
        <v>7258</v>
      </c>
      <c r="C280" s="141" t="s">
        <v>6707</v>
      </c>
      <c r="D280" s="142" t="s">
        <v>7259</v>
      </c>
      <c r="E280" s="143">
        <v>1</v>
      </c>
      <c r="F280" s="143" t="s">
        <v>168</v>
      </c>
      <c r="G280" s="143" t="s">
        <v>26</v>
      </c>
      <c r="H280" s="143" t="s">
        <v>26</v>
      </c>
      <c r="I280" s="143" t="s">
        <v>176</v>
      </c>
      <c r="J280" s="143" t="s">
        <v>643</v>
      </c>
      <c r="K280" s="144">
        <v>25056</v>
      </c>
      <c r="L280" s="145" t="s">
        <v>172</v>
      </c>
      <c r="M280" s="143" t="s">
        <v>6709</v>
      </c>
    </row>
    <row r="281" spans="1:13">
      <c r="A281" s="27" t="s">
        <v>6705</v>
      </c>
      <c r="B281" s="141" t="s">
        <v>7260</v>
      </c>
      <c r="C281" s="141" t="s">
        <v>6707</v>
      </c>
      <c r="D281" s="142" t="s">
        <v>7261</v>
      </c>
      <c r="E281" s="143">
        <v>1</v>
      </c>
      <c r="F281" s="143" t="s">
        <v>168</v>
      </c>
      <c r="G281" s="143" t="s">
        <v>26</v>
      </c>
      <c r="H281" s="143" t="s">
        <v>26</v>
      </c>
      <c r="I281" s="143" t="s">
        <v>176</v>
      </c>
      <c r="J281" s="143" t="s">
        <v>643</v>
      </c>
      <c r="K281" s="144">
        <v>1740</v>
      </c>
      <c r="L281" s="145" t="s">
        <v>172</v>
      </c>
      <c r="M281" s="143" t="s">
        <v>6709</v>
      </c>
    </row>
    <row r="282" spans="1:13">
      <c r="A282" s="27" t="s">
        <v>6705</v>
      </c>
      <c r="B282" s="141" t="s">
        <v>7262</v>
      </c>
      <c r="C282" s="141" t="s">
        <v>6707</v>
      </c>
      <c r="D282" s="142" t="s">
        <v>7263</v>
      </c>
      <c r="E282" s="143">
        <v>1</v>
      </c>
      <c r="F282" s="143" t="s">
        <v>168</v>
      </c>
      <c r="G282" s="143" t="s">
        <v>26</v>
      </c>
      <c r="H282" s="143" t="s">
        <v>26</v>
      </c>
      <c r="I282" s="143" t="s">
        <v>176</v>
      </c>
      <c r="J282" s="143" t="s">
        <v>643</v>
      </c>
      <c r="K282" s="144">
        <v>33408</v>
      </c>
      <c r="L282" s="145" t="s">
        <v>172</v>
      </c>
      <c r="M282" s="143" t="s">
        <v>6709</v>
      </c>
    </row>
    <row r="283" spans="1:13">
      <c r="A283" s="27" t="s">
        <v>6705</v>
      </c>
      <c r="B283" s="141" t="s">
        <v>7264</v>
      </c>
      <c r="C283" s="141" t="s">
        <v>6707</v>
      </c>
      <c r="D283" s="142" t="s">
        <v>7265</v>
      </c>
      <c r="E283" s="143">
        <v>1</v>
      </c>
      <c r="F283" s="143" t="s">
        <v>168</v>
      </c>
      <c r="G283" s="143" t="s">
        <v>26</v>
      </c>
      <c r="H283" s="143" t="s">
        <v>26</v>
      </c>
      <c r="I283" s="143" t="s">
        <v>176</v>
      </c>
      <c r="J283" s="143" t="s">
        <v>643</v>
      </c>
      <c r="K283" s="144">
        <v>41760</v>
      </c>
      <c r="L283" s="145" t="s">
        <v>172</v>
      </c>
      <c r="M283" s="143" t="s">
        <v>6709</v>
      </c>
    </row>
    <row r="284" spans="1:13">
      <c r="A284" s="27" t="s">
        <v>6705</v>
      </c>
      <c r="B284" s="141" t="s">
        <v>7266</v>
      </c>
      <c r="C284" s="141" t="s">
        <v>6707</v>
      </c>
      <c r="D284" s="142" t="s">
        <v>7267</v>
      </c>
      <c r="E284" s="143">
        <v>1</v>
      </c>
      <c r="F284" s="143" t="s">
        <v>168</v>
      </c>
      <c r="G284" s="143" t="s">
        <v>26</v>
      </c>
      <c r="H284" s="143" t="s">
        <v>26</v>
      </c>
      <c r="I284" s="143" t="s">
        <v>176</v>
      </c>
      <c r="J284" s="143" t="s">
        <v>643</v>
      </c>
      <c r="K284" s="144">
        <v>696</v>
      </c>
      <c r="L284" s="145" t="s">
        <v>172</v>
      </c>
      <c r="M284" s="143" t="s">
        <v>6709</v>
      </c>
    </row>
    <row r="285" spans="1:13">
      <c r="A285" s="27" t="s">
        <v>6705</v>
      </c>
      <c r="B285" s="141" t="s">
        <v>7268</v>
      </c>
      <c r="C285" s="141" t="s">
        <v>6707</v>
      </c>
      <c r="D285" s="142" t="s">
        <v>7269</v>
      </c>
      <c r="E285" s="143">
        <v>1</v>
      </c>
      <c r="F285" s="143" t="s">
        <v>168</v>
      </c>
      <c r="G285" s="143" t="s">
        <v>26</v>
      </c>
      <c r="H285" s="143" t="s">
        <v>26</v>
      </c>
      <c r="I285" s="143" t="s">
        <v>176</v>
      </c>
      <c r="J285" s="143" t="s">
        <v>643</v>
      </c>
      <c r="K285" s="144">
        <v>20880</v>
      </c>
      <c r="L285" s="145" t="s">
        <v>172</v>
      </c>
      <c r="M285" s="143" t="s">
        <v>6709</v>
      </c>
    </row>
    <row r="286" spans="1:13">
      <c r="A286" s="27" t="s">
        <v>6705</v>
      </c>
      <c r="B286" s="141" t="s">
        <v>7270</v>
      </c>
      <c r="C286" s="141" t="s">
        <v>6707</v>
      </c>
      <c r="D286" s="142" t="s">
        <v>7271</v>
      </c>
      <c r="E286" s="143">
        <v>1</v>
      </c>
      <c r="F286" s="143" t="s">
        <v>168</v>
      </c>
      <c r="G286" s="143" t="s">
        <v>26</v>
      </c>
      <c r="H286" s="143" t="s">
        <v>26</v>
      </c>
      <c r="I286" s="143" t="s">
        <v>176</v>
      </c>
      <c r="J286" s="143" t="s">
        <v>643</v>
      </c>
      <c r="K286" s="144">
        <v>288000</v>
      </c>
      <c r="L286" s="145" t="s">
        <v>172</v>
      </c>
      <c r="M286" s="143" t="s">
        <v>6709</v>
      </c>
    </row>
    <row r="287" spans="1:13">
      <c r="A287" s="27" t="s">
        <v>6705</v>
      </c>
      <c r="B287" s="141" t="s">
        <v>7272</v>
      </c>
      <c r="C287" s="141" t="s">
        <v>6707</v>
      </c>
      <c r="D287" s="142" t="s">
        <v>7273</v>
      </c>
      <c r="E287" s="143">
        <v>1</v>
      </c>
      <c r="F287" s="143" t="s">
        <v>168</v>
      </c>
      <c r="G287" s="143" t="s">
        <v>26</v>
      </c>
      <c r="H287" s="143" t="s">
        <v>26</v>
      </c>
      <c r="I287" s="143" t="s">
        <v>176</v>
      </c>
      <c r="J287" s="143" t="s">
        <v>643</v>
      </c>
      <c r="K287" s="144">
        <v>41760</v>
      </c>
      <c r="L287" s="145" t="s">
        <v>172</v>
      </c>
      <c r="M287" s="143" t="s">
        <v>6709</v>
      </c>
    </row>
    <row r="288" spans="1:13">
      <c r="A288" s="27" t="s">
        <v>6705</v>
      </c>
      <c r="B288" s="141" t="s">
        <v>7274</v>
      </c>
      <c r="C288" s="141" t="s">
        <v>6707</v>
      </c>
      <c r="D288" s="142" t="s">
        <v>7275</v>
      </c>
      <c r="E288" s="143">
        <v>1</v>
      </c>
      <c r="F288" s="143" t="s">
        <v>168</v>
      </c>
      <c r="G288" s="143" t="s">
        <v>26</v>
      </c>
      <c r="H288" s="143" t="s">
        <v>26</v>
      </c>
      <c r="I288" s="143" t="s">
        <v>176</v>
      </c>
      <c r="J288" s="143" t="s">
        <v>643</v>
      </c>
      <c r="K288" s="144">
        <v>230400</v>
      </c>
      <c r="L288" s="145" t="s">
        <v>172</v>
      </c>
      <c r="M288" s="143" t="s">
        <v>6709</v>
      </c>
    </row>
    <row r="289" spans="1:13">
      <c r="A289" s="27" t="s">
        <v>6705</v>
      </c>
      <c r="B289" s="141" t="s">
        <v>7276</v>
      </c>
      <c r="C289" s="141" t="s">
        <v>6707</v>
      </c>
      <c r="D289" s="142" t="s">
        <v>7277</v>
      </c>
      <c r="E289" s="143">
        <v>1</v>
      </c>
      <c r="F289" s="143" t="s">
        <v>168</v>
      </c>
      <c r="G289" s="143" t="s">
        <v>26</v>
      </c>
      <c r="H289" s="143" t="s">
        <v>26</v>
      </c>
      <c r="I289" s="143" t="s">
        <v>176</v>
      </c>
      <c r="J289" s="143" t="s">
        <v>643</v>
      </c>
      <c r="K289" s="144">
        <v>62640</v>
      </c>
      <c r="L289" s="145" t="s">
        <v>172</v>
      </c>
      <c r="M289" s="143" t="s">
        <v>6709</v>
      </c>
    </row>
    <row r="290" spans="1:13">
      <c r="A290" s="27" t="s">
        <v>6705</v>
      </c>
      <c r="B290" s="141" t="s">
        <v>7278</v>
      </c>
      <c r="C290" s="141" t="s">
        <v>6707</v>
      </c>
      <c r="D290" s="142" t="s">
        <v>7279</v>
      </c>
      <c r="E290" s="143">
        <v>1</v>
      </c>
      <c r="F290" s="143" t="s">
        <v>168</v>
      </c>
      <c r="G290" s="143" t="s">
        <v>26</v>
      </c>
      <c r="H290" s="143" t="s">
        <v>26</v>
      </c>
      <c r="I290" s="143" t="s">
        <v>176</v>
      </c>
      <c r="J290" s="143" t="s">
        <v>643</v>
      </c>
      <c r="K290" s="144">
        <v>172800</v>
      </c>
      <c r="L290" s="145" t="s">
        <v>172</v>
      </c>
      <c r="M290" s="143" t="s">
        <v>6709</v>
      </c>
    </row>
    <row r="291" spans="1:13">
      <c r="A291" s="27" t="s">
        <v>6705</v>
      </c>
      <c r="B291" s="141" t="s">
        <v>7280</v>
      </c>
      <c r="C291" s="141" t="s">
        <v>6707</v>
      </c>
      <c r="D291" s="142" t="s">
        <v>7281</v>
      </c>
      <c r="E291" s="143">
        <v>1</v>
      </c>
      <c r="F291" s="143" t="s">
        <v>168</v>
      </c>
      <c r="G291" s="143" t="s">
        <v>26</v>
      </c>
      <c r="H291" s="143" t="s">
        <v>26</v>
      </c>
      <c r="I291" s="143" t="s">
        <v>176</v>
      </c>
      <c r="J291" s="143" t="s">
        <v>643</v>
      </c>
      <c r="K291" s="144">
        <v>115200</v>
      </c>
      <c r="L291" s="145" t="s">
        <v>172</v>
      </c>
      <c r="M291" s="143" t="s">
        <v>6709</v>
      </c>
    </row>
    <row r="292" spans="1:13">
      <c r="A292" s="27" t="s">
        <v>6705</v>
      </c>
      <c r="B292" s="141" t="s">
        <v>7282</v>
      </c>
      <c r="C292" s="141" t="s">
        <v>6707</v>
      </c>
      <c r="D292" s="142" t="s">
        <v>7283</v>
      </c>
      <c r="E292" s="143">
        <v>1</v>
      </c>
      <c r="F292" s="143" t="s">
        <v>168</v>
      </c>
      <c r="G292" s="143" t="s">
        <v>26</v>
      </c>
      <c r="H292" s="143" t="s">
        <v>26</v>
      </c>
      <c r="I292" s="143" t="s">
        <v>176</v>
      </c>
      <c r="J292" s="143" t="s">
        <v>643</v>
      </c>
      <c r="K292" s="144">
        <v>83520</v>
      </c>
      <c r="L292" s="145" t="s">
        <v>172</v>
      </c>
      <c r="M292" s="143" t="s">
        <v>6709</v>
      </c>
    </row>
    <row r="293" spans="1:13">
      <c r="A293" s="27" t="s">
        <v>6705</v>
      </c>
      <c r="B293" s="141" t="s">
        <v>7284</v>
      </c>
      <c r="C293" s="141" t="s">
        <v>6707</v>
      </c>
      <c r="D293" s="142" t="s">
        <v>7285</v>
      </c>
      <c r="E293" s="143">
        <v>1</v>
      </c>
      <c r="F293" s="143" t="s">
        <v>168</v>
      </c>
      <c r="G293" s="143" t="s">
        <v>26</v>
      </c>
      <c r="H293" s="143" t="s">
        <v>26</v>
      </c>
      <c r="I293" s="143" t="s">
        <v>176</v>
      </c>
      <c r="J293" s="143" t="s">
        <v>643</v>
      </c>
      <c r="K293" s="144">
        <v>57600</v>
      </c>
      <c r="L293" s="145" t="s">
        <v>172</v>
      </c>
      <c r="M293" s="143" t="s">
        <v>6709</v>
      </c>
    </row>
    <row r="294" spans="1:13">
      <c r="A294" s="27" t="s">
        <v>6705</v>
      </c>
      <c r="B294" s="141" t="s">
        <v>7286</v>
      </c>
      <c r="C294" s="141" t="s">
        <v>6707</v>
      </c>
      <c r="D294" s="142" t="s">
        <v>7287</v>
      </c>
      <c r="E294" s="143">
        <v>1</v>
      </c>
      <c r="F294" s="143" t="s">
        <v>168</v>
      </c>
      <c r="G294" s="143" t="s">
        <v>26</v>
      </c>
      <c r="H294" s="143" t="s">
        <v>26</v>
      </c>
      <c r="I294" s="143" t="s">
        <v>176</v>
      </c>
      <c r="J294" s="143" t="s">
        <v>643</v>
      </c>
      <c r="K294" s="144">
        <v>104400</v>
      </c>
      <c r="L294" s="145" t="s">
        <v>172</v>
      </c>
      <c r="M294" s="143" t="s">
        <v>6709</v>
      </c>
    </row>
    <row r="295" spans="1:13">
      <c r="A295" s="27" t="s">
        <v>6705</v>
      </c>
      <c r="B295" s="141" t="s">
        <v>7288</v>
      </c>
      <c r="C295" s="141" t="s">
        <v>6707</v>
      </c>
      <c r="D295" s="142" t="s">
        <v>7289</v>
      </c>
      <c r="E295" s="143">
        <v>1</v>
      </c>
      <c r="F295" s="143" t="s">
        <v>168</v>
      </c>
      <c r="G295" s="143" t="s">
        <v>26</v>
      </c>
      <c r="H295" s="143" t="s">
        <v>26</v>
      </c>
      <c r="I295" s="143" t="s">
        <v>176</v>
      </c>
      <c r="J295" s="143" t="s">
        <v>643</v>
      </c>
      <c r="K295" s="144">
        <v>10799</v>
      </c>
      <c r="L295" s="145" t="s">
        <v>172</v>
      </c>
      <c r="M295" s="143" t="s">
        <v>6709</v>
      </c>
    </row>
    <row r="296" spans="1:13">
      <c r="A296" s="27" t="s">
        <v>6705</v>
      </c>
      <c r="B296" s="141" t="s">
        <v>7290</v>
      </c>
      <c r="C296" s="141" t="s">
        <v>6707</v>
      </c>
      <c r="D296" s="142" t="s">
        <v>7291</v>
      </c>
      <c r="E296" s="143">
        <v>1</v>
      </c>
      <c r="F296" s="143" t="s">
        <v>168</v>
      </c>
      <c r="G296" s="143" t="s">
        <v>26</v>
      </c>
      <c r="H296" s="143" t="s">
        <v>26</v>
      </c>
      <c r="I296" s="143" t="s">
        <v>176</v>
      </c>
      <c r="J296" s="143" t="s">
        <v>643</v>
      </c>
      <c r="K296" s="144">
        <v>8352</v>
      </c>
      <c r="L296" s="145" t="s">
        <v>172</v>
      </c>
      <c r="M296" s="143" t="s">
        <v>6709</v>
      </c>
    </row>
    <row r="297" spans="1:13">
      <c r="A297" s="27" t="s">
        <v>6705</v>
      </c>
      <c r="B297" s="141" t="s">
        <v>7292</v>
      </c>
      <c r="C297" s="141" t="s">
        <v>6707</v>
      </c>
      <c r="D297" s="142" t="s">
        <v>7293</v>
      </c>
      <c r="E297" s="143">
        <v>1</v>
      </c>
      <c r="F297" s="143" t="s">
        <v>168</v>
      </c>
      <c r="G297" s="143" t="s">
        <v>26</v>
      </c>
      <c r="H297" s="143" t="s">
        <v>26</v>
      </c>
      <c r="I297" s="143" t="s">
        <v>176</v>
      </c>
      <c r="J297" s="143" t="s">
        <v>643</v>
      </c>
      <c r="K297" s="144">
        <v>16704</v>
      </c>
      <c r="L297" s="145" t="s">
        <v>172</v>
      </c>
      <c r="M297" s="143" t="s">
        <v>6709</v>
      </c>
    </row>
    <row r="298" spans="1:13">
      <c r="A298" s="27" t="s">
        <v>6705</v>
      </c>
      <c r="B298" s="141" t="s">
        <v>7294</v>
      </c>
      <c r="C298" s="141" t="s">
        <v>6707</v>
      </c>
      <c r="D298" s="142" t="s">
        <v>7295</v>
      </c>
      <c r="E298" s="143">
        <v>1</v>
      </c>
      <c r="F298" s="143" t="s">
        <v>168</v>
      </c>
      <c r="G298" s="143" t="s">
        <v>26</v>
      </c>
      <c r="H298" s="143" t="s">
        <v>26</v>
      </c>
      <c r="I298" s="143" t="s">
        <v>176</v>
      </c>
      <c r="J298" s="143" t="s">
        <v>643</v>
      </c>
      <c r="K298" s="144">
        <v>25056</v>
      </c>
      <c r="L298" s="145" t="s">
        <v>172</v>
      </c>
      <c r="M298" s="143" t="s">
        <v>6709</v>
      </c>
    </row>
    <row r="299" spans="1:13">
      <c r="A299" s="27" t="s">
        <v>6705</v>
      </c>
      <c r="B299" s="141" t="s">
        <v>7296</v>
      </c>
      <c r="C299" s="141" t="s">
        <v>6707</v>
      </c>
      <c r="D299" s="142" t="s">
        <v>7297</v>
      </c>
      <c r="E299" s="143">
        <v>1</v>
      </c>
      <c r="F299" s="143" t="s">
        <v>168</v>
      </c>
      <c r="G299" s="143" t="s">
        <v>26</v>
      </c>
      <c r="H299" s="143" t="s">
        <v>26</v>
      </c>
      <c r="I299" s="143" t="s">
        <v>176</v>
      </c>
      <c r="J299" s="143" t="s">
        <v>643</v>
      </c>
      <c r="K299" s="144">
        <v>33408</v>
      </c>
      <c r="L299" s="145" t="s">
        <v>172</v>
      </c>
      <c r="M299" s="143" t="s">
        <v>6709</v>
      </c>
    </row>
    <row r="300" spans="1:13">
      <c r="A300" s="27" t="s">
        <v>6705</v>
      </c>
      <c r="B300" s="141" t="s">
        <v>7298</v>
      </c>
      <c r="C300" s="141" t="s">
        <v>6707</v>
      </c>
      <c r="D300" s="142" t="s">
        <v>7299</v>
      </c>
      <c r="E300" s="143">
        <v>1</v>
      </c>
      <c r="F300" s="143" t="s">
        <v>168</v>
      </c>
      <c r="G300" s="143" t="s">
        <v>26</v>
      </c>
      <c r="H300" s="143" t="s">
        <v>26</v>
      </c>
      <c r="I300" s="143" t="s">
        <v>176</v>
      </c>
      <c r="J300" s="143" t="s">
        <v>643</v>
      </c>
      <c r="K300" s="144">
        <v>41760</v>
      </c>
      <c r="L300" s="145" t="s">
        <v>172</v>
      </c>
      <c r="M300" s="143" t="s">
        <v>6709</v>
      </c>
    </row>
    <row r="301" spans="1:13">
      <c r="A301" s="27" t="s">
        <v>6705</v>
      </c>
      <c r="B301" s="141" t="s">
        <v>7300</v>
      </c>
      <c r="C301" s="141" t="s">
        <v>6707</v>
      </c>
      <c r="D301" s="142" t="s">
        <v>7301</v>
      </c>
      <c r="E301" s="143">
        <v>1</v>
      </c>
      <c r="F301" s="143" t="s">
        <v>168</v>
      </c>
      <c r="G301" s="143" t="s">
        <v>26</v>
      </c>
      <c r="H301" s="143" t="s">
        <v>26</v>
      </c>
      <c r="I301" s="143" t="s">
        <v>176</v>
      </c>
      <c r="J301" s="143" t="s">
        <v>643</v>
      </c>
      <c r="K301" s="144">
        <v>20880</v>
      </c>
      <c r="L301" s="145" t="s">
        <v>172</v>
      </c>
      <c r="M301" s="143" t="s">
        <v>6709</v>
      </c>
    </row>
    <row r="302" spans="1:13">
      <c r="A302" s="27" t="s">
        <v>6705</v>
      </c>
      <c r="B302" s="141" t="s">
        <v>7302</v>
      </c>
      <c r="C302" s="141" t="s">
        <v>6707</v>
      </c>
      <c r="D302" s="142" t="s">
        <v>7303</v>
      </c>
      <c r="E302" s="143">
        <v>1</v>
      </c>
      <c r="F302" s="143" t="s">
        <v>168</v>
      </c>
      <c r="G302" s="143" t="s">
        <v>26</v>
      </c>
      <c r="H302" s="143" t="s">
        <v>26</v>
      </c>
      <c r="I302" s="143" t="s">
        <v>176</v>
      </c>
      <c r="J302" s="143" t="s">
        <v>643</v>
      </c>
      <c r="K302" s="144">
        <v>41760</v>
      </c>
      <c r="L302" s="145" t="s">
        <v>172</v>
      </c>
      <c r="M302" s="143" t="s">
        <v>6709</v>
      </c>
    </row>
    <row r="303" spans="1:13">
      <c r="A303" s="27" t="s">
        <v>6705</v>
      </c>
      <c r="B303" s="141" t="s">
        <v>7304</v>
      </c>
      <c r="C303" s="141" t="s">
        <v>6707</v>
      </c>
      <c r="D303" s="142" t="s">
        <v>7305</v>
      </c>
      <c r="E303" s="143">
        <v>1</v>
      </c>
      <c r="F303" s="143" t="s">
        <v>168</v>
      </c>
      <c r="G303" s="143" t="s">
        <v>26</v>
      </c>
      <c r="H303" s="143" t="s">
        <v>26</v>
      </c>
      <c r="I303" s="143" t="s">
        <v>176</v>
      </c>
      <c r="J303" s="143" t="s">
        <v>643</v>
      </c>
      <c r="K303" s="144">
        <v>62640</v>
      </c>
      <c r="L303" s="145" t="s">
        <v>172</v>
      </c>
      <c r="M303" s="143" t="s">
        <v>6709</v>
      </c>
    </row>
    <row r="304" spans="1:13">
      <c r="A304" s="27" t="s">
        <v>6705</v>
      </c>
      <c r="B304" s="141" t="s">
        <v>7306</v>
      </c>
      <c r="C304" s="141" t="s">
        <v>6707</v>
      </c>
      <c r="D304" s="142" t="s">
        <v>7307</v>
      </c>
      <c r="E304" s="143">
        <v>1</v>
      </c>
      <c r="F304" s="143" t="s">
        <v>168</v>
      </c>
      <c r="G304" s="143" t="s">
        <v>26</v>
      </c>
      <c r="H304" s="143" t="s">
        <v>26</v>
      </c>
      <c r="I304" s="143" t="s">
        <v>176</v>
      </c>
      <c r="J304" s="143" t="s">
        <v>643</v>
      </c>
      <c r="K304" s="144">
        <v>83520</v>
      </c>
      <c r="L304" s="145" t="s">
        <v>172</v>
      </c>
      <c r="M304" s="143" t="s">
        <v>6709</v>
      </c>
    </row>
    <row r="305" spans="1:13">
      <c r="A305" s="27" t="s">
        <v>6705</v>
      </c>
      <c r="B305" s="141" t="s">
        <v>7308</v>
      </c>
      <c r="C305" s="141" t="s">
        <v>6707</v>
      </c>
      <c r="D305" s="142" t="s">
        <v>7309</v>
      </c>
      <c r="E305" s="143">
        <v>1</v>
      </c>
      <c r="F305" s="143" t="s">
        <v>168</v>
      </c>
      <c r="G305" s="143" t="s">
        <v>26</v>
      </c>
      <c r="H305" s="143" t="s">
        <v>26</v>
      </c>
      <c r="I305" s="143" t="s">
        <v>176</v>
      </c>
      <c r="J305" s="143" t="s">
        <v>643</v>
      </c>
      <c r="K305" s="144">
        <v>104400</v>
      </c>
      <c r="L305" s="145" t="s">
        <v>172</v>
      </c>
      <c r="M305" s="143" t="s">
        <v>6709</v>
      </c>
    </row>
    <row r="306" spans="1:13">
      <c r="A306" s="27" t="s">
        <v>6705</v>
      </c>
      <c r="B306" s="141" t="s">
        <v>7310</v>
      </c>
      <c r="C306" s="141" t="s">
        <v>6707</v>
      </c>
      <c r="D306" s="142" t="s">
        <v>7311</v>
      </c>
      <c r="E306" s="143">
        <v>1</v>
      </c>
      <c r="F306" s="143" t="s">
        <v>168</v>
      </c>
      <c r="G306" s="143" t="s">
        <v>26</v>
      </c>
      <c r="H306" s="143" t="s">
        <v>26</v>
      </c>
      <c r="I306" s="143" t="s">
        <v>176</v>
      </c>
      <c r="J306" s="143" t="s">
        <v>643</v>
      </c>
      <c r="K306" s="144">
        <v>57600</v>
      </c>
      <c r="L306" s="145" t="s">
        <v>172</v>
      </c>
      <c r="M306" s="143" t="s">
        <v>6709</v>
      </c>
    </row>
    <row r="307" spans="1:13">
      <c r="A307" s="27" t="s">
        <v>6705</v>
      </c>
      <c r="B307" s="141" t="s">
        <v>7312</v>
      </c>
      <c r="C307" s="141" t="s">
        <v>6707</v>
      </c>
      <c r="D307" s="142" t="s">
        <v>7313</v>
      </c>
      <c r="E307" s="143">
        <v>1</v>
      </c>
      <c r="F307" s="143" t="s">
        <v>168</v>
      </c>
      <c r="G307" s="143" t="s">
        <v>26</v>
      </c>
      <c r="H307" s="143" t="s">
        <v>26</v>
      </c>
      <c r="I307" s="143" t="s">
        <v>176</v>
      </c>
      <c r="J307" s="143" t="s">
        <v>643</v>
      </c>
      <c r="K307" s="144">
        <v>115200</v>
      </c>
      <c r="L307" s="145" t="s">
        <v>172</v>
      </c>
      <c r="M307" s="143" t="s">
        <v>6709</v>
      </c>
    </row>
    <row r="308" spans="1:13">
      <c r="A308" s="27" t="s">
        <v>6705</v>
      </c>
      <c r="B308" s="141" t="s">
        <v>7314</v>
      </c>
      <c r="C308" s="141" t="s">
        <v>6707</v>
      </c>
      <c r="D308" s="142" t="s">
        <v>7315</v>
      </c>
      <c r="E308" s="143">
        <v>1</v>
      </c>
      <c r="F308" s="143" t="s">
        <v>168</v>
      </c>
      <c r="G308" s="143" t="s">
        <v>26</v>
      </c>
      <c r="H308" s="143" t="s">
        <v>26</v>
      </c>
      <c r="I308" s="143" t="s">
        <v>176</v>
      </c>
      <c r="J308" s="143" t="s">
        <v>643</v>
      </c>
      <c r="K308" s="144">
        <v>172800</v>
      </c>
      <c r="L308" s="145" t="s">
        <v>172</v>
      </c>
      <c r="M308" s="143" t="s">
        <v>6709</v>
      </c>
    </row>
    <row r="309" spans="1:13">
      <c r="A309" s="27" t="s">
        <v>6705</v>
      </c>
      <c r="B309" s="141" t="s">
        <v>7316</v>
      </c>
      <c r="C309" s="141" t="s">
        <v>6707</v>
      </c>
      <c r="D309" s="142" t="s">
        <v>7317</v>
      </c>
      <c r="E309" s="143">
        <v>1</v>
      </c>
      <c r="F309" s="143" t="s">
        <v>168</v>
      </c>
      <c r="G309" s="143" t="s">
        <v>26</v>
      </c>
      <c r="H309" s="143" t="s">
        <v>26</v>
      </c>
      <c r="I309" s="143" t="s">
        <v>176</v>
      </c>
      <c r="J309" s="143" t="s">
        <v>643</v>
      </c>
      <c r="K309" s="144">
        <v>230400</v>
      </c>
      <c r="L309" s="145" t="s">
        <v>172</v>
      </c>
      <c r="M309" s="143" t="s">
        <v>6709</v>
      </c>
    </row>
    <row r="310" spans="1:13">
      <c r="A310" s="27" t="s">
        <v>6705</v>
      </c>
      <c r="B310" s="141" t="s">
        <v>7318</v>
      </c>
      <c r="C310" s="141" t="s">
        <v>6707</v>
      </c>
      <c r="D310" s="142" t="s">
        <v>7319</v>
      </c>
      <c r="E310" s="143">
        <v>1</v>
      </c>
      <c r="F310" s="143" t="s">
        <v>168</v>
      </c>
      <c r="G310" s="143" t="s">
        <v>26</v>
      </c>
      <c r="H310" s="143" t="s">
        <v>26</v>
      </c>
      <c r="I310" s="143" t="s">
        <v>176</v>
      </c>
      <c r="J310" s="143" t="s">
        <v>643</v>
      </c>
      <c r="K310" s="144">
        <v>288000</v>
      </c>
      <c r="L310" s="145" t="s">
        <v>172</v>
      </c>
      <c r="M310" s="143" t="s">
        <v>6709</v>
      </c>
    </row>
    <row r="311" spans="1:13">
      <c r="A311" s="27" t="s">
        <v>6705</v>
      </c>
      <c r="B311" s="141" t="s">
        <v>7320</v>
      </c>
      <c r="C311" s="141" t="s">
        <v>6707</v>
      </c>
      <c r="D311" s="142" t="s">
        <v>7321</v>
      </c>
      <c r="E311" s="143">
        <v>1</v>
      </c>
      <c r="F311" s="143" t="s">
        <v>168</v>
      </c>
      <c r="G311" s="143" t="s">
        <v>26</v>
      </c>
      <c r="H311" s="143" t="s">
        <v>26</v>
      </c>
      <c r="I311" s="143" t="s">
        <v>176</v>
      </c>
      <c r="J311" s="143" t="s">
        <v>643</v>
      </c>
      <c r="K311" s="144">
        <v>696</v>
      </c>
      <c r="L311" s="145" t="s">
        <v>172</v>
      </c>
      <c r="M311" s="143" t="s">
        <v>6709</v>
      </c>
    </row>
    <row r="312" spans="1:13">
      <c r="A312" s="27" t="s">
        <v>6705</v>
      </c>
      <c r="B312" s="141" t="s">
        <v>7322</v>
      </c>
      <c r="C312" s="141" t="s">
        <v>6707</v>
      </c>
      <c r="D312" s="142" t="s">
        <v>7323</v>
      </c>
      <c r="E312" s="143">
        <v>1</v>
      </c>
      <c r="F312" s="143" t="s">
        <v>168</v>
      </c>
      <c r="G312" s="143" t="s">
        <v>26</v>
      </c>
      <c r="H312" s="143" t="s">
        <v>26</v>
      </c>
      <c r="I312" s="143" t="s">
        <v>176</v>
      </c>
      <c r="J312" s="143" t="s">
        <v>643</v>
      </c>
      <c r="K312" s="144">
        <v>696</v>
      </c>
      <c r="L312" s="145" t="s">
        <v>172</v>
      </c>
      <c r="M312" s="143" t="s">
        <v>6709</v>
      </c>
    </row>
    <row r="313" spans="1:13">
      <c r="A313" s="27" t="s">
        <v>6705</v>
      </c>
      <c r="B313" s="141" t="s">
        <v>7324</v>
      </c>
      <c r="C313" s="141" t="s">
        <v>6707</v>
      </c>
      <c r="D313" s="142" t="s">
        <v>7325</v>
      </c>
      <c r="E313" s="143">
        <v>1</v>
      </c>
      <c r="F313" s="143" t="s">
        <v>168</v>
      </c>
      <c r="G313" s="143" t="s">
        <v>26</v>
      </c>
      <c r="H313" s="143" t="s">
        <v>26</v>
      </c>
      <c r="I313" s="143" t="s">
        <v>176</v>
      </c>
      <c r="J313" s="143" t="s">
        <v>643</v>
      </c>
      <c r="K313" s="144">
        <v>1740</v>
      </c>
      <c r="L313" s="145" t="s">
        <v>172</v>
      </c>
      <c r="M313" s="143" t="s">
        <v>6709</v>
      </c>
    </row>
    <row r="314" spans="1:13">
      <c r="A314" s="27" t="s">
        <v>6705</v>
      </c>
      <c r="B314" s="141" t="s">
        <v>7326</v>
      </c>
      <c r="C314" s="141" t="s">
        <v>6707</v>
      </c>
      <c r="D314" s="142" t="s">
        <v>7327</v>
      </c>
      <c r="E314" s="143">
        <v>1</v>
      </c>
      <c r="F314" s="143" t="s">
        <v>168</v>
      </c>
      <c r="G314" s="143" t="s">
        <v>26</v>
      </c>
      <c r="H314" s="143" t="s">
        <v>26</v>
      </c>
      <c r="I314" s="143" t="s">
        <v>176</v>
      </c>
      <c r="J314" s="143" t="s">
        <v>643</v>
      </c>
      <c r="K314" s="144">
        <v>1740</v>
      </c>
      <c r="L314" s="145" t="s">
        <v>172</v>
      </c>
      <c r="M314" s="143" t="s">
        <v>6709</v>
      </c>
    </row>
    <row r="315" spans="1:13">
      <c r="A315" s="27" t="s">
        <v>6705</v>
      </c>
      <c r="B315" s="141" t="s">
        <v>7328</v>
      </c>
      <c r="C315" s="141" t="s">
        <v>6707</v>
      </c>
      <c r="D315" s="142" t="s">
        <v>7329</v>
      </c>
      <c r="E315" s="143">
        <v>1</v>
      </c>
      <c r="F315" s="143" t="s">
        <v>168</v>
      </c>
      <c r="G315" s="143" t="s">
        <v>26</v>
      </c>
      <c r="H315" s="143" t="s">
        <v>26</v>
      </c>
      <c r="I315" s="143" t="s">
        <v>176</v>
      </c>
      <c r="J315" s="143" t="s">
        <v>643</v>
      </c>
      <c r="K315" s="144">
        <v>4800</v>
      </c>
      <c r="L315" s="145" t="s">
        <v>172</v>
      </c>
      <c r="M315" s="143" t="s">
        <v>6709</v>
      </c>
    </row>
    <row r="316" spans="1:13">
      <c r="A316" s="27" t="s">
        <v>6705</v>
      </c>
      <c r="B316" s="141" t="s">
        <v>7330</v>
      </c>
      <c r="C316" s="141" t="s">
        <v>6707</v>
      </c>
      <c r="D316" s="142" t="s">
        <v>7331</v>
      </c>
      <c r="E316" s="143">
        <v>1</v>
      </c>
      <c r="F316" s="143" t="s">
        <v>168</v>
      </c>
      <c r="G316" s="143" t="s">
        <v>26</v>
      </c>
      <c r="H316" s="143" t="s">
        <v>26</v>
      </c>
      <c r="I316" s="143" t="s">
        <v>176</v>
      </c>
      <c r="J316" s="143" t="s">
        <v>643</v>
      </c>
      <c r="K316" s="144">
        <v>4800</v>
      </c>
      <c r="L316" s="145" t="s">
        <v>172</v>
      </c>
      <c r="M316" s="143" t="s">
        <v>6709</v>
      </c>
    </row>
    <row r="317" spans="1:13">
      <c r="A317" s="27" t="s">
        <v>6705</v>
      </c>
      <c r="B317" s="141" t="s">
        <v>7332</v>
      </c>
      <c r="C317" s="141" t="s">
        <v>6707</v>
      </c>
      <c r="D317" s="142" t="s">
        <v>7333</v>
      </c>
      <c r="E317" s="143">
        <v>1</v>
      </c>
      <c r="F317" s="143" t="s">
        <v>168</v>
      </c>
      <c r="G317" s="143" t="s">
        <v>26</v>
      </c>
      <c r="H317" s="143" t="s">
        <v>26</v>
      </c>
      <c r="I317" s="143" t="s">
        <v>176</v>
      </c>
      <c r="J317" s="143" t="s">
        <v>643</v>
      </c>
      <c r="K317" s="144">
        <v>870</v>
      </c>
      <c r="L317" s="145" t="s">
        <v>172</v>
      </c>
      <c r="M317" s="143" t="s">
        <v>6709</v>
      </c>
    </row>
    <row r="318" spans="1:13">
      <c r="A318" s="27" t="s">
        <v>6705</v>
      </c>
      <c r="B318" s="141" t="s">
        <v>7334</v>
      </c>
      <c r="C318" s="141" t="s">
        <v>6707</v>
      </c>
      <c r="D318" s="142" t="s">
        <v>7335</v>
      </c>
      <c r="E318" s="143">
        <v>1</v>
      </c>
      <c r="F318" s="143" t="s">
        <v>168</v>
      </c>
      <c r="G318" s="143" t="s">
        <v>26</v>
      </c>
      <c r="H318" s="143" t="s">
        <v>26</v>
      </c>
      <c r="I318" s="143" t="s">
        <v>176</v>
      </c>
      <c r="J318" s="143" t="s">
        <v>643</v>
      </c>
      <c r="K318" s="144">
        <v>3420</v>
      </c>
      <c r="L318" s="145" t="s">
        <v>172</v>
      </c>
      <c r="M318" s="143" t="s">
        <v>6709</v>
      </c>
    </row>
    <row r="319" spans="1:13">
      <c r="A319" s="27" t="s">
        <v>6705</v>
      </c>
      <c r="B319" s="141" t="s">
        <v>7336</v>
      </c>
      <c r="C319" s="141" t="s">
        <v>6707</v>
      </c>
      <c r="D319" s="142" t="s">
        <v>7337</v>
      </c>
      <c r="E319" s="143">
        <v>1</v>
      </c>
      <c r="F319" s="143" t="s">
        <v>168</v>
      </c>
      <c r="G319" s="143" t="s">
        <v>26</v>
      </c>
      <c r="H319" s="143" t="s">
        <v>26</v>
      </c>
      <c r="I319" s="143" t="s">
        <v>176</v>
      </c>
      <c r="J319" s="143" t="s">
        <v>643</v>
      </c>
      <c r="K319" s="144">
        <v>2550</v>
      </c>
      <c r="L319" s="145" t="s">
        <v>172</v>
      </c>
      <c r="M319" s="143" t="s">
        <v>6709</v>
      </c>
    </row>
    <row r="320" spans="1:13">
      <c r="A320" s="27" t="s">
        <v>6705</v>
      </c>
      <c r="B320" s="141" t="s">
        <v>7338</v>
      </c>
      <c r="C320" s="141" t="s">
        <v>6707</v>
      </c>
      <c r="D320" s="142" t="s">
        <v>7339</v>
      </c>
      <c r="E320" s="143">
        <v>1</v>
      </c>
      <c r="F320" s="143" t="s">
        <v>168</v>
      </c>
      <c r="G320" s="143" t="s">
        <v>26</v>
      </c>
      <c r="H320" s="143" t="s">
        <v>26</v>
      </c>
      <c r="I320" s="143" t="s">
        <v>176</v>
      </c>
      <c r="J320" s="143" t="s">
        <v>643</v>
      </c>
      <c r="K320" s="144">
        <v>1044</v>
      </c>
      <c r="L320" s="145" t="s">
        <v>172</v>
      </c>
      <c r="M320" s="143" t="s">
        <v>6709</v>
      </c>
    </row>
    <row r="321" spans="1:13">
      <c r="A321" s="27" t="s">
        <v>6705</v>
      </c>
      <c r="B321" s="141" t="s">
        <v>7340</v>
      </c>
      <c r="C321" s="141" t="s">
        <v>6707</v>
      </c>
      <c r="D321" s="142" t="s">
        <v>7341</v>
      </c>
      <c r="E321" s="143">
        <v>1</v>
      </c>
      <c r="F321" s="143" t="s">
        <v>168</v>
      </c>
      <c r="G321" s="143" t="s">
        <v>26</v>
      </c>
      <c r="H321" s="143" t="s">
        <v>26</v>
      </c>
      <c r="I321" s="143" t="s">
        <v>176</v>
      </c>
      <c r="J321" s="143" t="s">
        <v>643</v>
      </c>
      <c r="K321" s="144">
        <v>4104</v>
      </c>
      <c r="L321" s="145" t="s">
        <v>172</v>
      </c>
      <c r="M321" s="143" t="s">
        <v>6709</v>
      </c>
    </row>
    <row r="322" spans="1:13">
      <c r="A322" s="27" t="s">
        <v>6705</v>
      </c>
      <c r="B322" s="141" t="s">
        <v>7342</v>
      </c>
      <c r="C322" s="141" t="s">
        <v>6707</v>
      </c>
      <c r="D322" s="142" t="s">
        <v>7343</v>
      </c>
      <c r="E322" s="143">
        <v>1</v>
      </c>
      <c r="F322" s="143" t="s">
        <v>168</v>
      </c>
      <c r="G322" s="143" t="s">
        <v>26</v>
      </c>
      <c r="H322" s="143" t="s">
        <v>26</v>
      </c>
      <c r="I322" s="143" t="s">
        <v>176</v>
      </c>
      <c r="J322" s="143" t="s">
        <v>643</v>
      </c>
      <c r="K322" s="144">
        <v>3060</v>
      </c>
      <c r="L322" s="145" t="s">
        <v>172</v>
      </c>
      <c r="M322" s="143" t="s">
        <v>6709</v>
      </c>
    </row>
    <row r="323" spans="1:13">
      <c r="A323" s="27" t="s">
        <v>6705</v>
      </c>
      <c r="B323" s="142" t="s">
        <v>7344</v>
      </c>
      <c r="C323" s="142" t="s">
        <v>7345</v>
      </c>
      <c r="D323" s="142" t="s">
        <v>7346</v>
      </c>
      <c r="E323" s="145">
        <v>1</v>
      </c>
      <c r="F323" s="143" t="s">
        <v>21</v>
      </c>
      <c r="G323" s="143" t="s">
        <v>176</v>
      </c>
      <c r="H323" s="143" t="s">
        <v>176</v>
      </c>
      <c r="I323" s="143" t="s">
        <v>176</v>
      </c>
      <c r="J323" s="143" t="s">
        <v>643</v>
      </c>
      <c r="K323" s="144">
        <v>200</v>
      </c>
      <c r="L323" s="145" t="s">
        <v>172</v>
      </c>
      <c r="M323" s="143" t="s">
        <v>6709</v>
      </c>
    </row>
    <row r="324" spans="1:13">
      <c r="A324" s="27" t="s">
        <v>6705</v>
      </c>
      <c r="B324" s="142" t="s">
        <v>7347</v>
      </c>
      <c r="C324" s="142" t="s">
        <v>7345</v>
      </c>
      <c r="D324" s="142" t="s">
        <v>7348</v>
      </c>
      <c r="E324" s="145">
        <v>1</v>
      </c>
      <c r="F324" s="143" t="s">
        <v>21</v>
      </c>
      <c r="G324" s="143" t="s">
        <v>176</v>
      </c>
      <c r="H324" s="143" t="s">
        <v>176</v>
      </c>
      <c r="I324" s="143" t="s">
        <v>176</v>
      </c>
      <c r="J324" s="143" t="s">
        <v>643</v>
      </c>
      <c r="K324" s="144">
        <v>200</v>
      </c>
      <c r="L324" s="145" t="s">
        <v>172</v>
      </c>
      <c r="M324" s="143" t="s">
        <v>6709</v>
      </c>
    </row>
    <row r="325" spans="1:13">
      <c r="A325" s="27" t="s">
        <v>6705</v>
      </c>
      <c r="B325" s="142" t="s">
        <v>7349</v>
      </c>
      <c r="C325" s="142" t="s">
        <v>7345</v>
      </c>
      <c r="D325" s="142" t="s">
        <v>7350</v>
      </c>
      <c r="E325" s="145">
        <v>1</v>
      </c>
      <c r="F325" s="143" t="s">
        <v>21</v>
      </c>
      <c r="G325" s="143" t="s">
        <v>176</v>
      </c>
      <c r="H325" s="143" t="s">
        <v>176</v>
      </c>
      <c r="I325" s="143" t="s">
        <v>176</v>
      </c>
      <c r="J325" s="143" t="s">
        <v>643</v>
      </c>
      <c r="K325" s="144">
        <v>200</v>
      </c>
      <c r="L325" s="145" t="s">
        <v>172</v>
      </c>
      <c r="M325" s="143" t="s">
        <v>6709</v>
      </c>
    </row>
    <row r="326" spans="1:13">
      <c r="A326" s="27" t="s">
        <v>6705</v>
      </c>
      <c r="B326" s="142" t="s">
        <v>7351</v>
      </c>
      <c r="C326" s="142" t="s">
        <v>7345</v>
      </c>
      <c r="D326" s="142" t="s">
        <v>7352</v>
      </c>
      <c r="E326" s="145">
        <v>1</v>
      </c>
      <c r="F326" s="143" t="s">
        <v>21</v>
      </c>
      <c r="G326" s="143" t="s">
        <v>176</v>
      </c>
      <c r="H326" s="143" t="s">
        <v>176</v>
      </c>
      <c r="I326" s="143" t="s">
        <v>176</v>
      </c>
      <c r="J326" s="143" t="s">
        <v>643</v>
      </c>
      <c r="K326" s="144">
        <v>200</v>
      </c>
      <c r="L326" s="145" t="s">
        <v>172</v>
      </c>
      <c r="M326" s="143" t="s">
        <v>6709</v>
      </c>
    </row>
    <row r="327" spans="1:13">
      <c r="A327" s="27" t="s">
        <v>6705</v>
      </c>
      <c r="B327" s="142" t="s">
        <v>7353</v>
      </c>
      <c r="C327" s="142" t="s">
        <v>7345</v>
      </c>
      <c r="D327" s="142" t="s">
        <v>7354</v>
      </c>
      <c r="E327" s="145">
        <v>1</v>
      </c>
      <c r="F327" s="143" t="s">
        <v>21</v>
      </c>
      <c r="G327" s="143" t="s">
        <v>176</v>
      </c>
      <c r="H327" s="143" t="s">
        <v>176</v>
      </c>
      <c r="I327" s="143" t="s">
        <v>176</v>
      </c>
      <c r="J327" s="143" t="s">
        <v>643</v>
      </c>
      <c r="K327" s="144">
        <v>200</v>
      </c>
      <c r="L327" s="145" t="s">
        <v>172</v>
      </c>
      <c r="M327" s="143" t="s">
        <v>6709</v>
      </c>
    </row>
    <row r="328" spans="1:13">
      <c r="A328" s="27" t="s">
        <v>6705</v>
      </c>
      <c r="B328" s="142" t="s">
        <v>7355</v>
      </c>
      <c r="C328" s="142" t="s">
        <v>7345</v>
      </c>
      <c r="D328" s="142" t="s">
        <v>7356</v>
      </c>
      <c r="E328" s="145">
        <v>1</v>
      </c>
      <c r="F328" s="143" t="s">
        <v>21</v>
      </c>
      <c r="G328" s="143" t="s">
        <v>176</v>
      </c>
      <c r="H328" s="143" t="s">
        <v>176</v>
      </c>
      <c r="I328" s="143" t="s">
        <v>176</v>
      </c>
      <c r="J328" s="143" t="s">
        <v>643</v>
      </c>
      <c r="K328" s="144">
        <v>200</v>
      </c>
      <c r="L328" s="145" t="s">
        <v>172</v>
      </c>
      <c r="M328" s="143" t="s">
        <v>6709</v>
      </c>
    </row>
    <row r="329" spans="1:13">
      <c r="A329" s="27" t="s">
        <v>6705</v>
      </c>
      <c r="B329" s="142" t="s">
        <v>7357</v>
      </c>
      <c r="C329" s="142" t="s">
        <v>7345</v>
      </c>
      <c r="D329" s="142" t="s">
        <v>7358</v>
      </c>
      <c r="E329" s="145">
        <v>1</v>
      </c>
      <c r="F329" s="143" t="s">
        <v>21</v>
      </c>
      <c r="G329" s="143" t="s">
        <v>176</v>
      </c>
      <c r="H329" s="143" t="s">
        <v>176</v>
      </c>
      <c r="I329" s="143" t="s">
        <v>176</v>
      </c>
      <c r="J329" s="143" t="s">
        <v>643</v>
      </c>
      <c r="K329" s="144">
        <v>200</v>
      </c>
      <c r="L329" s="145" t="s">
        <v>172</v>
      </c>
      <c r="M329" s="143" t="s">
        <v>6709</v>
      </c>
    </row>
    <row r="330" spans="1:13">
      <c r="A330" s="27" t="s">
        <v>6705</v>
      </c>
      <c r="B330" s="142" t="s">
        <v>7359</v>
      </c>
      <c r="C330" s="142" t="s">
        <v>7345</v>
      </c>
      <c r="D330" s="142" t="s">
        <v>7360</v>
      </c>
      <c r="E330" s="145">
        <v>1</v>
      </c>
      <c r="F330" s="143" t="s">
        <v>21</v>
      </c>
      <c r="G330" s="143" t="s">
        <v>176</v>
      </c>
      <c r="H330" s="143" t="s">
        <v>176</v>
      </c>
      <c r="I330" s="143" t="s">
        <v>176</v>
      </c>
      <c r="J330" s="143" t="s">
        <v>643</v>
      </c>
      <c r="K330" s="144">
        <v>200</v>
      </c>
      <c r="L330" s="145" t="s">
        <v>172</v>
      </c>
      <c r="M330" s="143" t="s">
        <v>6709</v>
      </c>
    </row>
    <row r="331" spans="1:13">
      <c r="A331" s="27" t="s">
        <v>6705</v>
      </c>
      <c r="B331" s="142" t="s">
        <v>7361</v>
      </c>
      <c r="C331" s="142" t="s">
        <v>7345</v>
      </c>
      <c r="D331" s="142" t="s">
        <v>7362</v>
      </c>
      <c r="E331" s="145">
        <v>1</v>
      </c>
      <c r="F331" s="143" t="s">
        <v>21</v>
      </c>
      <c r="G331" s="143" t="s">
        <v>176</v>
      </c>
      <c r="H331" s="143" t="s">
        <v>176</v>
      </c>
      <c r="I331" s="143" t="s">
        <v>176</v>
      </c>
      <c r="J331" s="143" t="s">
        <v>643</v>
      </c>
      <c r="K331" s="144">
        <v>200</v>
      </c>
      <c r="L331" s="145" t="s">
        <v>172</v>
      </c>
      <c r="M331" s="143" t="s">
        <v>6709</v>
      </c>
    </row>
    <row r="332" spans="1:13">
      <c r="A332" s="27" t="s">
        <v>6705</v>
      </c>
      <c r="B332" s="142" t="s">
        <v>7363</v>
      </c>
      <c r="C332" s="142" t="s">
        <v>7345</v>
      </c>
      <c r="D332" s="142" t="s">
        <v>7364</v>
      </c>
      <c r="E332" s="145">
        <v>1</v>
      </c>
      <c r="F332" s="143" t="s">
        <v>21</v>
      </c>
      <c r="G332" s="143" t="s">
        <v>176</v>
      </c>
      <c r="H332" s="143" t="s">
        <v>176</v>
      </c>
      <c r="I332" s="143" t="s">
        <v>176</v>
      </c>
      <c r="J332" s="143" t="s">
        <v>643</v>
      </c>
      <c r="K332" s="144">
        <v>200</v>
      </c>
      <c r="L332" s="145" t="s">
        <v>172</v>
      </c>
      <c r="M332" s="143" t="s">
        <v>6709</v>
      </c>
    </row>
    <row r="333" spans="1:13">
      <c r="A333" s="27" t="s">
        <v>6705</v>
      </c>
      <c r="B333" s="142" t="s">
        <v>7365</v>
      </c>
      <c r="C333" s="142" t="s">
        <v>7345</v>
      </c>
      <c r="D333" s="142" t="s">
        <v>7366</v>
      </c>
      <c r="E333" s="145">
        <v>1</v>
      </c>
      <c r="F333" s="143" t="s">
        <v>21</v>
      </c>
      <c r="G333" s="143" t="s">
        <v>176</v>
      </c>
      <c r="H333" s="143" t="s">
        <v>176</v>
      </c>
      <c r="I333" s="143" t="s">
        <v>176</v>
      </c>
      <c r="J333" s="143" t="s">
        <v>643</v>
      </c>
      <c r="K333" s="144">
        <v>200</v>
      </c>
      <c r="L333" s="145" t="s">
        <v>172</v>
      </c>
      <c r="M333" s="143" t="s">
        <v>6709</v>
      </c>
    </row>
    <row r="334" spans="1:13">
      <c r="A334" s="27" t="s">
        <v>6705</v>
      </c>
      <c r="B334" s="142" t="s">
        <v>7367</v>
      </c>
      <c r="C334" s="142" t="s">
        <v>7345</v>
      </c>
      <c r="D334" s="142" t="s">
        <v>7368</v>
      </c>
      <c r="E334" s="145">
        <v>1</v>
      </c>
      <c r="F334" s="143" t="s">
        <v>21</v>
      </c>
      <c r="G334" s="143" t="s">
        <v>176</v>
      </c>
      <c r="H334" s="143" t="s">
        <v>176</v>
      </c>
      <c r="I334" s="143" t="s">
        <v>176</v>
      </c>
      <c r="J334" s="143" t="s">
        <v>643</v>
      </c>
      <c r="K334" s="144">
        <v>200</v>
      </c>
      <c r="L334" s="145" t="s">
        <v>172</v>
      </c>
      <c r="M334" s="143" t="s">
        <v>6709</v>
      </c>
    </row>
    <row r="335" spans="1:13">
      <c r="A335" s="27" t="s">
        <v>6705</v>
      </c>
      <c r="B335" s="142" t="s">
        <v>7369</v>
      </c>
      <c r="C335" s="142" t="s">
        <v>7345</v>
      </c>
      <c r="D335" s="142" t="s">
        <v>7370</v>
      </c>
      <c r="E335" s="145">
        <v>1</v>
      </c>
      <c r="F335" s="143" t="s">
        <v>21</v>
      </c>
      <c r="G335" s="143" t="s">
        <v>176</v>
      </c>
      <c r="H335" s="143" t="s">
        <v>176</v>
      </c>
      <c r="I335" s="143" t="s">
        <v>176</v>
      </c>
      <c r="J335" s="143" t="s">
        <v>643</v>
      </c>
      <c r="K335" s="144">
        <v>200</v>
      </c>
      <c r="L335" s="145" t="s">
        <v>172</v>
      </c>
      <c r="M335" s="143" t="s">
        <v>6709</v>
      </c>
    </row>
    <row r="336" spans="1:13">
      <c r="A336" s="27" t="s">
        <v>6705</v>
      </c>
      <c r="B336" s="142" t="s">
        <v>7371</v>
      </c>
      <c r="C336" s="142" t="s">
        <v>7345</v>
      </c>
      <c r="D336" s="142" t="s">
        <v>7372</v>
      </c>
      <c r="E336" s="145">
        <v>1</v>
      </c>
      <c r="F336" s="143" t="s">
        <v>21</v>
      </c>
      <c r="G336" s="143" t="s">
        <v>176</v>
      </c>
      <c r="H336" s="143" t="s">
        <v>176</v>
      </c>
      <c r="I336" s="143" t="s">
        <v>176</v>
      </c>
      <c r="J336" s="143" t="s">
        <v>643</v>
      </c>
      <c r="K336" s="144">
        <v>200</v>
      </c>
      <c r="L336" s="145" t="s">
        <v>172</v>
      </c>
      <c r="M336" s="143" t="s">
        <v>6709</v>
      </c>
    </row>
    <row r="337" spans="1:13">
      <c r="A337" s="27" t="s">
        <v>6705</v>
      </c>
      <c r="B337" s="142" t="s">
        <v>7373</v>
      </c>
      <c r="C337" s="142" t="s">
        <v>7345</v>
      </c>
      <c r="D337" s="142" t="s">
        <v>7374</v>
      </c>
      <c r="E337" s="145">
        <v>1</v>
      </c>
      <c r="F337" s="143" t="s">
        <v>21</v>
      </c>
      <c r="G337" s="143" t="s">
        <v>176</v>
      </c>
      <c r="H337" s="143" t="s">
        <v>176</v>
      </c>
      <c r="I337" s="143" t="s">
        <v>176</v>
      </c>
      <c r="J337" s="143" t="s">
        <v>643</v>
      </c>
      <c r="K337" s="144">
        <v>200</v>
      </c>
      <c r="L337" s="145" t="s">
        <v>172</v>
      </c>
      <c r="M337" s="143" t="s">
        <v>6709</v>
      </c>
    </row>
    <row r="338" spans="1:13">
      <c r="A338" s="27" t="s">
        <v>6705</v>
      </c>
      <c r="B338" s="142" t="s">
        <v>7375</v>
      </c>
      <c r="C338" s="142" t="s">
        <v>7345</v>
      </c>
      <c r="D338" s="142" t="s">
        <v>7376</v>
      </c>
      <c r="E338" s="145">
        <v>1</v>
      </c>
      <c r="F338" s="143" t="s">
        <v>21</v>
      </c>
      <c r="G338" s="143" t="s">
        <v>176</v>
      </c>
      <c r="H338" s="143" t="s">
        <v>176</v>
      </c>
      <c r="I338" s="143" t="s">
        <v>176</v>
      </c>
      <c r="J338" s="143" t="s">
        <v>643</v>
      </c>
      <c r="K338" s="144">
        <v>200</v>
      </c>
      <c r="L338" s="145" t="s">
        <v>172</v>
      </c>
      <c r="M338" s="143" t="s">
        <v>6709</v>
      </c>
    </row>
    <row r="339" spans="1:13">
      <c r="A339" s="27" t="s">
        <v>6705</v>
      </c>
      <c r="B339" s="142" t="s">
        <v>7377</v>
      </c>
      <c r="C339" s="142" t="s">
        <v>7345</v>
      </c>
      <c r="D339" s="142" t="s">
        <v>7378</v>
      </c>
      <c r="E339" s="145">
        <v>1</v>
      </c>
      <c r="F339" s="143" t="s">
        <v>21</v>
      </c>
      <c r="G339" s="143" t="s">
        <v>176</v>
      </c>
      <c r="H339" s="143" t="s">
        <v>176</v>
      </c>
      <c r="I339" s="143" t="s">
        <v>176</v>
      </c>
      <c r="J339" s="143" t="s">
        <v>643</v>
      </c>
      <c r="K339" s="144">
        <v>200</v>
      </c>
      <c r="L339" s="145" t="s">
        <v>172</v>
      </c>
      <c r="M339" s="143" t="s">
        <v>6709</v>
      </c>
    </row>
    <row r="340" spans="1:13">
      <c r="A340" s="27" t="s">
        <v>6705</v>
      </c>
      <c r="B340" s="142" t="s">
        <v>7379</v>
      </c>
      <c r="C340" s="142" t="s">
        <v>7345</v>
      </c>
      <c r="D340" s="142" t="s">
        <v>7380</v>
      </c>
      <c r="E340" s="145">
        <v>1</v>
      </c>
      <c r="F340" s="143" t="s">
        <v>21</v>
      </c>
      <c r="G340" s="143" t="s">
        <v>176</v>
      </c>
      <c r="H340" s="143" t="s">
        <v>176</v>
      </c>
      <c r="I340" s="143" t="s">
        <v>176</v>
      </c>
      <c r="J340" s="143" t="s">
        <v>643</v>
      </c>
      <c r="K340" s="144">
        <v>200</v>
      </c>
      <c r="L340" s="145" t="s">
        <v>172</v>
      </c>
      <c r="M340" s="143" t="s">
        <v>6709</v>
      </c>
    </row>
    <row r="341" spans="1:13">
      <c r="A341" s="27" t="s">
        <v>6705</v>
      </c>
      <c r="B341" s="142" t="s">
        <v>7381</v>
      </c>
      <c r="C341" s="142" t="s">
        <v>7345</v>
      </c>
      <c r="D341" s="142" t="s">
        <v>7382</v>
      </c>
      <c r="E341" s="145">
        <v>1</v>
      </c>
      <c r="F341" s="143" t="s">
        <v>21</v>
      </c>
      <c r="G341" s="143" t="s">
        <v>176</v>
      </c>
      <c r="H341" s="143" t="s">
        <v>176</v>
      </c>
      <c r="I341" s="143" t="s">
        <v>176</v>
      </c>
      <c r="J341" s="143" t="s">
        <v>643</v>
      </c>
      <c r="K341" s="144">
        <v>200</v>
      </c>
      <c r="L341" s="145" t="s">
        <v>172</v>
      </c>
      <c r="M341" s="143" t="s">
        <v>6709</v>
      </c>
    </row>
    <row r="342" spans="1:13">
      <c r="A342" s="27" t="s">
        <v>6705</v>
      </c>
      <c r="B342" s="142" t="s">
        <v>7383</v>
      </c>
      <c r="C342" s="142" t="s">
        <v>7345</v>
      </c>
      <c r="D342" s="142" t="s">
        <v>7384</v>
      </c>
      <c r="E342" s="145">
        <v>1</v>
      </c>
      <c r="F342" s="143" t="s">
        <v>21</v>
      </c>
      <c r="G342" s="143" t="s">
        <v>176</v>
      </c>
      <c r="H342" s="143" t="s">
        <v>176</v>
      </c>
      <c r="I342" s="143" t="s">
        <v>176</v>
      </c>
      <c r="J342" s="143" t="s">
        <v>643</v>
      </c>
      <c r="K342" s="144">
        <v>200</v>
      </c>
      <c r="L342" s="145" t="s">
        <v>172</v>
      </c>
      <c r="M342" s="143" t="s">
        <v>6709</v>
      </c>
    </row>
    <row r="343" spans="1:13">
      <c r="A343" s="27" t="s">
        <v>6705</v>
      </c>
      <c r="B343" s="142" t="s">
        <v>7385</v>
      </c>
      <c r="C343" s="142" t="s">
        <v>7345</v>
      </c>
      <c r="D343" s="142" t="s">
        <v>7386</v>
      </c>
      <c r="E343" s="145">
        <v>1</v>
      </c>
      <c r="F343" s="143" t="s">
        <v>21</v>
      </c>
      <c r="G343" s="143" t="s">
        <v>176</v>
      </c>
      <c r="H343" s="143" t="s">
        <v>176</v>
      </c>
      <c r="I343" s="143" t="s">
        <v>176</v>
      </c>
      <c r="J343" s="143" t="s">
        <v>643</v>
      </c>
      <c r="K343" s="144">
        <v>200</v>
      </c>
      <c r="L343" s="145" t="s">
        <v>172</v>
      </c>
      <c r="M343" s="143" t="s">
        <v>6709</v>
      </c>
    </row>
    <row r="344" spans="1:13">
      <c r="A344" s="27" t="s">
        <v>6705</v>
      </c>
      <c r="B344" s="142" t="s">
        <v>7387</v>
      </c>
      <c r="C344" s="142" t="s">
        <v>7345</v>
      </c>
      <c r="D344" s="142" t="s">
        <v>7388</v>
      </c>
      <c r="E344" s="145">
        <v>1</v>
      </c>
      <c r="F344" s="143" t="s">
        <v>21</v>
      </c>
      <c r="G344" s="143" t="s">
        <v>176</v>
      </c>
      <c r="H344" s="143" t="s">
        <v>176</v>
      </c>
      <c r="I344" s="143" t="s">
        <v>176</v>
      </c>
      <c r="J344" s="143" t="s">
        <v>643</v>
      </c>
      <c r="K344" s="144">
        <v>200</v>
      </c>
      <c r="L344" s="145" t="s">
        <v>172</v>
      </c>
      <c r="M344" s="143" t="s">
        <v>6709</v>
      </c>
    </row>
    <row r="345" spans="1:13">
      <c r="A345" s="27" t="s">
        <v>6705</v>
      </c>
      <c r="B345" s="142" t="s">
        <v>7389</v>
      </c>
      <c r="C345" s="142" t="s">
        <v>7345</v>
      </c>
      <c r="D345" s="142" t="s">
        <v>7390</v>
      </c>
      <c r="E345" s="145">
        <v>1</v>
      </c>
      <c r="F345" s="143" t="s">
        <v>21</v>
      </c>
      <c r="G345" s="143" t="s">
        <v>176</v>
      </c>
      <c r="H345" s="143" t="s">
        <v>176</v>
      </c>
      <c r="I345" s="143" t="s">
        <v>176</v>
      </c>
      <c r="J345" s="143" t="s">
        <v>643</v>
      </c>
      <c r="K345" s="144">
        <v>200</v>
      </c>
      <c r="L345" s="145" t="s">
        <v>172</v>
      </c>
      <c r="M345" s="143" t="s">
        <v>6709</v>
      </c>
    </row>
    <row r="346" spans="1:13">
      <c r="A346" s="27" t="s">
        <v>6705</v>
      </c>
      <c r="B346" s="142" t="s">
        <v>7391</v>
      </c>
      <c r="C346" s="142" t="s">
        <v>7345</v>
      </c>
      <c r="D346" s="142" t="s">
        <v>7392</v>
      </c>
      <c r="E346" s="145">
        <v>1</v>
      </c>
      <c r="F346" s="143" t="s">
        <v>21</v>
      </c>
      <c r="G346" s="143" t="s">
        <v>176</v>
      </c>
      <c r="H346" s="143" t="s">
        <v>176</v>
      </c>
      <c r="I346" s="143" t="s">
        <v>176</v>
      </c>
      <c r="J346" s="143" t="s">
        <v>643</v>
      </c>
      <c r="K346" s="144">
        <v>200</v>
      </c>
      <c r="L346" s="145" t="s">
        <v>172</v>
      </c>
      <c r="M346" s="143" t="s">
        <v>6709</v>
      </c>
    </row>
    <row r="347" spans="1:13">
      <c r="A347" s="27" t="s">
        <v>6705</v>
      </c>
      <c r="B347" s="142" t="s">
        <v>7393</v>
      </c>
      <c r="C347" s="142" t="s">
        <v>7345</v>
      </c>
      <c r="D347" s="142" t="s">
        <v>7394</v>
      </c>
      <c r="E347" s="145">
        <v>1</v>
      </c>
      <c r="F347" s="143" t="s">
        <v>21</v>
      </c>
      <c r="G347" s="143" t="s">
        <v>176</v>
      </c>
      <c r="H347" s="143" t="s">
        <v>176</v>
      </c>
      <c r="I347" s="143" t="s">
        <v>176</v>
      </c>
      <c r="J347" s="143" t="s">
        <v>643</v>
      </c>
      <c r="K347" s="144">
        <v>200</v>
      </c>
      <c r="L347" s="145" t="s">
        <v>172</v>
      </c>
      <c r="M347" s="143" t="s">
        <v>6709</v>
      </c>
    </row>
    <row r="348" spans="1:13">
      <c r="A348" s="27" t="s">
        <v>6705</v>
      </c>
      <c r="B348" s="142" t="s">
        <v>7395</v>
      </c>
      <c r="C348" s="142" t="s">
        <v>7345</v>
      </c>
      <c r="D348" s="142" t="s">
        <v>7396</v>
      </c>
      <c r="E348" s="145">
        <v>1</v>
      </c>
      <c r="F348" s="143" t="s">
        <v>21</v>
      </c>
      <c r="G348" s="143" t="s">
        <v>176</v>
      </c>
      <c r="H348" s="143" t="s">
        <v>176</v>
      </c>
      <c r="I348" s="143" t="s">
        <v>176</v>
      </c>
      <c r="J348" s="143" t="s">
        <v>643</v>
      </c>
      <c r="K348" s="144">
        <v>200</v>
      </c>
      <c r="L348" s="145" t="s">
        <v>172</v>
      </c>
      <c r="M348" s="143" t="s">
        <v>6709</v>
      </c>
    </row>
    <row r="349" spans="1:13">
      <c r="A349" s="27" t="s">
        <v>6705</v>
      </c>
      <c r="B349" s="142" t="s">
        <v>7397</v>
      </c>
      <c r="C349" s="142" t="s">
        <v>7345</v>
      </c>
      <c r="D349" s="142" t="s">
        <v>7398</v>
      </c>
      <c r="E349" s="145">
        <v>1</v>
      </c>
      <c r="F349" s="143" t="s">
        <v>21</v>
      </c>
      <c r="G349" s="143" t="s">
        <v>176</v>
      </c>
      <c r="H349" s="143" t="s">
        <v>176</v>
      </c>
      <c r="I349" s="143" t="s">
        <v>176</v>
      </c>
      <c r="J349" s="143" t="s">
        <v>643</v>
      </c>
      <c r="K349" s="144">
        <v>200</v>
      </c>
      <c r="L349" s="145" t="s">
        <v>172</v>
      </c>
      <c r="M349" s="143" t="s">
        <v>6709</v>
      </c>
    </row>
    <row r="350" spans="1:13">
      <c r="A350" s="27" t="s">
        <v>6705</v>
      </c>
      <c r="B350" s="142" t="s">
        <v>7399</v>
      </c>
      <c r="C350" s="142" t="s">
        <v>7345</v>
      </c>
      <c r="D350" s="142" t="s">
        <v>7400</v>
      </c>
      <c r="E350" s="145">
        <v>1</v>
      </c>
      <c r="F350" s="143" t="s">
        <v>21</v>
      </c>
      <c r="G350" s="143" t="s">
        <v>176</v>
      </c>
      <c r="H350" s="143" t="s">
        <v>176</v>
      </c>
      <c r="I350" s="143" t="s">
        <v>176</v>
      </c>
      <c r="J350" s="143" t="s">
        <v>643</v>
      </c>
      <c r="K350" s="144">
        <v>200</v>
      </c>
      <c r="L350" s="145" t="s">
        <v>172</v>
      </c>
      <c r="M350" s="143" t="s">
        <v>6709</v>
      </c>
    </row>
    <row r="351" spans="1:13">
      <c r="A351" s="27" t="s">
        <v>6705</v>
      </c>
      <c r="B351" s="142" t="s">
        <v>7401</v>
      </c>
      <c r="C351" s="142" t="s">
        <v>7345</v>
      </c>
      <c r="D351" s="142" t="s">
        <v>7402</v>
      </c>
      <c r="E351" s="145">
        <v>1</v>
      </c>
      <c r="F351" s="143" t="s">
        <v>21</v>
      </c>
      <c r="G351" s="143" t="s">
        <v>176</v>
      </c>
      <c r="H351" s="143" t="s">
        <v>176</v>
      </c>
      <c r="I351" s="143" t="s">
        <v>176</v>
      </c>
      <c r="J351" s="143" t="s">
        <v>643</v>
      </c>
      <c r="K351" s="144">
        <v>200</v>
      </c>
      <c r="L351" s="145" t="s">
        <v>172</v>
      </c>
      <c r="M351" s="143" t="s">
        <v>6709</v>
      </c>
    </row>
    <row r="352" spans="1:13">
      <c r="A352" s="27" t="s">
        <v>6705</v>
      </c>
      <c r="B352" s="142" t="s">
        <v>7403</v>
      </c>
      <c r="C352" s="142" t="s">
        <v>7345</v>
      </c>
      <c r="D352" s="142" t="s">
        <v>7404</v>
      </c>
      <c r="E352" s="145">
        <v>1</v>
      </c>
      <c r="F352" s="143" t="s">
        <v>21</v>
      </c>
      <c r="G352" s="143" t="s">
        <v>176</v>
      </c>
      <c r="H352" s="143" t="s">
        <v>176</v>
      </c>
      <c r="I352" s="143" t="s">
        <v>176</v>
      </c>
      <c r="J352" s="143" t="s">
        <v>643</v>
      </c>
      <c r="K352" s="144">
        <v>200</v>
      </c>
      <c r="L352" s="145" t="s">
        <v>172</v>
      </c>
      <c r="M352" s="143" t="s">
        <v>6709</v>
      </c>
    </row>
    <row r="353" spans="1:13">
      <c r="A353" s="27" t="s">
        <v>6705</v>
      </c>
      <c r="B353" s="142" t="s">
        <v>7405</v>
      </c>
      <c r="C353" s="142" t="s">
        <v>7345</v>
      </c>
      <c r="D353" s="142" t="s">
        <v>7406</v>
      </c>
      <c r="E353" s="145">
        <v>1</v>
      </c>
      <c r="F353" s="143" t="s">
        <v>21</v>
      </c>
      <c r="G353" s="143" t="s">
        <v>176</v>
      </c>
      <c r="H353" s="143" t="s">
        <v>176</v>
      </c>
      <c r="I353" s="143" t="s">
        <v>176</v>
      </c>
      <c r="J353" s="143" t="s">
        <v>643</v>
      </c>
      <c r="K353" s="144">
        <v>200</v>
      </c>
      <c r="L353" s="145" t="s">
        <v>172</v>
      </c>
      <c r="M353" s="143" t="s">
        <v>6709</v>
      </c>
    </row>
    <row r="354" spans="1:13">
      <c r="A354" s="27" t="s">
        <v>6705</v>
      </c>
      <c r="B354" s="142" t="s">
        <v>7407</v>
      </c>
      <c r="C354" s="142" t="s">
        <v>7345</v>
      </c>
      <c r="D354" s="142" t="s">
        <v>7408</v>
      </c>
      <c r="E354" s="145">
        <v>1</v>
      </c>
      <c r="F354" s="143" t="s">
        <v>21</v>
      </c>
      <c r="G354" s="143" t="s">
        <v>176</v>
      </c>
      <c r="H354" s="143" t="s">
        <v>176</v>
      </c>
      <c r="I354" s="143" t="s">
        <v>176</v>
      </c>
      <c r="J354" s="143" t="s">
        <v>643</v>
      </c>
      <c r="K354" s="144">
        <v>200</v>
      </c>
      <c r="L354" s="145" t="s">
        <v>172</v>
      </c>
      <c r="M354" s="143" t="s">
        <v>6709</v>
      </c>
    </row>
    <row r="355" spans="1:13">
      <c r="A355" s="27" t="s">
        <v>6705</v>
      </c>
      <c r="B355" s="142" t="s">
        <v>7409</v>
      </c>
      <c r="C355" s="142" t="s">
        <v>7345</v>
      </c>
      <c r="D355" s="142" t="s">
        <v>7410</v>
      </c>
      <c r="E355" s="145">
        <v>1</v>
      </c>
      <c r="F355" s="143" t="s">
        <v>21</v>
      </c>
      <c r="G355" s="143" t="s">
        <v>176</v>
      </c>
      <c r="H355" s="143" t="s">
        <v>176</v>
      </c>
      <c r="I355" s="143" t="s">
        <v>176</v>
      </c>
      <c r="J355" s="143" t="s">
        <v>643</v>
      </c>
      <c r="K355" s="144">
        <v>200</v>
      </c>
      <c r="L355" s="145" t="s">
        <v>172</v>
      </c>
      <c r="M355" s="143" t="s">
        <v>6709</v>
      </c>
    </row>
    <row r="356" spans="1:13">
      <c r="A356" s="27" t="s">
        <v>6705</v>
      </c>
      <c r="B356" s="142" t="s">
        <v>7411</v>
      </c>
      <c r="C356" s="142" t="s">
        <v>7345</v>
      </c>
      <c r="D356" s="142" t="s">
        <v>7412</v>
      </c>
      <c r="E356" s="145">
        <v>1</v>
      </c>
      <c r="F356" s="143" t="s">
        <v>21</v>
      </c>
      <c r="G356" s="143" t="s">
        <v>176</v>
      </c>
      <c r="H356" s="143" t="s">
        <v>176</v>
      </c>
      <c r="I356" s="143" t="s">
        <v>176</v>
      </c>
      <c r="J356" s="143" t="s">
        <v>643</v>
      </c>
      <c r="K356" s="144">
        <v>200</v>
      </c>
      <c r="L356" s="145" t="s">
        <v>172</v>
      </c>
      <c r="M356" s="143" t="s">
        <v>6709</v>
      </c>
    </row>
    <row r="357" spans="1:13">
      <c r="A357" s="27" t="s">
        <v>6705</v>
      </c>
      <c r="B357" s="142" t="s">
        <v>7413</v>
      </c>
      <c r="C357" s="142" t="s">
        <v>7345</v>
      </c>
      <c r="D357" s="142" t="s">
        <v>7414</v>
      </c>
      <c r="E357" s="145">
        <v>1</v>
      </c>
      <c r="F357" s="143" t="s">
        <v>21</v>
      </c>
      <c r="G357" s="143" t="s">
        <v>176</v>
      </c>
      <c r="H357" s="143" t="s">
        <v>176</v>
      </c>
      <c r="I357" s="143" t="s">
        <v>176</v>
      </c>
      <c r="J357" s="143" t="s">
        <v>643</v>
      </c>
      <c r="K357" s="144">
        <v>200</v>
      </c>
      <c r="L357" s="145" t="s">
        <v>172</v>
      </c>
      <c r="M357" s="143" t="s">
        <v>6709</v>
      </c>
    </row>
    <row r="358" spans="1:13">
      <c r="A358" s="27" t="s">
        <v>6705</v>
      </c>
      <c r="B358" s="142" t="s">
        <v>7415</v>
      </c>
      <c r="C358" s="142" t="s">
        <v>7345</v>
      </c>
      <c r="D358" s="142" t="s">
        <v>7416</v>
      </c>
      <c r="E358" s="145">
        <v>1</v>
      </c>
      <c r="F358" s="143" t="s">
        <v>21</v>
      </c>
      <c r="G358" s="143" t="s">
        <v>176</v>
      </c>
      <c r="H358" s="143" t="s">
        <v>176</v>
      </c>
      <c r="I358" s="143" t="s">
        <v>176</v>
      </c>
      <c r="J358" s="143" t="s">
        <v>643</v>
      </c>
      <c r="K358" s="144">
        <v>200</v>
      </c>
      <c r="L358" s="145" t="s">
        <v>172</v>
      </c>
      <c r="M358" s="143" t="s">
        <v>6709</v>
      </c>
    </row>
    <row r="359" spans="1:13">
      <c r="A359" s="27" t="s">
        <v>6705</v>
      </c>
      <c r="B359" s="142" t="s">
        <v>7417</v>
      </c>
      <c r="C359" s="142" t="s">
        <v>7345</v>
      </c>
      <c r="D359" s="142" t="s">
        <v>7418</v>
      </c>
      <c r="E359" s="145">
        <v>1</v>
      </c>
      <c r="F359" s="143" t="s">
        <v>21</v>
      </c>
      <c r="G359" s="143" t="s">
        <v>176</v>
      </c>
      <c r="H359" s="143" t="s">
        <v>176</v>
      </c>
      <c r="I359" s="143" t="s">
        <v>176</v>
      </c>
      <c r="J359" s="143" t="s">
        <v>643</v>
      </c>
      <c r="K359" s="144">
        <v>200</v>
      </c>
      <c r="L359" s="145" t="s">
        <v>172</v>
      </c>
      <c r="M359" s="143" t="s">
        <v>6709</v>
      </c>
    </row>
    <row r="360" spans="1:13">
      <c r="A360" s="27" t="s">
        <v>6705</v>
      </c>
      <c r="B360" s="142" t="s">
        <v>7419</v>
      </c>
      <c r="C360" s="142" t="s">
        <v>7345</v>
      </c>
      <c r="D360" s="142" t="s">
        <v>7420</v>
      </c>
      <c r="E360" s="145">
        <v>1</v>
      </c>
      <c r="F360" s="143" t="s">
        <v>21</v>
      </c>
      <c r="G360" s="143" t="s">
        <v>176</v>
      </c>
      <c r="H360" s="143" t="s">
        <v>176</v>
      </c>
      <c r="I360" s="143" t="s">
        <v>176</v>
      </c>
      <c r="J360" s="143" t="s">
        <v>643</v>
      </c>
      <c r="K360" s="144">
        <v>200</v>
      </c>
      <c r="L360" s="145" t="s">
        <v>172</v>
      </c>
      <c r="M360" s="143" t="s">
        <v>6709</v>
      </c>
    </row>
    <row r="361" spans="1:13">
      <c r="A361" s="27" t="s">
        <v>6705</v>
      </c>
      <c r="B361" s="142" t="s">
        <v>7421</v>
      </c>
      <c r="C361" s="142" t="s">
        <v>7345</v>
      </c>
      <c r="D361" s="142" t="s">
        <v>7422</v>
      </c>
      <c r="E361" s="145">
        <v>1</v>
      </c>
      <c r="F361" s="143" t="s">
        <v>21</v>
      </c>
      <c r="G361" s="143" t="s">
        <v>176</v>
      </c>
      <c r="H361" s="143" t="s">
        <v>176</v>
      </c>
      <c r="I361" s="143" t="s">
        <v>176</v>
      </c>
      <c r="J361" s="143" t="s">
        <v>643</v>
      </c>
      <c r="K361" s="144">
        <v>200</v>
      </c>
      <c r="L361" s="145" t="s">
        <v>172</v>
      </c>
      <c r="M361" s="143" t="s">
        <v>6709</v>
      </c>
    </row>
    <row r="362" spans="1:13">
      <c r="A362" s="27" t="s">
        <v>6705</v>
      </c>
      <c r="B362" s="142" t="s">
        <v>7423</v>
      </c>
      <c r="C362" s="142" t="s">
        <v>7345</v>
      </c>
      <c r="D362" s="142" t="s">
        <v>7424</v>
      </c>
      <c r="E362" s="145">
        <v>1</v>
      </c>
      <c r="F362" s="143" t="s">
        <v>21</v>
      </c>
      <c r="G362" s="143" t="s">
        <v>176</v>
      </c>
      <c r="H362" s="143" t="s">
        <v>176</v>
      </c>
      <c r="I362" s="143" t="s">
        <v>176</v>
      </c>
      <c r="J362" s="143" t="s">
        <v>643</v>
      </c>
      <c r="K362" s="144">
        <v>200</v>
      </c>
      <c r="L362" s="145" t="s">
        <v>172</v>
      </c>
      <c r="M362" s="143" t="s">
        <v>6709</v>
      </c>
    </row>
    <row r="363" spans="1:13">
      <c r="A363" s="27" t="s">
        <v>6705</v>
      </c>
      <c r="B363" s="142" t="s">
        <v>7425</v>
      </c>
      <c r="C363" s="142" t="s">
        <v>7345</v>
      </c>
      <c r="D363" s="142" t="s">
        <v>7426</v>
      </c>
      <c r="E363" s="145">
        <v>1</v>
      </c>
      <c r="F363" s="143" t="s">
        <v>21</v>
      </c>
      <c r="G363" s="143" t="s">
        <v>176</v>
      </c>
      <c r="H363" s="143" t="s">
        <v>176</v>
      </c>
      <c r="I363" s="143" t="s">
        <v>176</v>
      </c>
      <c r="J363" s="143" t="s">
        <v>643</v>
      </c>
      <c r="K363" s="144">
        <v>200</v>
      </c>
      <c r="L363" s="145" t="s">
        <v>172</v>
      </c>
      <c r="M363" s="143" t="s">
        <v>6709</v>
      </c>
    </row>
    <row r="364" spans="1:13">
      <c r="A364" s="27" t="s">
        <v>6705</v>
      </c>
      <c r="B364" s="142" t="s">
        <v>7427</v>
      </c>
      <c r="C364" s="142" t="s">
        <v>7345</v>
      </c>
      <c r="D364" s="142" t="s">
        <v>7428</v>
      </c>
      <c r="E364" s="145">
        <v>1</v>
      </c>
      <c r="F364" s="143" t="s">
        <v>21</v>
      </c>
      <c r="G364" s="143" t="s">
        <v>176</v>
      </c>
      <c r="H364" s="143" t="s">
        <v>176</v>
      </c>
      <c r="I364" s="143" t="s">
        <v>176</v>
      </c>
      <c r="J364" s="143" t="s">
        <v>643</v>
      </c>
      <c r="K364" s="144">
        <v>200</v>
      </c>
      <c r="L364" s="145" t="s">
        <v>172</v>
      </c>
      <c r="M364" s="143" t="s">
        <v>6709</v>
      </c>
    </row>
    <row r="365" spans="1:13">
      <c r="A365" s="27" t="s">
        <v>6705</v>
      </c>
      <c r="B365" s="142" t="s">
        <v>7429</v>
      </c>
      <c r="C365" s="142" t="s">
        <v>7345</v>
      </c>
      <c r="D365" s="142" t="s">
        <v>7430</v>
      </c>
      <c r="E365" s="145">
        <v>1</v>
      </c>
      <c r="F365" s="143" t="s">
        <v>21</v>
      </c>
      <c r="G365" s="143" t="s">
        <v>176</v>
      </c>
      <c r="H365" s="143" t="s">
        <v>176</v>
      </c>
      <c r="I365" s="143" t="s">
        <v>176</v>
      </c>
      <c r="J365" s="143" t="s">
        <v>643</v>
      </c>
      <c r="K365" s="144">
        <v>200</v>
      </c>
      <c r="L365" s="145" t="s">
        <v>172</v>
      </c>
      <c r="M365" s="143" t="s">
        <v>6709</v>
      </c>
    </row>
    <row r="366" spans="1:13">
      <c r="A366" s="27" t="s">
        <v>6705</v>
      </c>
      <c r="B366" s="142" t="s">
        <v>7431</v>
      </c>
      <c r="C366" s="142" t="s">
        <v>7345</v>
      </c>
      <c r="D366" s="142" t="s">
        <v>7432</v>
      </c>
      <c r="E366" s="145">
        <v>1</v>
      </c>
      <c r="F366" s="143" t="s">
        <v>21</v>
      </c>
      <c r="G366" s="143" t="s">
        <v>176</v>
      </c>
      <c r="H366" s="143" t="s">
        <v>176</v>
      </c>
      <c r="I366" s="143" t="s">
        <v>176</v>
      </c>
      <c r="J366" s="143" t="s">
        <v>643</v>
      </c>
      <c r="K366" s="144">
        <v>200</v>
      </c>
      <c r="L366" s="145" t="s">
        <v>172</v>
      </c>
      <c r="M366" s="143" t="s">
        <v>6709</v>
      </c>
    </row>
    <row r="367" spans="1:13">
      <c r="A367" s="27" t="s">
        <v>6705</v>
      </c>
      <c r="B367" s="142" t="s">
        <v>7433</v>
      </c>
      <c r="C367" s="142" t="s">
        <v>7345</v>
      </c>
      <c r="D367" s="142" t="s">
        <v>7434</v>
      </c>
      <c r="E367" s="145">
        <v>1</v>
      </c>
      <c r="F367" s="143" t="s">
        <v>21</v>
      </c>
      <c r="G367" s="143" t="s">
        <v>176</v>
      </c>
      <c r="H367" s="143" t="s">
        <v>176</v>
      </c>
      <c r="I367" s="143" t="s">
        <v>176</v>
      </c>
      <c r="J367" s="143" t="s">
        <v>643</v>
      </c>
      <c r="K367" s="144">
        <v>200</v>
      </c>
      <c r="L367" s="145" t="s">
        <v>172</v>
      </c>
      <c r="M367" s="143" t="s">
        <v>6709</v>
      </c>
    </row>
    <row r="368" spans="1:13">
      <c r="A368" s="27" t="s">
        <v>6705</v>
      </c>
      <c r="B368" s="142" t="s">
        <v>7435</v>
      </c>
      <c r="C368" s="142" t="s">
        <v>7345</v>
      </c>
      <c r="D368" s="142" t="s">
        <v>7436</v>
      </c>
      <c r="E368" s="145">
        <v>1</v>
      </c>
      <c r="F368" s="143" t="s">
        <v>21</v>
      </c>
      <c r="G368" s="143" t="s">
        <v>176</v>
      </c>
      <c r="H368" s="143" t="s">
        <v>176</v>
      </c>
      <c r="I368" s="143" t="s">
        <v>176</v>
      </c>
      <c r="J368" s="143" t="s">
        <v>643</v>
      </c>
      <c r="K368" s="144">
        <v>200</v>
      </c>
      <c r="L368" s="145" t="s">
        <v>172</v>
      </c>
      <c r="M368" s="143" t="s">
        <v>6709</v>
      </c>
    </row>
    <row r="369" spans="1:13">
      <c r="A369" s="27" t="s">
        <v>6705</v>
      </c>
      <c r="B369" s="142" t="s">
        <v>7437</v>
      </c>
      <c r="C369" s="142" t="s">
        <v>7345</v>
      </c>
      <c r="D369" s="142" t="s">
        <v>7438</v>
      </c>
      <c r="E369" s="145">
        <v>1</v>
      </c>
      <c r="F369" s="143" t="s">
        <v>21</v>
      </c>
      <c r="G369" s="143" t="s">
        <v>176</v>
      </c>
      <c r="H369" s="143" t="s">
        <v>176</v>
      </c>
      <c r="I369" s="143" t="s">
        <v>176</v>
      </c>
      <c r="J369" s="143" t="s">
        <v>643</v>
      </c>
      <c r="K369" s="144">
        <v>200</v>
      </c>
      <c r="L369" s="145" t="s">
        <v>172</v>
      </c>
      <c r="M369" s="143" t="s">
        <v>6709</v>
      </c>
    </row>
    <row r="370" spans="1:13">
      <c r="A370" s="27" t="s">
        <v>6705</v>
      </c>
      <c r="B370" s="142" t="s">
        <v>7439</v>
      </c>
      <c r="C370" s="142" t="s">
        <v>7345</v>
      </c>
      <c r="D370" s="142" t="s">
        <v>7440</v>
      </c>
      <c r="E370" s="145">
        <v>1</v>
      </c>
      <c r="F370" s="143" t="s">
        <v>21</v>
      </c>
      <c r="G370" s="143" t="s">
        <v>176</v>
      </c>
      <c r="H370" s="143" t="s">
        <v>176</v>
      </c>
      <c r="I370" s="143" t="s">
        <v>176</v>
      </c>
      <c r="J370" s="143" t="s">
        <v>643</v>
      </c>
      <c r="K370" s="144">
        <v>200</v>
      </c>
      <c r="L370" s="145" t="s">
        <v>172</v>
      </c>
      <c r="M370" s="143" t="s">
        <v>6709</v>
      </c>
    </row>
    <row r="371" spans="1:13">
      <c r="A371" s="27" t="s">
        <v>6705</v>
      </c>
      <c r="B371" s="142" t="s">
        <v>7441</v>
      </c>
      <c r="C371" s="142" t="s">
        <v>7345</v>
      </c>
      <c r="D371" s="142" t="s">
        <v>7442</v>
      </c>
      <c r="E371" s="145">
        <v>1</v>
      </c>
      <c r="F371" s="143" t="s">
        <v>21</v>
      </c>
      <c r="G371" s="143" t="s">
        <v>176</v>
      </c>
      <c r="H371" s="143" t="s">
        <v>176</v>
      </c>
      <c r="I371" s="143" t="s">
        <v>176</v>
      </c>
      <c r="J371" s="143" t="s">
        <v>643</v>
      </c>
      <c r="K371" s="144">
        <v>200</v>
      </c>
      <c r="L371" s="145" t="s">
        <v>172</v>
      </c>
      <c r="M371" s="143" t="s">
        <v>6709</v>
      </c>
    </row>
    <row r="372" spans="1:13">
      <c r="A372" s="27" t="s">
        <v>6705</v>
      </c>
      <c r="B372" s="142" t="s">
        <v>7443</v>
      </c>
      <c r="C372" s="142" t="s">
        <v>7345</v>
      </c>
      <c r="D372" s="142" t="s">
        <v>7444</v>
      </c>
      <c r="E372" s="145">
        <v>1</v>
      </c>
      <c r="F372" s="143" t="s">
        <v>21</v>
      </c>
      <c r="G372" s="143" t="s">
        <v>176</v>
      </c>
      <c r="H372" s="143" t="s">
        <v>176</v>
      </c>
      <c r="I372" s="143" t="s">
        <v>176</v>
      </c>
      <c r="J372" s="143" t="s">
        <v>643</v>
      </c>
      <c r="K372" s="144">
        <v>200</v>
      </c>
      <c r="L372" s="145" t="s">
        <v>172</v>
      </c>
      <c r="M372" s="143" t="s">
        <v>6709</v>
      </c>
    </row>
    <row r="373" spans="1:13">
      <c r="A373" s="27" t="s">
        <v>6705</v>
      </c>
      <c r="B373" s="142" t="s">
        <v>7445</v>
      </c>
      <c r="C373" s="142" t="s">
        <v>7345</v>
      </c>
      <c r="D373" s="142" t="s">
        <v>7446</v>
      </c>
      <c r="E373" s="145">
        <v>1</v>
      </c>
      <c r="F373" s="143" t="s">
        <v>21</v>
      </c>
      <c r="G373" s="143" t="s">
        <v>176</v>
      </c>
      <c r="H373" s="143" t="s">
        <v>176</v>
      </c>
      <c r="I373" s="143" t="s">
        <v>176</v>
      </c>
      <c r="J373" s="143" t="s">
        <v>643</v>
      </c>
      <c r="K373" s="144">
        <v>200</v>
      </c>
      <c r="L373" s="145" t="s">
        <v>172</v>
      </c>
      <c r="M373" s="143" t="s">
        <v>6709</v>
      </c>
    </row>
    <row r="374" spans="1:13">
      <c r="A374" s="27" t="s">
        <v>6705</v>
      </c>
      <c r="B374" s="142" t="s">
        <v>7447</v>
      </c>
      <c r="C374" s="142" t="s">
        <v>7345</v>
      </c>
      <c r="D374" s="142" t="s">
        <v>7448</v>
      </c>
      <c r="E374" s="145">
        <v>1</v>
      </c>
      <c r="F374" s="143" t="s">
        <v>21</v>
      </c>
      <c r="G374" s="143" t="s">
        <v>176</v>
      </c>
      <c r="H374" s="143" t="s">
        <v>176</v>
      </c>
      <c r="I374" s="143" t="s">
        <v>176</v>
      </c>
      <c r="J374" s="143" t="s">
        <v>643</v>
      </c>
      <c r="K374" s="144">
        <v>200</v>
      </c>
      <c r="L374" s="145" t="s">
        <v>172</v>
      </c>
      <c r="M374" s="143" t="s">
        <v>6709</v>
      </c>
    </row>
    <row r="375" spans="1:13">
      <c r="A375" s="27" t="s">
        <v>6705</v>
      </c>
      <c r="B375" s="142" t="s">
        <v>7449</v>
      </c>
      <c r="C375" s="142" t="s">
        <v>7345</v>
      </c>
      <c r="D375" s="142" t="s">
        <v>7450</v>
      </c>
      <c r="E375" s="145">
        <v>1</v>
      </c>
      <c r="F375" s="143" t="s">
        <v>21</v>
      </c>
      <c r="G375" s="143" t="s">
        <v>176</v>
      </c>
      <c r="H375" s="143" t="s">
        <v>176</v>
      </c>
      <c r="I375" s="143" t="s">
        <v>176</v>
      </c>
      <c r="J375" s="143" t="s">
        <v>643</v>
      </c>
      <c r="K375" s="144">
        <v>200</v>
      </c>
      <c r="L375" s="145" t="s">
        <v>172</v>
      </c>
      <c r="M375" s="143" t="s">
        <v>6709</v>
      </c>
    </row>
    <row r="376" spans="1:13">
      <c r="A376" s="27" t="s">
        <v>6705</v>
      </c>
      <c r="B376" s="142" t="s">
        <v>7451</v>
      </c>
      <c r="C376" s="142" t="s">
        <v>7345</v>
      </c>
      <c r="D376" s="142" t="s">
        <v>7452</v>
      </c>
      <c r="E376" s="143">
        <v>1</v>
      </c>
      <c r="F376" s="143" t="s">
        <v>21</v>
      </c>
      <c r="G376" s="143" t="s">
        <v>176</v>
      </c>
      <c r="H376" s="143" t="s">
        <v>176</v>
      </c>
      <c r="I376" s="143" t="s">
        <v>176</v>
      </c>
      <c r="J376" s="143" t="s">
        <v>643</v>
      </c>
      <c r="K376" s="144">
        <v>200</v>
      </c>
      <c r="L376" s="145" t="s">
        <v>172</v>
      </c>
      <c r="M376" s="143" t="s">
        <v>6709</v>
      </c>
    </row>
    <row r="377" spans="1:13">
      <c r="A377" s="27" t="s">
        <v>6705</v>
      </c>
      <c r="B377" s="142" t="s">
        <v>7453</v>
      </c>
      <c r="C377" s="142" t="s">
        <v>7345</v>
      </c>
      <c r="D377" s="142" t="s">
        <v>7454</v>
      </c>
      <c r="E377" s="145">
        <v>1</v>
      </c>
      <c r="F377" s="143" t="s">
        <v>21</v>
      </c>
      <c r="G377" s="143" t="s">
        <v>176</v>
      </c>
      <c r="H377" s="143" t="s">
        <v>176</v>
      </c>
      <c r="I377" s="143" t="s">
        <v>176</v>
      </c>
      <c r="J377" s="143" t="s">
        <v>643</v>
      </c>
      <c r="K377" s="144">
        <v>200</v>
      </c>
      <c r="L377" s="145" t="s">
        <v>172</v>
      </c>
      <c r="M377" s="143" t="s">
        <v>6709</v>
      </c>
    </row>
    <row r="378" spans="1:13">
      <c r="A378" s="27" t="s">
        <v>6705</v>
      </c>
      <c r="B378" s="142" t="s">
        <v>7455</v>
      </c>
      <c r="C378" s="142" t="s">
        <v>7345</v>
      </c>
      <c r="D378" s="142" t="s">
        <v>7456</v>
      </c>
      <c r="E378" s="145">
        <v>1</v>
      </c>
      <c r="F378" s="143" t="s">
        <v>21</v>
      </c>
      <c r="G378" s="143" t="s">
        <v>176</v>
      </c>
      <c r="H378" s="143" t="s">
        <v>176</v>
      </c>
      <c r="I378" s="143" t="s">
        <v>176</v>
      </c>
      <c r="J378" s="143" t="s">
        <v>643</v>
      </c>
      <c r="K378" s="144">
        <v>200</v>
      </c>
      <c r="L378" s="145" t="s">
        <v>172</v>
      </c>
      <c r="M378" s="143" t="s">
        <v>6709</v>
      </c>
    </row>
    <row r="379" spans="1:13">
      <c r="A379" s="27" t="s">
        <v>6705</v>
      </c>
      <c r="B379" s="142" t="s">
        <v>7457</v>
      </c>
      <c r="C379" s="142" t="s">
        <v>7345</v>
      </c>
      <c r="D379" s="142" t="s">
        <v>7458</v>
      </c>
      <c r="E379" s="145">
        <v>1</v>
      </c>
      <c r="F379" s="143" t="s">
        <v>21</v>
      </c>
      <c r="G379" s="143" t="s">
        <v>176</v>
      </c>
      <c r="H379" s="143" t="s">
        <v>176</v>
      </c>
      <c r="I379" s="143" t="s">
        <v>176</v>
      </c>
      <c r="J379" s="143" t="s">
        <v>643</v>
      </c>
      <c r="K379" s="144">
        <v>200</v>
      </c>
      <c r="L379" s="145" t="s">
        <v>172</v>
      </c>
      <c r="M379" s="143" t="s">
        <v>6709</v>
      </c>
    </row>
    <row r="380" spans="1:13">
      <c r="A380" s="27" t="s">
        <v>6705</v>
      </c>
      <c r="B380" s="142" t="s">
        <v>7459</v>
      </c>
      <c r="C380" s="142" t="s">
        <v>7345</v>
      </c>
      <c r="D380" s="142" t="s">
        <v>7460</v>
      </c>
      <c r="E380" s="145">
        <v>1</v>
      </c>
      <c r="F380" s="143" t="s">
        <v>21</v>
      </c>
      <c r="G380" s="143" t="s">
        <v>176</v>
      </c>
      <c r="H380" s="143" t="s">
        <v>176</v>
      </c>
      <c r="I380" s="143" t="s">
        <v>176</v>
      </c>
      <c r="J380" s="143" t="s">
        <v>643</v>
      </c>
      <c r="K380" s="144">
        <v>200</v>
      </c>
      <c r="L380" s="145" t="s">
        <v>172</v>
      </c>
      <c r="M380" s="143" t="s">
        <v>6709</v>
      </c>
    </row>
    <row r="381" spans="1:13">
      <c r="A381" s="27" t="s">
        <v>6705</v>
      </c>
      <c r="B381" s="142" t="s">
        <v>7461</v>
      </c>
      <c r="C381" s="142" t="s">
        <v>7345</v>
      </c>
      <c r="D381" s="142" t="s">
        <v>7462</v>
      </c>
      <c r="E381" s="145">
        <v>1</v>
      </c>
      <c r="F381" s="143" t="s">
        <v>21</v>
      </c>
      <c r="G381" s="143" t="s">
        <v>176</v>
      </c>
      <c r="H381" s="143" t="s">
        <v>176</v>
      </c>
      <c r="I381" s="143" t="s">
        <v>176</v>
      </c>
      <c r="J381" s="143" t="s">
        <v>643</v>
      </c>
      <c r="K381" s="144">
        <v>200</v>
      </c>
      <c r="L381" s="145" t="s">
        <v>172</v>
      </c>
      <c r="M381" s="143" t="s">
        <v>6709</v>
      </c>
    </row>
    <row r="382" spans="1:13">
      <c r="A382" s="27" t="s">
        <v>6705</v>
      </c>
      <c r="B382" s="142" t="s">
        <v>7463</v>
      </c>
      <c r="C382" s="142" t="s">
        <v>7345</v>
      </c>
      <c r="D382" s="142" t="s">
        <v>7464</v>
      </c>
      <c r="E382" s="145">
        <v>1</v>
      </c>
      <c r="F382" s="143" t="s">
        <v>21</v>
      </c>
      <c r="G382" s="143" t="s">
        <v>176</v>
      </c>
      <c r="H382" s="143" t="s">
        <v>176</v>
      </c>
      <c r="I382" s="143" t="s">
        <v>176</v>
      </c>
      <c r="J382" s="143" t="s">
        <v>643</v>
      </c>
      <c r="K382" s="144">
        <v>200</v>
      </c>
      <c r="L382" s="145" t="s">
        <v>172</v>
      </c>
      <c r="M382" s="143" t="s">
        <v>6709</v>
      </c>
    </row>
    <row r="383" spans="1:13">
      <c r="A383" s="27" t="s">
        <v>6705</v>
      </c>
      <c r="B383" s="142" t="s">
        <v>7465</v>
      </c>
      <c r="C383" s="142" t="s">
        <v>7345</v>
      </c>
      <c r="D383" s="142" t="s">
        <v>7466</v>
      </c>
      <c r="E383" s="145">
        <v>1</v>
      </c>
      <c r="F383" s="143" t="s">
        <v>21</v>
      </c>
      <c r="G383" s="143" t="s">
        <v>176</v>
      </c>
      <c r="H383" s="143" t="s">
        <v>176</v>
      </c>
      <c r="I383" s="143" t="s">
        <v>176</v>
      </c>
      <c r="J383" s="143" t="s">
        <v>643</v>
      </c>
      <c r="K383" s="144">
        <v>200</v>
      </c>
      <c r="L383" s="145" t="s">
        <v>172</v>
      </c>
      <c r="M383" s="143" t="s">
        <v>6709</v>
      </c>
    </row>
    <row r="384" spans="1:13">
      <c r="A384" s="27" t="s">
        <v>6705</v>
      </c>
      <c r="B384" s="142" t="s">
        <v>7467</v>
      </c>
      <c r="C384" s="142" t="s">
        <v>7345</v>
      </c>
      <c r="D384" s="142" t="s">
        <v>7468</v>
      </c>
      <c r="E384" s="145">
        <v>1</v>
      </c>
      <c r="F384" s="143" t="s">
        <v>21</v>
      </c>
      <c r="G384" s="143" t="s">
        <v>176</v>
      </c>
      <c r="H384" s="143" t="s">
        <v>176</v>
      </c>
      <c r="I384" s="143" t="s">
        <v>176</v>
      </c>
      <c r="J384" s="143" t="s">
        <v>643</v>
      </c>
      <c r="K384" s="144">
        <v>200</v>
      </c>
      <c r="L384" s="145" t="s">
        <v>172</v>
      </c>
      <c r="M384" s="143" t="s">
        <v>6709</v>
      </c>
    </row>
    <row r="385" spans="1:13">
      <c r="A385" s="27" t="s">
        <v>6705</v>
      </c>
      <c r="B385" s="142" t="s">
        <v>7469</v>
      </c>
      <c r="C385" s="142" t="s">
        <v>7345</v>
      </c>
      <c r="D385" s="142" t="s">
        <v>7470</v>
      </c>
      <c r="E385" s="145">
        <v>1</v>
      </c>
      <c r="F385" s="143" t="s">
        <v>21</v>
      </c>
      <c r="G385" s="143" t="s">
        <v>176</v>
      </c>
      <c r="H385" s="143" t="s">
        <v>176</v>
      </c>
      <c r="I385" s="143" t="s">
        <v>176</v>
      </c>
      <c r="J385" s="143" t="s">
        <v>643</v>
      </c>
      <c r="K385" s="144">
        <v>200</v>
      </c>
      <c r="L385" s="145" t="s">
        <v>172</v>
      </c>
      <c r="M385" s="143" t="s">
        <v>6709</v>
      </c>
    </row>
    <row r="386" spans="1:13">
      <c r="A386" s="27" t="s">
        <v>6705</v>
      </c>
      <c r="B386" s="142" t="s">
        <v>7471</v>
      </c>
      <c r="C386" s="142" t="s">
        <v>7345</v>
      </c>
      <c r="D386" s="142" t="s">
        <v>7472</v>
      </c>
      <c r="E386" s="145">
        <v>1</v>
      </c>
      <c r="F386" s="143" t="s">
        <v>21</v>
      </c>
      <c r="G386" s="143" t="s">
        <v>176</v>
      </c>
      <c r="H386" s="143" t="s">
        <v>176</v>
      </c>
      <c r="I386" s="143" t="s">
        <v>176</v>
      </c>
      <c r="J386" s="143" t="s">
        <v>643</v>
      </c>
      <c r="K386" s="144">
        <v>200</v>
      </c>
      <c r="L386" s="145" t="s">
        <v>172</v>
      </c>
      <c r="M386" s="143" t="s">
        <v>6709</v>
      </c>
    </row>
    <row r="387" spans="1:13">
      <c r="A387" s="27" t="s">
        <v>6705</v>
      </c>
      <c r="B387" s="142" t="s">
        <v>7473</v>
      </c>
      <c r="C387" s="142" t="s">
        <v>7474</v>
      </c>
      <c r="D387" s="142" t="s">
        <v>7475</v>
      </c>
      <c r="E387" s="145">
        <v>1</v>
      </c>
      <c r="F387" s="143" t="s">
        <v>21</v>
      </c>
      <c r="G387" s="143" t="s">
        <v>176</v>
      </c>
      <c r="H387" s="143" t="s">
        <v>176</v>
      </c>
      <c r="I387" s="143" t="s">
        <v>176</v>
      </c>
      <c r="J387" s="143" t="s">
        <v>643</v>
      </c>
      <c r="K387" s="144">
        <v>1000</v>
      </c>
      <c r="L387" s="145" t="s">
        <v>172</v>
      </c>
      <c r="M387" s="143" t="s">
        <v>6709</v>
      </c>
    </row>
    <row r="388" spans="1:13">
      <c r="A388" s="27" t="s">
        <v>6705</v>
      </c>
      <c r="B388" s="142" t="s">
        <v>7476</v>
      </c>
      <c r="C388" s="142" t="s">
        <v>7474</v>
      </c>
      <c r="D388" s="142" t="s">
        <v>7477</v>
      </c>
      <c r="E388" s="145">
        <v>1</v>
      </c>
      <c r="F388" s="143" t="s">
        <v>21</v>
      </c>
      <c r="G388" s="143" t="s">
        <v>176</v>
      </c>
      <c r="H388" s="143" t="s">
        <v>176</v>
      </c>
      <c r="I388" s="143" t="s">
        <v>176</v>
      </c>
      <c r="J388" s="143" t="s">
        <v>643</v>
      </c>
      <c r="K388" s="144">
        <v>1000</v>
      </c>
      <c r="L388" s="145" t="s">
        <v>172</v>
      </c>
      <c r="M388" s="143" t="s">
        <v>6709</v>
      </c>
    </row>
    <row r="389" spans="1:13">
      <c r="A389" s="27" t="s">
        <v>6705</v>
      </c>
      <c r="B389" s="142" t="s">
        <v>7478</v>
      </c>
      <c r="C389" s="142" t="s">
        <v>7474</v>
      </c>
      <c r="D389" s="142" t="s">
        <v>7479</v>
      </c>
      <c r="E389" s="145">
        <v>1</v>
      </c>
      <c r="F389" s="143" t="s">
        <v>21</v>
      </c>
      <c r="G389" s="143" t="s">
        <v>176</v>
      </c>
      <c r="H389" s="143" t="s">
        <v>176</v>
      </c>
      <c r="I389" s="143" t="s">
        <v>176</v>
      </c>
      <c r="J389" s="143" t="s">
        <v>643</v>
      </c>
      <c r="K389" s="144">
        <v>1000</v>
      </c>
      <c r="L389" s="145" t="s">
        <v>172</v>
      </c>
      <c r="M389" s="143" t="s">
        <v>6709</v>
      </c>
    </row>
    <row r="390" spans="1:13">
      <c r="A390" s="27" t="s">
        <v>6705</v>
      </c>
      <c r="B390" s="142" t="s">
        <v>7480</v>
      </c>
      <c r="C390" s="142" t="s">
        <v>7474</v>
      </c>
      <c r="D390" s="142" t="s">
        <v>7481</v>
      </c>
      <c r="E390" s="145">
        <v>1</v>
      </c>
      <c r="F390" s="143" t="s">
        <v>21</v>
      </c>
      <c r="G390" s="143" t="s">
        <v>176</v>
      </c>
      <c r="H390" s="143" t="s">
        <v>176</v>
      </c>
      <c r="I390" s="143" t="s">
        <v>176</v>
      </c>
      <c r="J390" s="143" t="s">
        <v>643</v>
      </c>
      <c r="K390" s="144">
        <v>1000</v>
      </c>
      <c r="L390" s="145" t="s">
        <v>172</v>
      </c>
      <c r="M390" s="143" t="s">
        <v>6709</v>
      </c>
    </row>
    <row r="391" spans="1:13">
      <c r="A391" s="27" t="s">
        <v>6705</v>
      </c>
      <c r="B391" s="142" t="s">
        <v>7482</v>
      </c>
      <c r="C391" s="142" t="s">
        <v>7474</v>
      </c>
      <c r="D391" s="142" t="s">
        <v>7483</v>
      </c>
      <c r="E391" s="145">
        <v>1</v>
      </c>
      <c r="F391" s="143" t="s">
        <v>21</v>
      </c>
      <c r="G391" s="143" t="s">
        <v>176</v>
      </c>
      <c r="H391" s="143" t="s">
        <v>176</v>
      </c>
      <c r="I391" s="143" t="s">
        <v>176</v>
      </c>
      <c r="J391" s="143" t="s">
        <v>643</v>
      </c>
      <c r="K391" s="144">
        <v>1000</v>
      </c>
      <c r="L391" s="145" t="s">
        <v>172</v>
      </c>
      <c r="M391" s="143" t="s">
        <v>6709</v>
      </c>
    </row>
    <row r="392" spans="1:13">
      <c r="A392" s="27" t="s">
        <v>6705</v>
      </c>
      <c r="B392" s="142" t="s">
        <v>7484</v>
      </c>
      <c r="C392" s="142" t="s">
        <v>7474</v>
      </c>
      <c r="D392" s="142" t="s">
        <v>7485</v>
      </c>
      <c r="E392" s="145">
        <v>1</v>
      </c>
      <c r="F392" s="143" t="s">
        <v>21</v>
      </c>
      <c r="G392" s="143" t="s">
        <v>176</v>
      </c>
      <c r="H392" s="143" t="s">
        <v>176</v>
      </c>
      <c r="I392" s="143" t="s">
        <v>176</v>
      </c>
      <c r="J392" s="143" t="s">
        <v>643</v>
      </c>
      <c r="K392" s="144">
        <v>1000</v>
      </c>
      <c r="L392" s="145" t="s">
        <v>172</v>
      </c>
      <c r="M392" s="143" t="s">
        <v>6709</v>
      </c>
    </row>
    <row r="393" spans="1:13">
      <c r="A393" s="27" t="s">
        <v>6705</v>
      </c>
      <c r="B393" s="142" t="s">
        <v>7486</v>
      </c>
      <c r="C393" s="142" t="s">
        <v>7474</v>
      </c>
      <c r="D393" s="142" t="s">
        <v>7487</v>
      </c>
      <c r="E393" s="145">
        <v>1</v>
      </c>
      <c r="F393" s="143" t="s">
        <v>21</v>
      </c>
      <c r="G393" s="143" t="s">
        <v>176</v>
      </c>
      <c r="H393" s="143" t="s">
        <v>176</v>
      </c>
      <c r="I393" s="143" t="s">
        <v>176</v>
      </c>
      <c r="J393" s="143" t="s">
        <v>643</v>
      </c>
      <c r="K393" s="144">
        <v>1000</v>
      </c>
      <c r="L393" s="145" t="s">
        <v>172</v>
      </c>
      <c r="M393" s="143" t="s">
        <v>6709</v>
      </c>
    </row>
    <row r="394" spans="1:13">
      <c r="A394" s="27" t="s">
        <v>6705</v>
      </c>
      <c r="B394" s="142" t="s">
        <v>7488</v>
      </c>
      <c r="C394" s="142" t="s">
        <v>7474</v>
      </c>
      <c r="D394" s="142" t="s">
        <v>7489</v>
      </c>
      <c r="E394" s="145">
        <v>1</v>
      </c>
      <c r="F394" s="143" t="s">
        <v>21</v>
      </c>
      <c r="G394" s="143" t="s">
        <v>176</v>
      </c>
      <c r="H394" s="143" t="s">
        <v>176</v>
      </c>
      <c r="I394" s="143" t="s">
        <v>176</v>
      </c>
      <c r="J394" s="143" t="s">
        <v>643</v>
      </c>
      <c r="K394" s="144">
        <v>1000</v>
      </c>
      <c r="L394" s="145" t="s">
        <v>172</v>
      </c>
      <c r="M394" s="143" t="s">
        <v>6709</v>
      </c>
    </row>
    <row r="395" spans="1:13">
      <c r="A395" s="27" t="s">
        <v>6705</v>
      </c>
      <c r="B395" s="142" t="s">
        <v>7490</v>
      </c>
      <c r="C395" s="142" t="s">
        <v>7474</v>
      </c>
      <c r="D395" s="142" t="s">
        <v>7491</v>
      </c>
      <c r="E395" s="145">
        <v>1</v>
      </c>
      <c r="F395" s="143" t="s">
        <v>21</v>
      </c>
      <c r="G395" s="143" t="s">
        <v>176</v>
      </c>
      <c r="H395" s="143" t="s">
        <v>176</v>
      </c>
      <c r="I395" s="143" t="s">
        <v>176</v>
      </c>
      <c r="J395" s="143" t="s">
        <v>643</v>
      </c>
      <c r="K395" s="144">
        <v>1000</v>
      </c>
      <c r="L395" s="145" t="s">
        <v>172</v>
      </c>
      <c r="M395" s="143" t="s">
        <v>6709</v>
      </c>
    </row>
    <row r="396" spans="1:13">
      <c r="A396" s="27" t="s">
        <v>6705</v>
      </c>
      <c r="B396" s="142" t="s">
        <v>7492</v>
      </c>
      <c r="C396" s="142" t="s">
        <v>7474</v>
      </c>
      <c r="D396" s="142" t="s">
        <v>7493</v>
      </c>
      <c r="E396" s="145">
        <v>1</v>
      </c>
      <c r="F396" s="143" t="s">
        <v>21</v>
      </c>
      <c r="G396" s="143" t="s">
        <v>176</v>
      </c>
      <c r="H396" s="143" t="s">
        <v>176</v>
      </c>
      <c r="I396" s="143" t="s">
        <v>176</v>
      </c>
      <c r="J396" s="143" t="s">
        <v>643</v>
      </c>
      <c r="K396" s="144">
        <v>1000</v>
      </c>
      <c r="L396" s="145" t="s">
        <v>172</v>
      </c>
      <c r="M396" s="143" t="s">
        <v>6709</v>
      </c>
    </row>
    <row r="397" spans="1:13">
      <c r="A397" s="27" t="s">
        <v>6705</v>
      </c>
      <c r="B397" s="142" t="s">
        <v>7494</v>
      </c>
      <c r="C397" s="142" t="s">
        <v>7474</v>
      </c>
      <c r="D397" s="142" t="s">
        <v>7495</v>
      </c>
      <c r="E397" s="145">
        <v>1</v>
      </c>
      <c r="F397" s="143" t="s">
        <v>21</v>
      </c>
      <c r="G397" s="143" t="s">
        <v>176</v>
      </c>
      <c r="H397" s="143" t="s">
        <v>176</v>
      </c>
      <c r="I397" s="143" t="s">
        <v>176</v>
      </c>
      <c r="J397" s="143" t="s">
        <v>643</v>
      </c>
      <c r="K397" s="144">
        <v>1000</v>
      </c>
      <c r="L397" s="145" t="s">
        <v>172</v>
      </c>
      <c r="M397" s="143" t="s">
        <v>6709</v>
      </c>
    </row>
    <row r="398" spans="1:13">
      <c r="A398" s="27" t="s">
        <v>6705</v>
      </c>
      <c r="B398" s="142" t="s">
        <v>7496</v>
      </c>
      <c r="C398" s="142" t="s">
        <v>7474</v>
      </c>
      <c r="D398" s="142" t="s">
        <v>7497</v>
      </c>
      <c r="E398" s="145">
        <v>1</v>
      </c>
      <c r="F398" s="143" t="s">
        <v>21</v>
      </c>
      <c r="G398" s="143" t="s">
        <v>176</v>
      </c>
      <c r="H398" s="143" t="s">
        <v>176</v>
      </c>
      <c r="I398" s="143" t="s">
        <v>176</v>
      </c>
      <c r="J398" s="143" t="s">
        <v>643</v>
      </c>
      <c r="K398" s="144">
        <v>1000</v>
      </c>
      <c r="L398" s="145" t="s">
        <v>172</v>
      </c>
      <c r="M398" s="143" t="s">
        <v>6709</v>
      </c>
    </row>
    <row r="399" spans="1:13">
      <c r="A399" s="27" t="s">
        <v>6705</v>
      </c>
      <c r="B399" s="142" t="s">
        <v>7498</v>
      </c>
      <c r="C399" s="142" t="s">
        <v>7474</v>
      </c>
      <c r="D399" s="142" t="s">
        <v>7499</v>
      </c>
      <c r="E399" s="145">
        <v>1</v>
      </c>
      <c r="F399" s="143" t="s">
        <v>21</v>
      </c>
      <c r="G399" s="143" t="s">
        <v>176</v>
      </c>
      <c r="H399" s="143" t="s">
        <v>176</v>
      </c>
      <c r="I399" s="143" t="s">
        <v>176</v>
      </c>
      <c r="J399" s="143" t="s">
        <v>643</v>
      </c>
      <c r="K399" s="144">
        <v>1000</v>
      </c>
      <c r="L399" s="145" t="s">
        <v>172</v>
      </c>
      <c r="M399" s="143" t="s">
        <v>6709</v>
      </c>
    </row>
    <row r="400" spans="1:13">
      <c r="A400" s="27" t="s">
        <v>6705</v>
      </c>
      <c r="B400" s="142" t="s">
        <v>7500</v>
      </c>
      <c r="C400" s="142" t="s">
        <v>7474</v>
      </c>
      <c r="D400" s="142" t="s">
        <v>7501</v>
      </c>
      <c r="E400" s="145">
        <v>1</v>
      </c>
      <c r="F400" s="143" t="s">
        <v>21</v>
      </c>
      <c r="G400" s="143" t="s">
        <v>176</v>
      </c>
      <c r="H400" s="143" t="s">
        <v>176</v>
      </c>
      <c r="I400" s="143" t="s">
        <v>176</v>
      </c>
      <c r="J400" s="143" t="s">
        <v>643</v>
      </c>
      <c r="K400" s="144">
        <v>1000</v>
      </c>
      <c r="L400" s="145" t="s">
        <v>172</v>
      </c>
      <c r="M400" s="143" t="s">
        <v>6709</v>
      </c>
    </row>
    <row r="401" spans="1:13">
      <c r="A401" s="27" t="s">
        <v>6705</v>
      </c>
      <c r="B401" s="142" t="s">
        <v>7502</v>
      </c>
      <c r="C401" s="142" t="s">
        <v>7474</v>
      </c>
      <c r="D401" s="142" t="s">
        <v>7503</v>
      </c>
      <c r="E401" s="145">
        <v>1</v>
      </c>
      <c r="F401" s="143" t="s">
        <v>21</v>
      </c>
      <c r="G401" s="143" t="s">
        <v>176</v>
      </c>
      <c r="H401" s="143" t="s">
        <v>176</v>
      </c>
      <c r="I401" s="143" t="s">
        <v>176</v>
      </c>
      <c r="J401" s="143" t="s">
        <v>643</v>
      </c>
      <c r="K401" s="144">
        <v>1000</v>
      </c>
      <c r="L401" s="145" t="s">
        <v>172</v>
      </c>
      <c r="M401" s="143" t="s">
        <v>6709</v>
      </c>
    </row>
    <row r="402" spans="1:13">
      <c r="A402" s="27" t="s">
        <v>6705</v>
      </c>
      <c r="B402" s="142" t="s">
        <v>7504</v>
      </c>
      <c r="C402" s="142" t="s">
        <v>7474</v>
      </c>
      <c r="D402" s="142" t="s">
        <v>7505</v>
      </c>
      <c r="E402" s="145">
        <v>1</v>
      </c>
      <c r="F402" s="143" t="s">
        <v>21</v>
      </c>
      <c r="G402" s="143" t="s">
        <v>176</v>
      </c>
      <c r="H402" s="143" t="s">
        <v>176</v>
      </c>
      <c r="I402" s="143" t="s">
        <v>176</v>
      </c>
      <c r="J402" s="143" t="s">
        <v>643</v>
      </c>
      <c r="K402" s="144">
        <v>1000</v>
      </c>
      <c r="L402" s="145" t="s">
        <v>172</v>
      </c>
      <c r="M402" s="143" t="s">
        <v>6709</v>
      </c>
    </row>
    <row r="403" spans="1:13">
      <c r="A403" s="27" t="s">
        <v>6705</v>
      </c>
      <c r="B403" s="142" t="s">
        <v>7506</v>
      </c>
      <c r="C403" s="142" t="s">
        <v>7474</v>
      </c>
      <c r="D403" s="142" t="s">
        <v>7507</v>
      </c>
      <c r="E403" s="145">
        <v>1</v>
      </c>
      <c r="F403" s="143" t="s">
        <v>21</v>
      </c>
      <c r="G403" s="143" t="s">
        <v>176</v>
      </c>
      <c r="H403" s="143" t="s">
        <v>176</v>
      </c>
      <c r="I403" s="143" t="s">
        <v>176</v>
      </c>
      <c r="J403" s="143" t="s">
        <v>643</v>
      </c>
      <c r="K403" s="144">
        <v>1000</v>
      </c>
      <c r="L403" s="145" t="s">
        <v>172</v>
      </c>
      <c r="M403" s="143" t="s">
        <v>6709</v>
      </c>
    </row>
    <row r="404" spans="1:13">
      <c r="A404" s="27" t="s">
        <v>6705</v>
      </c>
      <c r="B404" s="142" t="s">
        <v>7508</v>
      </c>
      <c r="C404" s="142" t="s">
        <v>7474</v>
      </c>
      <c r="D404" s="142" t="s">
        <v>7509</v>
      </c>
      <c r="E404" s="145">
        <v>1</v>
      </c>
      <c r="F404" s="143" t="s">
        <v>21</v>
      </c>
      <c r="G404" s="143" t="s">
        <v>176</v>
      </c>
      <c r="H404" s="143" t="s">
        <v>176</v>
      </c>
      <c r="I404" s="143" t="s">
        <v>176</v>
      </c>
      <c r="J404" s="143" t="s">
        <v>643</v>
      </c>
      <c r="K404" s="144">
        <v>1000</v>
      </c>
      <c r="L404" s="145" t="s">
        <v>172</v>
      </c>
      <c r="M404" s="143" t="s">
        <v>6709</v>
      </c>
    </row>
    <row r="405" spans="1:13">
      <c r="A405" s="27" t="s">
        <v>6705</v>
      </c>
      <c r="B405" s="142" t="s">
        <v>7510</v>
      </c>
      <c r="C405" s="142" t="s">
        <v>7474</v>
      </c>
      <c r="D405" s="142" t="s">
        <v>7511</v>
      </c>
      <c r="E405" s="145">
        <v>1</v>
      </c>
      <c r="F405" s="143" t="s">
        <v>21</v>
      </c>
      <c r="G405" s="143" t="s">
        <v>176</v>
      </c>
      <c r="H405" s="143" t="s">
        <v>176</v>
      </c>
      <c r="I405" s="143" t="s">
        <v>176</v>
      </c>
      <c r="J405" s="143" t="s">
        <v>643</v>
      </c>
      <c r="K405" s="144">
        <v>1000</v>
      </c>
      <c r="L405" s="145" t="s">
        <v>172</v>
      </c>
      <c r="M405" s="143" t="s">
        <v>6709</v>
      </c>
    </row>
    <row r="406" spans="1:13">
      <c r="A406" s="27" t="s">
        <v>6705</v>
      </c>
      <c r="B406" s="142" t="s">
        <v>7512</v>
      </c>
      <c r="C406" s="142" t="s">
        <v>7474</v>
      </c>
      <c r="D406" s="142" t="s">
        <v>7513</v>
      </c>
      <c r="E406" s="145">
        <v>1</v>
      </c>
      <c r="F406" s="143" t="s">
        <v>21</v>
      </c>
      <c r="G406" s="143" t="s">
        <v>176</v>
      </c>
      <c r="H406" s="143" t="s">
        <v>176</v>
      </c>
      <c r="I406" s="143" t="s">
        <v>176</v>
      </c>
      <c r="J406" s="143" t="s">
        <v>643</v>
      </c>
      <c r="K406" s="144">
        <v>1000</v>
      </c>
      <c r="L406" s="145" t="s">
        <v>172</v>
      </c>
      <c r="M406" s="143" t="s">
        <v>6709</v>
      </c>
    </row>
    <row r="407" spans="1:13">
      <c r="A407" s="27" t="s">
        <v>6705</v>
      </c>
      <c r="B407" s="142" t="s">
        <v>7514</v>
      </c>
      <c r="C407" s="142" t="s">
        <v>7474</v>
      </c>
      <c r="D407" s="142" t="s">
        <v>7515</v>
      </c>
      <c r="E407" s="145">
        <v>1</v>
      </c>
      <c r="F407" s="143" t="s">
        <v>21</v>
      </c>
      <c r="G407" s="143" t="s">
        <v>176</v>
      </c>
      <c r="H407" s="143" t="s">
        <v>176</v>
      </c>
      <c r="I407" s="143" t="s">
        <v>176</v>
      </c>
      <c r="J407" s="143" t="s">
        <v>643</v>
      </c>
      <c r="K407" s="144">
        <v>1000</v>
      </c>
      <c r="L407" s="145" t="s">
        <v>172</v>
      </c>
      <c r="M407" s="143" t="s">
        <v>6709</v>
      </c>
    </row>
    <row r="408" spans="1:13">
      <c r="A408" s="27" t="s">
        <v>6705</v>
      </c>
      <c r="B408" s="142" t="s">
        <v>7516</v>
      </c>
      <c r="C408" s="142" t="s">
        <v>7474</v>
      </c>
      <c r="D408" s="142" t="s">
        <v>7517</v>
      </c>
      <c r="E408" s="145">
        <v>1</v>
      </c>
      <c r="F408" s="143" t="s">
        <v>21</v>
      </c>
      <c r="G408" s="143" t="s">
        <v>176</v>
      </c>
      <c r="H408" s="143" t="s">
        <v>176</v>
      </c>
      <c r="I408" s="143" t="s">
        <v>176</v>
      </c>
      <c r="J408" s="143" t="s">
        <v>643</v>
      </c>
      <c r="K408" s="144">
        <v>1000</v>
      </c>
      <c r="L408" s="145" t="s">
        <v>172</v>
      </c>
      <c r="M408" s="143" t="s">
        <v>6709</v>
      </c>
    </row>
    <row r="409" spans="1:13">
      <c r="A409" s="27" t="s">
        <v>6705</v>
      </c>
      <c r="B409" s="146" t="s">
        <v>7518</v>
      </c>
      <c r="C409" s="146" t="s">
        <v>7519</v>
      </c>
      <c r="D409" s="146" t="s">
        <v>7520</v>
      </c>
      <c r="E409" s="143">
        <v>1</v>
      </c>
      <c r="F409" s="143" t="s">
        <v>168</v>
      </c>
      <c r="G409" s="143" t="s">
        <v>26</v>
      </c>
      <c r="H409" s="143" t="s">
        <v>26</v>
      </c>
      <c r="I409" s="143" t="s">
        <v>176</v>
      </c>
      <c r="J409" s="143" t="s">
        <v>643</v>
      </c>
      <c r="K409" s="144">
        <v>1</v>
      </c>
      <c r="L409" s="145" t="s">
        <v>172</v>
      </c>
      <c r="M409" s="143" t="s">
        <v>6709</v>
      </c>
    </row>
    <row r="410" spans="1:13">
      <c r="A410" s="27" t="s">
        <v>6705</v>
      </c>
      <c r="B410" s="146" t="s">
        <v>7521</v>
      </c>
      <c r="C410" s="146" t="s">
        <v>7519</v>
      </c>
      <c r="D410" s="146" t="s">
        <v>7522</v>
      </c>
      <c r="E410" s="143">
        <v>1</v>
      </c>
      <c r="F410" s="143" t="s">
        <v>168</v>
      </c>
      <c r="G410" s="143" t="s">
        <v>26</v>
      </c>
      <c r="H410" s="143" t="s">
        <v>26</v>
      </c>
      <c r="I410" s="143" t="s">
        <v>176</v>
      </c>
      <c r="J410" s="143" t="s">
        <v>643</v>
      </c>
      <c r="K410" s="144">
        <v>1346</v>
      </c>
      <c r="L410" s="145" t="s">
        <v>172</v>
      </c>
      <c r="M410" s="143" t="s">
        <v>6709</v>
      </c>
    </row>
    <row r="411" spans="1:13">
      <c r="A411" s="27" t="s">
        <v>6705</v>
      </c>
      <c r="B411" s="146" t="s">
        <v>7523</v>
      </c>
      <c r="C411" s="146" t="s">
        <v>7519</v>
      </c>
      <c r="D411" s="146" t="s">
        <v>7524</v>
      </c>
      <c r="E411" s="143">
        <v>1</v>
      </c>
      <c r="F411" s="143" t="s">
        <v>168</v>
      </c>
      <c r="G411" s="143" t="s">
        <v>26</v>
      </c>
      <c r="H411" s="143" t="s">
        <v>26</v>
      </c>
      <c r="I411" s="143" t="s">
        <v>176</v>
      </c>
      <c r="J411" s="143" t="s">
        <v>643</v>
      </c>
      <c r="K411" s="144">
        <v>31975</v>
      </c>
      <c r="L411" s="145" t="s">
        <v>172</v>
      </c>
      <c r="M411" s="143" t="s">
        <v>6709</v>
      </c>
    </row>
    <row r="412" spans="1:13">
      <c r="A412" s="27" t="s">
        <v>6705</v>
      </c>
      <c r="B412" s="146" t="s">
        <v>7525</v>
      </c>
      <c r="C412" s="146" t="s">
        <v>7519</v>
      </c>
      <c r="D412" s="146" t="s">
        <v>7526</v>
      </c>
      <c r="E412" s="143">
        <v>1</v>
      </c>
      <c r="F412" s="143" t="s">
        <v>168</v>
      </c>
      <c r="G412" s="143" t="s">
        <v>26</v>
      </c>
      <c r="H412" s="143" t="s">
        <v>26</v>
      </c>
      <c r="I412" s="143" t="s">
        <v>176</v>
      </c>
      <c r="J412" s="143" t="s">
        <v>643</v>
      </c>
      <c r="K412" s="144">
        <v>121154</v>
      </c>
      <c r="L412" s="145" t="s">
        <v>172</v>
      </c>
      <c r="M412" s="143" t="s">
        <v>6709</v>
      </c>
    </row>
    <row r="413" spans="1:13">
      <c r="A413" s="27" t="s">
        <v>6705</v>
      </c>
      <c r="B413" s="146" t="s">
        <v>7527</v>
      </c>
      <c r="C413" s="146" t="s">
        <v>7519</v>
      </c>
      <c r="D413" s="146" t="s">
        <v>7528</v>
      </c>
      <c r="E413" s="143">
        <v>1</v>
      </c>
      <c r="F413" s="143" t="s">
        <v>168</v>
      </c>
      <c r="G413" s="143" t="s">
        <v>26</v>
      </c>
      <c r="H413" s="143" t="s">
        <v>26</v>
      </c>
      <c r="I413" s="143" t="s">
        <v>176</v>
      </c>
      <c r="J413" s="143" t="s">
        <v>643</v>
      </c>
      <c r="K413" s="144">
        <v>649</v>
      </c>
      <c r="L413" s="145" t="s">
        <v>172</v>
      </c>
      <c r="M413" s="143" t="s">
        <v>6709</v>
      </c>
    </row>
    <row r="414" spans="1:13">
      <c r="A414" s="27" t="s">
        <v>6705</v>
      </c>
      <c r="B414" s="146" t="s">
        <v>7529</v>
      </c>
      <c r="C414" s="146" t="s">
        <v>7519</v>
      </c>
      <c r="D414" s="146" t="s">
        <v>7530</v>
      </c>
      <c r="E414" s="143">
        <v>1</v>
      </c>
      <c r="F414" s="143" t="s">
        <v>168</v>
      </c>
      <c r="G414" s="143" t="s">
        <v>26</v>
      </c>
      <c r="H414" s="143" t="s">
        <v>26</v>
      </c>
      <c r="I414" s="143" t="s">
        <v>176</v>
      </c>
      <c r="J414" s="143" t="s">
        <v>643</v>
      </c>
      <c r="K414" s="144">
        <v>976</v>
      </c>
      <c r="L414" s="145" t="s">
        <v>172</v>
      </c>
      <c r="M414" s="143" t="s">
        <v>6709</v>
      </c>
    </row>
    <row r="415" spans="1:13">
      <c r="A415" s="27" t="s">
        <v>6705</v>
      </c>
      <c r="B415" s="146" t="s">
        <v>7531</v>
      </c>
      <c r="C415" s="146" t="s">
        <v>7519</v>
      </c>
      <c r="D415" s="146" t="s">
        <v>7532</v>
      </c>
      <c r="E415" s="143">
        <v>1</v>
      </c>
      <c r="F415" s="143" t="s">
        <v>168</v>
      </c>
      <c r="G415" s="143" t="s">
        <v>26</v>
      </c>
      <c r="H415" s="143" t="s">
        <v>26</v>
      </c>
      <c r="I415" s="143" t="s">
        <v>176</v>
      </c>
      <c r="J415" s="143" t="s">
        <v>643</v>
      </c>
      <c r="K415" s="144">
        <v>2017</v>
      </c>
      <c r="L415" s="145" t="s">
        <v>172</v>
      </c>
      <c r="M415" s="143" t="s">
        <v>6709</v>
      </c>
    </row>
    <row r="416" spans="1:13">
      <c r="A416" s="27" t="s">
        <v>6705</v>
      </c>
      <c r="B416" s="146" t="s">
        <v>7533</v>
      </c>
      <c r="C416" s="146" t="s">
        <v>7519</v>
      </c>
      <c r="D416" s="146" t="s">
        <v>7534</v>
      </c>
      <c r="E416" s="143">
        <v>1</v>
      </c>
      <c r="F416" s="143" t="s">
        <v>168</v>
      </c>
      <c r="G416" s="143" t="s">
        <v>26</v>
      </c>
      <c r="H416" s="143" t="s">
        <v>26</v>
      </c>
      <c r="I416" s="143" t="s">
        <v>176</v>
      </c>
      <c r="J416" s="143" t="s">
        <v>643</v>
      </c>
      <c r="K416" s="144">
        <v>834</v>
      </c>
      <c r="L416" s="145" t="s">
        <v>172</v>
      </c>
      <c r="M416" s="143" t="s">
        <v>6709</v>
      </c>
    </row>
    <row r="417" spans="1:13">
      <c r="A417" s="27" t="s">
        <v>6705</v>
      </c>
      <c r="B417" s="146" t="s">
        <v>7535</v>
      </c>
      <c r="C417" s="146" t="s">
        <v>7519</v>
      </c>
      <c r="D417" s="146" t="s">
        <v>7536</v>
      </c>
      <c r="E417" s="143">
        <v>1</v>
      </c>
      <c r="F417" s="143" t="s">
        <v>168</v>
      </c>
      <c r="G417" s="143" t="s">
        <v>26</v>
      </c>
      <c r="H417" s="143" t="s">
        <v>26</v>
      </c>
      <c r="I417" s="143" t="s">
        <v>176</v>
      </c>
      <c r="J417" s="143" t="s">
        <v>643</v>
      </c>
      <c r="K417" s="144">
        <v>1251</v>
      </c>
      <c r="L417" s="145" t="s">
        <v>172</v>
      </c>
      <c r="M417" s="143" t="s">
        <v>6709</v>
      </c>
    </row>
    <row r="418" spans="1:13">
      <c r="A418" s="27" t="s">
        <v>6705</v>
      </c>
      <c r="B418" s="146" t="s">
        <v>7537</v>
      </c>
      <c r="C418" s="146" t="s">
        <v>7519</v>
      </c>
      <c r="D418" s="146" t="s">
        <v>7538</v>
      </c>
      <c r="E418" s="143">
        <v>1</v>
      </c>
      <c r="F418" s="143" t="s">
        <v>168</v>
      </c>
      <c r="G418" s="143" t="s">
        <v>26</v>
      </c>
      <c r="H418" s="143" t="s">
        <v>26</v>
      </c>
      <c r="I418" s="143" t="s">
        <v>176</v>
      </c>
      <c r="J418" s="143" t="s">
        <v>643</v>
      </c>
      <c r="K418" s="144">
        <v>360</v>
      </c>
      <c r="L418" s="145" t="s">
        <v>172</v>
      </c>
      <c r="M418" s="143" t="s">
        <v>6709</v>
      </c>
    </row>
    <row r="419" spans="1:13">
      <c r="A419" s="27" t="s">
        <v>6705</v>
      </c>
      <c r="B419" s="142" t="s">
        <v>7539</v>
      </c>
      <c r="C419" s="142" t="s">
        <v>7540</v>
      </c>
      <c r="D419" s="142" t="s">
        <v>7541</v>
      </c>
      <c r="E419" s="145">
        <v>1</v>
      </c>
      <c r="F419" s="143" t="s">
        <v>168</v>
      </c>
      <c r="G419" s="143" t="s">
        <v>7542</v>
      </c>
      <c r="H419" s="143" t="s">
        <v>26</v>
      </c>
      <c r="I419" s="143" t="s">
        <v>176</v>
      </c>
      <c r="J419" s="143" t="s">
        <v>643</v>
      </c>
      <c r="K419" s="144">
        <f>8927+25010</f>
        <v>33937</v>
      </c>
      <c r="L419" s="145" t="s">
        <v>172</v>
      </c>
      <c r="M419" s="143" t="s">
        <v>6709</v>
      </c>
    </row>
    <row r="420" spans="1:13">
      <c r="A420" s="27" t="s">
        <v>6705</v>
      </c>
      <c r="B420" s="142" t="s">
        <v>7543</v>
      </c>
      <c r="C420" s="142" t="s">
        <v>7540</v>
      </c>
      <c r="D420" s="142" t="s">
        <v>7544</v>
      </c>
      <c r="E420" s="145">
        <v>1</v>
      </c>
      <c r="F420" s="143" t="s">
        <v>168</v>
      </c>
      <c r="G420" s="143" t="s">
        <v>7542</v>
      </c>
      <c r="H420" s="143" t="s">
        <v>26</v>
      </c>
      <c r="I420" s="143" t="s">
        <v>176</v>
      </c>
      <c r="J420" s="143" t="s">
        <v>643</v>
      </c>
      <c r="K420" s="144">
        <f>8927+25010</f>
        <v>33937</v>
      </c>
      <c r="L420" s="145" t="s">
        <v>172</v>
      </c>
      <c r="M420" s="143" t="s">
        <v>6709</v>
      </c>
    </row>
    <row r="421" spans="1:13">
      <c r="A421" s="27" t="s">
        <v>6705</v>
      </c>
      <c r="B421" s="142" t="s">
        <v>7545</v>
      </c>
      <c r="C421" s="142" t="s">
        <v>7540</v>
      </c>
      <c r="D421" s="142" t="s">
        <v>7546</v>
      </c>
      <c r="E421" s="145">
        <v>1</v>
      </c>
      <c r="F421" s="143" t="s">
        <v>168</v>
      </c>
      <c r="G421" s="143" t="s">
        <v>7542</v>
      </c>
      <c r="H421" s="143" t="s">
        <v>26</v>
      </c>
      <c r="I421" s="143" t="s">
        <v>176</v>
      </c>
      <c r="J421" s="143" t="s">
        <v>643</v>
      </c>
      <c r="K421" s="144">
        <f>4692+17100</f>
        <v>21792</v>
      </c>
      <c r="L421" s="145" t="s">
        <v>172</v>
      </c>
      <c r="M421" s="143" t="s">
        <v>6709</v>
      </c>
    </row>
    <row r="422" spans="1:13">
      <c r="A422" s="27" t="s">
        <v>6705</v>
      </c>
      <c r="B422" s="142" t="s">
        <v>7547</v>
      </c>
      <c r="C422" s="142" t="s">
        <v>7540</v>
      </c>
      <c r="D422" s="142" t="s">
        <v>7548</v>
      </c>
      <c r="E422" s="145">
        <v>1</v>
      </c>
      <c r="F422" s="143" t="s">
        <v>168</v>
      </c>
      <c r="G422" s="143" t="s">
        <v>7542</v>
      </c>
      <c r="H422" s="143" t="s">
        <v>26</v>
      </c>
      <c r="I422" s="143" t="s">
        <v>176</v>
      </c>
      <c r="J422" s="143" t="s">
        <v>643</v>
      </c>
      <c r="K422" s="144">
        <f>6448+17714</f>
        <v>24162</v>
      </c>
      <c r="L422" s="145" t="s">
        <v>172</v>
      </c>
      <c r="M422" s="143" t="s">
        <v>6709</v>
      </c>
    </row>
    <row r="423" spans="1:13">
      <c r="A423" s="27" t="s">
        <v>6705</v>
      </c>
      <c r="B423" s="142" t="s">
        <v>7549</v>
      </c>
      <c r="C423" s="142" t="s">
        <v>7540</v>
      </c>
      <c r="D423" s="142" t="s">
        <v>7550</v>
      </c>
      <c r="E423" s="145">
        <v>1</v>
      </c>
      <c r="F423" s="143" t="s">
        <v>168</v>
      </c>
      <c r="G423" s="143" t="s">
        <v>7542</v>
      </c>
      <c r="H423" s="143" t="s">
        <v>26</v>
      </c>
      <c r="I423" s="143" t="s">
        <v>176</v>
      </c>
      <c r="J423" s="143" t="s">
        <v>643</v>
      </c>
      <c r="K423" s="144">
        <f>1447+3122</f>
        <v>4569</v>
      </c>
      <c r="L423" s="145" t="s">
        <v>172</v>
      </c>
      <c r="M423" s="143" t="s">
        <v>6709</v>
      </c>
    </row>
    <row r="424" spans="1:13">
      <c r="A424" s="27" t="s">
        <v>6705</v>
      </c>
      <c r="B424" s="142" t="s">
        <v>7551</v>
      </c>
      <c r="C424" s="142" t="s">
        <v>7540</v>
      </c>
      <c r="D424" s="142" t="s">
        <v>7552</v>
      </c>
      <c r="E424" s="145">
        <v>1</v>
      </c>
      <c r="F424" s="143" t="s">
        <v>168</v>
      </c>
      <c r="G424" s="143" t="s">
        <v>7542</v>
      </c>
      <c r="H424" s="143" t="s">
        <v>26</v>
      </c>
      <c r="I424" s="143" t="s">
        <v>176</v>
      </c>
      <c r="J424" s="143" t="s">
        <v>643</v>
      </c>
      <c r="K424" s="144">
        <f>10560+25010</f>
        <v>35570</v>
      </c>
      <c r="L424" s="145" t="s">
        <v>172</v>
      </c>
      <c r="M424" s="143" t="s">
        <v>6709</v>
      </c>
    </row>
    <row r="425" spans="1:13">
      <c r="A425" s="27" t="s">
        <v>6705</v>
      </c>
      <c r="B425" s="142" t="s">
        <v>7553</v>
      </c>
      <c r="C425" s="142" t="s">
        <v>7540</v>
      </c>
      <c r="D425" s="142" t="s">
        <v>7554</v>
      </c>
      <c r="E425" s="145">
        <v>1</v>
      </c>
      <c r="F425" s="143" t="s">
        <v>168</v>
      </c>
      <c r="G425" s="143" t="s">
        <v>7542</v>
      </c>
      <c r="H425" s="143" t="s">
        <v>26</v>
      </c>
      <c r="I425" s="143" t="s">
        <v>176</v>
      </c>
      <c r="J425" s="143" t="s">
        <v>643</v>
      </c>
      <c r="K425" s="144">
        <f>1447+3122</f>
        <v>4569</v>
      </c>
      <c r="L425" s="145" t="s">
        <v>172</v>
      </c>
      <c r="M425" s="143" t="s">
        <v>6709</v>
      </c>
    </row>
    <row r="426" spans="1:13">
      <c r="A426" s="27" t="s">
        <v>6705</v>
      </c>
      <c r="B426" s="142" t="s">
        <v>7555</v>
      </c>
      <c r="C426" s="142" t="s">
        <v>7540</v>
      </c>
      <c r="D426" s="142" t="s">
        <v>7556</v>
      </c>
      <c r="E426" s="145">
        <v>1</v>
      </c>
      <c r="F426" s="143" t="s">
        <v>168</v>
      </c>
      <c r="G426" s="143" t="s">
        <v>7542</v>
      </c>
      <c r="H426" s="143" t="s">
        <v>26</v>
      </c>
      <c r="I426" s="143" t="s">
        <v>176</v>
      </c>
      <c r="J426" s="143" t="s">
        <v>643</v>
      </c>
      <c r="K426" s="144">
        <f>818+2280</f>
        <v>3098</v>
      </c>
      <c r="L426" s="145" t="s">
        <v>172</v>
      </c>
      <c r="M426" s="143" t="s">
        <v>6709</v>
      </c>
    </row>
    <row r="427" spans="1:13">
      <c r="A427" s="27" t="s">
        <v>6705</v>
      </c>
      <c r="B427" s="142" t="s">
        <v>7557</v>
      </c>
      <c r="C427" s="142" t="s">
        <v>7540</v>
      </c>
      <c r="D427" s="142" t="s">
        <v>7558</v>
      </c>
      <c r="E427" s="145">
        <v>1</v>
      </c>
      <c r="F427" s="143" t="s">
        <v>168</v>
      </c>
      <c r="G427" s="143" t="s">
        <v>7542</v>
      </c>
      <c r="H427" s="143" t="s">
        <v>26</v>
      </c>
      <c r="I427" s="143" t="s">
        <v>176</v>
      </c>
      <c r="J427" s="143" t="s">
        <v>643</v>
      </c>
      <c r="K427" s="144">
        <f>4811+10418</f>
        <v>15229</v>
      </c>
      <c r="L427" s="145" t="s">
        <v>172</v>
      </c>
      <c r="M427" s="143" t="s">
        <v>6709</v>
      </c>
    </row>
    <row r="428" spans="1:13">
      <c r="A428" s="27" t="s">
        <v>6705</v>
      </c>
      <c r="B428" s="142" t="s">
        <v>7559</v>
      </c>
      <c r="C428" s="142" t="s">
        <v>7540</v>
      </c>
      <c r="D428" s="142" t="s">
        <v>7560</v>
      </c>
      <c r="E428" s="145">
        <v>1</v>
      </c>
      <c r="F428" s="143" t="s">
        <v>168</v>
      </c>
      <c r="G428" s="143" t="s">
        <v>7542</v>
      </c>
      <c r="H428" s="143" t="s">
        <v>26</v>
      </c>
      <c r="I428" s="143" t="s">
        <v>176</v>
      </c>
      <c r="J428" s="143" t="s">
        <v>643</v>
      </c>
      <c r="K428" s="144">
        <f>3724+9114</f>
        <v>12838</v>
      </c>
      <c r="L428" s="145" t="s">
        <v>172</v>
      </c>
      <c r="M428" s="143" t="s">
        <v>6709</v>
      </c>
    </row>
    <row r="429" spans="1:13">
      <c r="A429" s="27" t="s">
        <v>6705</v>
      </c>
      <c r="B429" s="142" t="s">
        <v>7561</v>
      </c>
      <c r="C429" s="142" t="s">
        <v>7540</v>
      </c>
      <c r="D429" s="142" t="s">
        <v>7562</v>
      </c>
      <c r="E429" s="145">
        <v>1</v>
      </c>
      <c r="F429" s="143" t="s">
        <v>168</v>
      </c>
      <c r="G429" s="143" t="s">
        <v>7542</v>
      </c>
      <c r="H429" s="143" t="s">
        <v>26</v>
      </c>
      <c r="I429" s="143" t="s">
        <v>176</v>
      </c>
      <c r="J429" s="143" t="s">
        <v>643</v>
      </c>
      <c r="K429" s="144">
        <f>12943+35339</f>
        <v>48282</v>
      </c>
      <c r="L429" s="145" t="s">
        <v>172</v>
      </c>
      <c r="M429" s="143" t="s">
        <v>6709</v>
      </c>
    </row>
    <row r="430" spans="1:13">
      <c r="A430" s="27" t="s">
        <v>6705</v>
      </c>
      <c r="B430" s="142" t="s">
        <v>7563</v>
      </c>
      <c r="C430" s="142" t="s">
        <v>7540</v>
      </c>
      <c r="D430" s="142" t="s">
        <v>7564</v>
      </c>
      <c r="E430" s="145">
        <v>1</v>
      </c>
      <c r="F430" s="143" t="s">
        <v>168</v>
      </c>
      <c r="G430" s="143" t="s">
        <v>7542</v>
      </c>
      <c r="H430" s="143" t="s">
        <v>26</v>
      </c>
      <c r="I430" s="143" t="s">
        <v>176</v>
      </c>
      <c r="J430" s="143" t="s">
        <v>643</v>
      </c>
      <c r="K430" s="144">
        <f>1580+6839</f>
        <v>8419</v>
      </c>
      <c r="L430" s="145" t="s">
        <v>172</v>
      </c>
      <c r="M430" s="143" t="s">
        <v>6709</v>
      </c>
    </row>
    <row r="431" spans="1:13">
      <c r="A431" s="27" t="s">
        <v>6705</v>
      </c>
      <c r="B431" s="142" t="s">
        <v>7565</v>
      </c>
      <c r="C431" s="142" t="s">
        <v>7540</v>
      </c>
      <c r="D431" s="142" t="s">
        <v>7566</v>
      </c>
      <c r="E431" s="145">
        <v>1</v>
      </c>
      <c r="F431" s="143" t="s">
        <v>168</v>
      </c>
      <c r="G431" s="143" t="s">
        <v>7542</v>
      </c>
      <c r="H431" s="143" t="s">
        <v>26</v>
      </c>
      <c r="I431" s="143" t="s">
        <v>176</v>
      </c>
      <c r="J431" s="143" t="s">
        <v>643</v>
      </c>
      <c r="K431" s="144">
        <v>25010</v>
      </c>
      <c r="L431" s="145" t="s">
        <v>172</v>
      </c>
      <c r="M431" s="143" t="s">
        <v>6709</v>
      </c>
    </row>
    <row r="432" spans="1:13">
      <c r="A432" s="27" t="s">
        <v>6705</v>
      </c>
      <c r="B432" s="142" t="s">
        <v>7567</v>
      </c>
      <c r="C432" s="142" t="s">
        <v>7540</v>
      </c>
      <c r="D432" s="142" t="s">
        <v>7568</v>
      </c>
      <c r="E432" s="145">
        <v>1</v>
      </c>
      <c r="F432" s="143" t="s">
        <v>168</v>
      </c>
      <c r="G432" s="143" t="s">
        <v>7542</v>
      </c>
      <c r="H432" s="143" t="s">
        <v>26</v>
      </c>
      <c r="I432" s="143" t="s">
        <v>176</v>
      </c>
      <c r="J432" s="143" t="s">
        <v>643</v>
      </c>
      <c r="K432" s="144">
        <f>363+2280</f>
        <v>2643</v>
      </c>
      <c r="L432" s="145" t="s">
        <v>172</v>
      </c>
      <c r="M432" s="143" t="s">
        <v>6709</v>
      </c>
    </row>
    <row r="433" spans="1:13">
      <c r="A433" s="27" t="s">
        <v>6705</v>
      </c>
      <c r="B433" s="142" t="s">
        <v>7569</v>
      </c>
      <c r="C433" s="142" t="s">
        <v>7540</v>
      </c>
      <c r="D433" s="142" t="s">
        <v>7570</v>
      </c>
      <c r="E433" s="145">
        <v>1</v>
      </c>
      <c r="F433" s="143" t="s">
        <v>168</v>
      </c>
      <c r="G433" s="143" t="s">
        <v>7542</v>
      </c>
      <c r="H433" s="143" t="s">
        <v>26</v>
      </c>
      <c r="I433" s="143" t="s">
        <v>176</v>
      </c>
      <c r="J433" s="143" t="s">
        <v>643</v>
      </c>
      <c r="K433" s="144">
        <f>1823+4787</f>
        <v>6610</v>
      </c>
      <c r="L433" s="145" t="s">
        <v>172</v>
      </c>
      <c r="M433" s="143" t="s">
        <v>6709</v>
      </c>
    </row>
    <row r="434" spans="1:13">
      <c r="A434" s="27" t="s">
        <v>6705</v>
      </c>
      <c r="B434" s="142" t="s">
        <v>7571</v>
      </c>
      <c r="C434" s="142" t="s">
        <v>7540</v>
      </c>
      <c r="D434" s="142" t="s">
        <v>7572</v>
      </c>
      <c r="E434" s="145">
        <v>1</v>
      </c>
      <c r="F434" s="143" t="s">
        <v>168</v>
      </c>
      <c r="G434" s="143" t="s">
        <v>7542</v>
      </c>
      <c r="H434" s="143" t="s">
        <v>26</v>
      </c>
      <c r="I434" s="143" t="s">
        <v>176</v>
      </c>
      <c r="J434" s="143" t="s">
        <v>643</v>
      </c>
      <c r="K434" s="144">
        <f>2363+6834</f>
        <v>9197</v>
      </c>
      <c r="L434" s="145" t="s">
        <v>172</v>
      </c>
      <c r="M434" s="143" t="s">
        <v>6709</v>
      </c>
    </row>
    <row r="435" spans="1:13">
      <c r="A435" s="27" t="s">
        <v>6705</v>
      </c>
      <c r="B435" s="142" t="s">
        <v>7573</v>
      </c>
      <c r="C435" s="142" t="s">
        <v>7540</v>
      </c>
      <c r="D435" s="142" t="s">
        <v>7574</v>
      </c>
      <c r="E435" s="145">
        <v>1</v>
      </c>
      <c r="F435" s="143" t="s">
        <v>168</v>
      </c>
      <c r="G435" s="143" t="s">
        <v>7542</v>
      </c>
      <c r="H435" s="143" t="s">
        <v>26</v>
      </c>
      <c r="I435" s="143" t="s">
        <v>176</v>
      </c>
      <c r="J435" s="143" t="s">
        <v>643</v>
      </c>
      <c r="K435" s="144">
        <f>4211+9114</f>
        <v>13325</v>
      </c>
      <c r="L435" s="145" t="s">
        <v>172</v>
      </c>
      <c r="M435" s="143" t="s">
        <v>6709</v>
      </c>
    </row>
    <row r="436" spans="1:13">
      <c r="A436" s="27" t="s">
        <v>6705</v>
      </c>
      <c r="B436" s="142" t="s">
        <v>7575</v>
      </c>
      <c r="C436" s="142" t="s">
        <v>7540</v>
      </c>
      <c r="D436" s="142" t="s">
        <v>7576</v>
      </c>
      <c r="E436" s="145">
        <v>1</v>
      </c>
      <c r="F436" s="143" t="s">
        <v>168</v>
      </c>
      <c r="G436" s="143" t="s">
        <v>7542</v>
      </c>
      <c r="H436" s="143" t="s">
        <v>26</v>
      </c>
      <c r="I436" s="143" t="s">
        <v>176</v>
      </c>
      <c r="J436" s="143" t="s">
        <v>643</v>
      </c>
      <c r="K436" s="144">
        <f>363+854</f>
        <v>1217</v>
      </c>
      <c r="L436" s="145" t="s">
        <v>172</v>
      </c>
      <c r="M436" s="143" t="s">
        <v>6709</v>
      </c>
    </row>
    <row r="437" spans="1:13">
      <c r="A437" s="27" t="s">
        <v>6705</v>
      </c>
      <c r="B437" s="142" t="s">
        <v>7577</v>
      </c>
      <c r="C437" s="142" t="s">
        <v>7540</v>
      </c>
      <c r="D437" s="142" t="s">
        <v>7578</v>
      </c>
      <c r="E437" s="145">
        <v>1</v>
      </c>
      <c r="F437" s="143" t="s">
        <v>168</v>
      </c>
      <c r="G437" s="143" t="s">
        <v>7542</v>
      </c>
      <c r="H437" s="143" t="s">
        <v>26</v>
      </c>
      <c r="I437" s="143" t="s">
        <v>176</v>
      </c>
      <c r="J437" s="143" t="s">
        <v>643</v>
      </c>
      <c r="K437" s="144">
        <f>818+2274</f>
        <v>3092</v>
      </c>
      <c r="L437" s="145" t="s">
        <v>172</v>
      </c>
      <c r="M437" s="143" t="s">
        <v>6709</v>
      </c>
    </row>
    <row r="438" spans="1:13">
      <c r="A438" s="27" t="s">
        <v>6705</v>
      </c>
      <c r="B438" s="142" t="s">
        <v>7579</v>
      </c>
      <c r="C438" s="142" t="s">
        <v>7540</v>
      </c>
      <c r="D438" s="142" t="s">
        <v>7580</v>
      </c>
      <c r="E438" s="145">
        <v>1</v>
      </c>
      <c r="F438" s="143" t="s">
        <v>168</v>
      </c>
      <c r="G438" s="143" t="s">
        <v>7542</v>
      </c>
      <c r="H438" s="143" t="s">
        <v>26</v>
      </c>
      <c r="I438" s="143" t="s">
        <v>176</v>
      </c>
      <c r="J438" s="143" t="s">
        <v>643</v>
      </c>
      <c r="K438" s="144">
        <f>2107+4560</f>
        <v>6667</v>
      </c>
      <c r="L438" s="145" t="s">
        <v>172</v>
      </c>
      <c r="M438" s="143" t="s">
        <v>6709</v>
      </c>
    </row>
    <row r="439" spans="1:13">
      <c r="A439" s="27" t="s">
        <v>6705</v>
      </c>
      <c r="B439" s="142" t="s">
        <v>7581</v>
      </c>
      <c r="C439" s="142" t="s">
        <v>7540</v>
      </c>
      <c r="D439" s="142" t="s">
        <v>7582</v>
      </c>
      <c r="E439" s="145">
        <v>1</v>
      </c>
      <c r="F439" s="143" t="s">
        <v>168</v>
      </c>
      <c r="G439" s="143" t="s">
        <v>7542</v>
      </c>
      <c r="H439" s="143" t="s">
        <v>26</v>
      </c>
      <c r="I439" s="143" t="s">
        <v>176</v>
      </c>
      <c r="J439" s="143" t="s">
        <v>643</v>
      </c>
      <c r="K439" s="144">
        <f>316+1140</f>
        <v>1456</v>
      </c>
      <c r="L439" s="145" t="s">
        <v>172</v>
      </c>
      <c r="M439" s="143" t="s">
        <v>6709</v>
      </c>
    </row>
    <row r="440" spans="1:13">
      <c r="A440" s="27" t="s">
        <v>6705</v>
      </c>
      <c r="B440" s="142" t="s">
        <v>7583</v>
      </c>
      <c r="C440" s="142" t="s">
        <v>7540</v>
      </c>
      <c r="D440" s="142" t="s">
        <v>7584</v>
      </c>
      <c r="E440" s="145">
        <v>1</v>
      </c>
      <c r="F440" s="143" t="s">
        <v>168</v>
      </c>
      <c r="G440" s="143" t="s">
        <v>7542</v>
      </c>
      <c r="H440" s="143" t="s">
        <v>26</v>
      </c>
      <c r="I440" s="143" t="s">
        <v>176</v>
      </c>
      <c r="J440" s="143" t="s">
        <v>643</v>
      </c>
      <c r="K440" s="144">
        <f>1317+2850</f>
        <v>4167</v>
      </c>
      <c r="L440" s="145" t="s">
        <v>172</v>
      </c>
      <c r="M440" s="143" t="s">
        <v>6709</v>
      </c>
    </row>
    <row r="441" spans="1:13">
      <c r="A441" s="27" t="s">
        <v>6705</v>
      </c>
      <c r="B441" s="142" t="s">
        <v>7585</v>
      </c>
      <c r="C441" s="142" t="s">
        <v>7540</v>
      </c>
      <c r="D441" s="142" t="s">
        <v>7586</v>
      </c>
      <c r="E441" s="145">
        <v>1</v>
      </c>
      <c r="F441" s="143" t="s">
        <v>168</v>
      </c>
      <c r="G441" s="143" t="s">
        <v>7542</v>
      </c>
      <c r="H441" s="143" t="s">
        <v>26</v>
      </c>
      <c r="I441" s="143" t="s">
        <v>176</v>
      </c>
      <c r="J441" s="143" t="s">
        <v>643</v>
      </c>
      <c r="K441" s="144">
        <f>500+1710</f>
        <v>2210</v>
      </c>
      <c r="L441" s="145" t="s">
        <v>172</v>
      </c>
      <c r="M441" s="143" t="s">
        <v>6709</v>
      </c>
    </row>
    <row r="442" spans="1:13">
      <c r="A442" s="27" t="s">
        <v>6705</v>
      </c>
      <c r="B442" s="142" t="s">
        <v>7587</v>
      </c>
      <c r="C442" s="142" t="s">
        <v>7540</v>
      </c>
      <c r="D442" s="142" t="s">
        <v>7588</v>
      </c>
      <c r="E442" s="145">
        <v>1</v>
      </c>
      <c r="F442" s="143" t="s">
        <v>168</v>
      </c>
      <c r="G442" s="143" t="s">
        <v>7542</v>
      </c>
      <c r="H442" s="143" t="s">
        <v>26</v>
      </c>
      <c r="I442" s="143" t="s">
        <v>176</v>
      </c>
      <c r="J442" s="143" t="s">
        <v>643</v>
      </c>
      <c r="K442" s="144">
        <f>1481+4275</f>
        <v>5756</v>
      </c>
      <c r="L442" s="145" t="s">
        <v>172</v>
      </c>
      <c r="M442" s="143" t="s">
        <v>6709</v>
      </c>
    </row>
    <row r="443" spans="1:13">
      <c r="A443" s="27" t="s">
        <v>6705</v>
      </c>
      <c r="B443" s="142" t="s">
        <v>7589</v>
      </c>
      <c r="C443" s="142" t="s">
        <v>7540</v>
      </c>
      <c r="D443" s="142" t="s">
        <v>7590</v>
      </c>
      <c r="E443" s="145">
        <v>1</v>
      </c>
      <c r="F443" s="143" t="s">
        <v>168</v>
      </c>
      <c r="G443" s="143" t="s">
        <v>7542</v>
      </c>
      <c r="H443" s="143" t="s">
        <v>26</v>
      </c>
      <c r="I443" s="143" t="s">
        <v>176</v>
      </c>
      <c r="J443" s="143" t="s">
        <v>643</v>
      </c>
      <c r="K443" s="144">
        <f>815+2850</f>
        <v>3665</v>
      </c>
      <c r="L443" s="145" t="s">
        <v>172</v>
      </c>
      <c r="M443" s="143" t="s">
        <v>6709</v>
      </c>
    </row>
    <row r="444" spans="1:13">
      <c r="A444" s="27" t="s">
        <v>6705</v>
      </c>
      <c r="B444" s="142" t="s">
        <v>7591</v>
      </c>
      <c r="C444" s="142" t="s">
        <v>7540</v>
      </c>
      <c r="D444" s="142" t="s">
        <v>7592</v>
      </c>
      <c r="E444" s="145">
        <v>1</v>
      </c>
      <c r="F444" s="143" t="s">
        <v>168</v>
      </c>
      <c r="G444" s="143" t="s">
        <v>7542</v>
      </c>
      <c r="H444" s="143" t="s">
        <v>26</v>
      </c>
      <c r="I444" s="143" t="s">
        <v>176</v>
      </c>
      <c r="J444" s="143" t="s">
        <v>643</v>
      </c>
      <c r="K444" s="144">
        <f>790+1710</f>
        <v>2500</v>
      </c>
      <c r="L444" s="145" t="s">
        <v>172</v>
      </c>
      <c r="M444" s="143" t="s">
        <v>6709</v>
      </c>
    </row>
    <row r="445" spans="1:13">
      <c r="A445" s="27" t="s">
        <v>6705</v>
      </c>
      <c r="B445" s="142" t="s">
        <v>7593</v>
      </c>
      <c r="C445" s="142" t="s">
        <v>7540</v>
      </c>
      <c r="D445" s="142" t="s">
        <v>7594</v>
      </c>
      <c r="E445" s="145">
        <v>1</v>
      </c>
      <c r="F445" s="143" t="s">
        <v>168</v>
      </c>
      <c r="G445" s="143" t="s">
        <v>7542</v>
      </c>
      <c r="H445" s="143" t="s">
        <v>26</v>
      </c>
      <c r="I445" s="143" t="s">
        <v>176</v>
      </c>
      <c r="J445" s="143" t="s">
        <v>643</v>
      </c>
      <c r="K445" s="144">
        <f>316+1140</f>
        <v>1456</v>
      </c>
      <c r="L445" s="145" t="s">
        <v>172</v>
      </c>
      <c r="M445" s="143" t="s">
        <v>6709</v>
      </c>
    </row>
    <row r="446" spans="1:13">
      <c r="A446" s="27" t="s">
        <v>6705</v>
      </c>
      <c r="B446" s="142" t="s">
        <v>7595</v>
      </c>
      <c r="C446" s="142" t="s">
        <v>7540</v>
      </c>
      <c r="D446" s="142" t="s">
        <v>7596</v>
      </c>
      <c r="E446" s="145">
        <v>1</v>
      </c>
      <c r="F446" s="143" t="s">
        <v>168</v>
      </c>
      <c r="G446" s="143" t="s">
        <v>7542</v>
      </c>
      <c r="H446" s="143" t="s">
        <v>26</v>
      </c>
      <c r="I446" s="143" t="s">
        <v>176</v>
      </c>
      <c r="J446" s="143" t="s">
        <v>643</v>
      </c>
      <c r="K446" s="144">
        <f>5266+11400</f>
        <v>16666</v>
      </c>
      <c r="L446" s="145" t="s">
        <v>172</v>
      </c>
      <c r="M446" s="143" t="s">
        <v>6709</v>
      </c>
    </row>
    <row r="447" spans="1:13">
      <c r="A447" s="27" t="s">
        <v>6705</v>
      </c>
      <c r="B447" s="142" t="s">
        <v>7597</v>
      </c>
      <c r="C447" s="142" t="s">
        <v>7540</v>
      </c>
      <c r="D447" s="142" t="s">
        <v>7598</v>
      </c>
      <c r="E447" s="145">
        <v>1</v>
      </c>
      <c r="F447" s="143" t="s">
        <v>168</v>
      </c>
      <c r="G447" s="143" t="s">
        <v>7542</v>
      </c>
      <c r="H447" s="143" t="s">
        <v>26</v>
      </c>
      <c r="I447" s="143" t="s">
        <v>176</v>
      </c>
      <c r="J447" s="143" t="s">
        <v>643</v>
      </c>
      <c r="K447" s="144">
        <f>2631+5700</f>
        <v>8331</v>
      </c>
      <c r="L447" s="145" t="s">
        <v>172</v>
      </c>
      <c r="M447" s="143" t="s">
        <v>6709</v>
      </c>
    </row>
    <row r="448" spans="1:13">
      <c r="A448" s="27" t="s">
        <v>6705</v>
      </c>
      <c r="B448" s="142" t="s">
        <v>7599</v>
      </c>
      <c r="C448" s="142" t="s">
        <v>7540</v>
      </c>
      <c r="D448" s="142" t="s">
        <v>7600</v>
      </c>
      <c r="E448" s="145">
        <v>1</v>
      </c>
      <c r="F448" s="143" t="s">
        <v>168</v>
      </c>
      <c r="G448" s="143" t="s">
        <v>7542</v>
      </c>
      <c r="H448" s="143" t="s">
        <v>26</v>
      </c>
      <c r="I448" s="143" t="s">
        <v>176</v>
      </c>
      <c r="J448" s="143" t="s">
        <v>643</v>
      </c>
      <c r="K448" s="144">
        <f>2631+5700</f>
        <v>8331</v>
      </c>
      <c r="L448" s="145" t="s">
        <v>172</v>
      </c>
      <c r="M448" s="143" t="s">
        <v>6709</v>
      </c>
    </row>
    <row r="449" spans="1:13">
      <c r="A449" s="27" t="s">
        <v>6705</v>
      </c>
      <c r="B449" s="142" t="s">
        <v>7601</v>
      </c>
      <c r="C449" s="142" t="s">
        <v>7540</v>
      </c>
      <c r="D449" s="142" t="s">
        <v>7602</v>
      </c>
      <c r="E449" s="145">
        <v>1</v>
      </c>
      <c r="F449" s="143" t="s">
        <v>168</v>
      </c>
      <c r="G449" s="143" t="s">
        <v>7542</v>
      </c>
      <c r="H449" s="143" t="s">
        <v>26</v>
      </c>
      <c r="I449" s="143" t="s">
        <v>176</v>
      </c>
      <c r="J449" s="143" t="s">
        <v>643</v>
      </c>
      <c r="K449" s="144">
        <f>1801+4560</f>
        <v>6361</v>
      </c>
      <c r="L449" s="145" t="s">
        <v>172</v>
      </c>
      <c r="M449" s="143" t="s">
        <v>6709</v>
      </c>
    </row>
    <row r="450" spans="1:13">
      <c r="A450" s="27" t="s">
        <v>6705</v>
      </c>
      <c r="B450" s="142" t="s">
        <v>7603</v>
      </c>
      <c r="C450" s="142" t="s">
        <v>7540</v>
      </c>
      <c r="D450" s="142" t="s">
        <v>7604</v>
      </c>
      <c r="E450" s="145">
        <v>1</v>
      </c>
      <c r="F450" s="143" t="s">
        <v>168</v>
      </c>
      <c r="G450" s="143" t="s">
        <v>7542</v>
      </c>
      <c r="H450" s="143" t="s">
        <v>26</v>
      </c>
      <c r="I450" s="143" t="s">
        <v>176</v>
      </c>
      <c r="J450" s="143" t="s">
        <v>643</v>
      </c>
      <c r="K450" s="144">
        <f>7980+6750</f>
        <v>14730</v>
      </c>
      <c r="L450" s="145" t="s">
        <v>172</v>
      </c>
      <c r="M450" s="143" t="s">
        <v>6709</v>
      </c>
    </row>
    <row r="451" spans="1:13">
      <c r="A451" s="27" t="s">
        <v>6705</v>
      </c>
      <c r="B451" s="142" t="s">
        <v>7605</v>
      </c>
      <c r="C451" s="142" t="s">
        <v>7540</v>
      </c>
      <c r="D451" s="142" t="s">
        <v>7606</v>
      </c>
      <c r="E451" s="145">
        <v>1</v>
      </c>
      <c r="F451" s="143" t="s">
        <v>168</v>
      </c>
      <c r="G451" s="143" t="s">
        <v>7542</v>
      </c>
      <c r="H451" s="143" t="s">
        <v>26</v>
      </c>
      <c r="I451" s="143" t="s">
        <v>176</v>
      </c>
      <c r="J451" s="143" t="s">
        <v>643</v>
      </c>
      <c r="K451" s="144">
        <f>1350+3420</f>
        <v>4770</v>
      </c>
      <c r="L451" s="145" t="s">
        <v>172</v>
      </c>
      <c r="M451" s="143" t="s">
        <v>6709</v>
      </c>
    </row>
    <row r="452" spans="1:13">
      <c r="A452" s="27" t="s">
        <v>6705</v>
      </c>
      <c r="B452" s="142" t="s">
        <v>7607</v>
      </c>
      <c r="C452" s="142" t="s">
        <v>7540</v>
      </c>
      <c r="D452" s="142" t="s">
        <v>7608</v>
      </c>
      <c r="E452" s="145">
        <v>1</v>
      </c>
      <c r="F452" s="143" t="s">
        <v>168</v>
      </c>
      <c r="G452" s="143" t="s">
        <v>7542</v>
      </c>
      <c r="H452" s="143" t="s">
        <v>26</v>
      </c>
      <c r="I452" s="143" t="s">
        <v>176</v>
      </c>
      <c r="J452" s="143" t="s">
        <v>643</v>
      </c>
      <c r="K452" s="144">
        <f>810+2280</f>
        <v>3090</v>
      </c>
      <c r="L452" s="145" t="s">
        <v>172</v>
      </c>
      <c r="M452" s="143" t="s">
        <v>6709</v>
      </c>
    </row>
    <row r="453" spans="1:13">
      <c r="A453" s="27" t="s">
        <v>6705</v>
      </c>
      <c r="B453" s="142" t="s">
        <v>7609</v>
      </c>
      <c r="C453" s="142" t="s">
        <v>7540</v>
      </c>
      <c r="D453" s="142" t="s">
        <v>7610</v>
      </c>
      <c r="E453" s="145">
        <v>1</v>
      </c>
      <c r="F453" s="143" t="s">
        <v>168</v>
      </c>
      <c r="G453" s="143" t="s">
        <v>7542</v>
      </c>
      <c r="H453" s="143" t="s">
        <v>26</v>
      </c>
      <c r="I453" s="143" t="s">
        <v>176</v>
      </c>
      <c r="J453" s="143" t="s">
        <v>643</v>
      </c>
      <c r="K453" s="144">
        <f>4782+1558</f>
        <v>6340</v>
      </c>
      <c r="L453" s="145" t="s">
        <v>172</v>
      </c>
      <c r="M453" s="143" t="s">
        <v>6709</v>
      </c>
    </row>
    <row r="454" spans="1:13">
      <c r="A454" s="27" t="s">
        <v>6705</v>
      </c>
      <c r="B454" s="142" t="s">
        <v>7611</v>
      </c>
      <c r="C454" s="142" t="s">
        <v>7540</v>
      </c>
      <c r="D454" s="142" t="s">
        <v>7612</v>
      </c>
      <c r="E454" s="145">
        <v>1</v>
      </c>
      <c r="F454" s="143" t="s">
        <v>168</v>
      </c>
      <c r="G454" s="143" t="s">
        <v>7542</v>
      </c>
      <c r="H454" s="143" t="s">
        <v>26</v>
      </c>
      <c r="I454" s="143" t="s">
        <v>176</v>
      </c>
      <c r="J454" s="143" t="s">
        <v>643</v>
      </c>
      <c r="K454" s="144">
        <f>1266+4275</f>
        <v>5541</v>
      </c>
      <c r="L454" s="145" t="s">
        <v>172</v>
      </c>
      <c r="M454" s="143" t="s">
        <v>6709</v>
      </c>
    </row>
    <row r="455" spans="1:13">
      <c r="A455" s="27" t="s">
        <v>6705</v>
      </c>
      <c r="B455" s="142" t="s">
        <v>7613</v>
      </c>
      <c r="C455" s="142" t="s">
        <v>7540</v>
      </c>
      <c r="D455" s="142" t="s">
        <v>7614</v>
      </c>
      <c r="E455" s="145">
        <v>1</v>
      </c>
      <c r="F455" s="143" t="s">
        <v>168</v>
      </c>
      <c r="G455" s="143" t="s">
        <v>7542</v>
      </c>
      <c r="H455" s="143" t="s">
        <v>26</v>
      </c>
      <c r="I455" s="143" t="s">
        <v>176</v>
      </c>
      <c r="J455" s="143" t="s">
        <v>643</v>
      </c>
      <c r="K455" s="144">
        <f>2020+6834</f>
        <v>8854</v>
      </c>
      <c r="L455" s="145" t="s">
        <v>172</v>
      </c>
      <c r="M455" s="143" t="s">
        <v>6709</v>
      </c>
    </row>
    <row r="456" spans="1:13">
      <c r="A456" s="27" t="s">
        <v>6705</v>
      </c>
      <c r="B456" s="142" t="s">
        <v>7615</v>
      </c>
      <c r="C456" s="142" t="s">
        <v>7540</v>
      </c>
      <c r="D456" s="142" t="s">
        <v>7616</v>
      </c>
      <c r="E456" s="145">
        <v>1</v>
      </c>
      <c r="F456" s="143" t="s">
        <v>168</v>
      </c>
      <c r="G456" s="143" t="s">
        <v>7542</v>
      </c>
      <c r="H456" s="143" t="s">
        <v>26</v>
      </c>
      <c r="I456" s="143" t="s">
        <v>176</v>
      </c>
      <c r="J456" s="143" t="s">
        <v>643</v>
      </c>
      <c r="K456" s="144">
        <f>2249+5700</f>
        <v>7949</v>
      </c>
      <c r="L456" s="145" t="s">
        <v>172</v>
      </c>
      <c r="M456" s="143" t="s">
        <v>6709</v>
      </c>
    </row>
    <row r="457" spans="1:13">
      <c r="A457" s="27" t="s">
        <v>6705</v>
      </c>
      <c r="B457" s="142" t="s">
        <v>7617</v>
      </c>
      <c r="C457" s="142" t="s">
        <v>7540</v>
      </c>
      <c r="D457" s="142" t="s">
        <v>7618</v>
      </c>
      <c r="E457" s="145">
        <v>1</v>
      </c>
      <c r="F457" s="143" t="s">
        <v>168</v>
      </c>
      <c r="G457" s="143" t="s">
        <v>7542</v>
      </c>
      <c r="H457" s="143" t="s">
        <v>26</v>
      </c>
      <c r="I457" s="143" t="s">
        <v>176</v>
      </c>
      <c r="J457" s="143" t="s">
        <v>643</v>
      </c>
      <c r="K457" s="144">
        <f>3599+9114</f>
        <v>12713</v>
      </c>
      <c r="L457" s="145" t="s">
        <v>172</v>
      </c>
      <c r="M457" s="143" t="s">
        <v>6709</v>
      </c>
    </row>
    <row r="458" spans="1:13">
      <c r="A458" s="27" t="s">
        <v>6705</v>
      </c>
      <c r="B458" s="142" t="s">
        <v>7619</v>
      </c>
      <c r="C458" s="142" t="s">
        <v>7540</v>
      </c>
      <c r="D458" s="142" t="s">
        <v>7620</v>
      </c>
      <c r="E458" s="145">
        <v>1</v>
      </c>
      <c r="F458" s="143" t="s">
        <v>168</v>
      </c>
      <c r="G458" s="143" t="s">
        <v>7542</v>
      </c>
      <c r="H458" s="143" t="s">
        <v>26</v>
      </c>
      <c r="I458" s="143" t="s">
        <v>176</v>
      </c>
      <c r="J458" s="143" t="s">
        <v>643</v>
      </c>
      <c r="K458" s="144">
        <f>697+2850</f>
        <v>3547</v>
      </c>
      <c r="L458" s="145" t="s">
        <v>172</v>
      </c>
      <c r="M458" s="143" t="s">
        <v>6709</v>
      </c>
    </row>
    <row r="459" spans="1:13">
      <c r="A459" s="27" t="s">
        <v>6705</v>
      </c>
      <c r="B459" s="142" t="s">
        <v>7621</v>
      </c>
      <c r="C459" s="142" t="s">
        <v>7540</v>
      </c>
      <c r="D459" s="142" t="s">
        <v>7622</v>
      </c>
      <c r="E459" s="145">
        <v>1</v>
      </c>
      <c r="F459" s="143" t="s">
        <v>168</v>
      </c>
      <c r="G459" s="143" t="s">
        <v>7542</v>
      </c>
      <c r="H459" s="143" t="s">
        <v>26</v>
      </c>
      <c r="I459" s="143" t="s">
        <v>176</v>
      </c>
      <c r="J459" s="143" t="s">
        <v>643</v>
      </c>
      <c r="K459" s="144">
        <f>810+3420</f>
        <v>4230</v>
      </c>
      <c r="L459" s="145" t="s">
        <v>172</v>
      </c>
      <c r="M459" s="143" t="s">
        <v>6709</v>
      </c>
    </row>
    <row r="460" spans="1:13">
      <c r="A460" s="27" t="s">
        <v>6705</v>
      </c>
      <c r="B460" s="142" t="s">
        <v>7623</v>
      </c>
      <c r="C460" s="142" t="s">
        <v>7540</v>
      </c>
      <c r="D460" s="142" t="s">
        <v>7624</v>
      </c>
      <c r="E460" s="145">
        <v>1</v>
      </c>
      <c r="F460" s="143" t="s">
        <v>168</v>
      </c>
      <c r="G460" s="143" t="s">
        <v>7542</v>
      </c>
      <c r="H460" s="143" t="s">
        <v>26</v>
      </c>
      <c r="I460" s="143" t="s">
        <v>176</v>
      </c>
      <c r="J460" s="143" t="s">
        <v>643</v>
      </c>
      <c r="K460" s="144">
        <v>67</v>
      </c>
      <c r="L460" s="145" t="s">
        <v>172</v>
      </c>
      <c r="M460" s="143" t="s">
        <v>6709</v>
      </c>
    </row>
    <row r="461" spans="1:13">
      <c r="A461" s="27" t="s">
        <v>6705</v>
      </c>
      <c r="B461" s="142" t="s">
        <v>7625</v>
      </c>
      <c r="C461" s="142" t="s">
        <v>7540</v>
      </c>
      <c r="D461" s="142" t="s">
        <v>7626</v>
      </c>
      <c r="E461" s="145">
        <v>1</v>
      </c>
      <c r="F461" s="143" t="s">
        <v>168</v>
      </c>
      <c r="G461" s="143" t="s">
        <v>7542</v>
      </c>
      <c r="H461" s="143" t="s">
        <v>26</v>
      </c>
      <c r="I461" s="143" t="s">
        <v>176</v>
      </c>
      <c r="J461" s="143" t="s">
        <v>643</v>
      </c>
      <c r="K461" s="144">
        <v>136</v>
      </c>
      <c r="L461" s="145" t="s">
        <v>172</v>
      </c>
      <c r="M461" s="143" t="s">
        <v>6709</v>
      </c>
    </row>
    <row r="462" spans="1:13">
      <c r="A462" s="27" t="s">
        <v>6705</v>
      </c>
      <c r="B462" s="142" t="s">
        <v>7627</v>
      </c>
      <c r="C462" s="142" t="s">
        <v>7540</v>
      </c>
      <c r="D462" s="142" t="s">
        <v>7628</v>
      </c>
      <c r="E462" s="145">
        <v>1</v>
      </c>
      <c r="F462" s="143" t="s">
        <v>168</v>
      </c>
      <c r="G462" s="143" t="s">
        <v>7542</v>
      </c>
      <c r="H462" s="143" t="s">
        <v>26</v>
      </c>
      <c r="I462" s="143" t="s">
        <v>176</v>
      </c>
      <c r="J462" s="143" t="s">
        <v>643</v>
      </c>
      <c r="K462" s="144">
        <v>29</v>
      </c>
      <c r="L462" s="145" t="s">
        <v>172</v>
      </c>
      <c r="M462" s="143" t="s">
        <v>6709</v>
      </c>
    </row>
    <row r="463" spans="1:13">
      <c r="A463" s="27" t="s">
        <v>6705</v>
      </c>
      <c r="B463" s="142" t="s">
        <v>7629</v>
      </c>
      <c r="C463" s="142" t="s">
        <v>7540</v>
      </c>
      <c r="D463" s="142" t="s">
        <v>7630</v>
      </c>
      <c r="E463" s="145">
        <v>1</v>
      </c>
      <c r="F463" s="143" t="s">
        <v>168</v>
      </c>
      <c r="G463" s="143" t="s">
        <v>7542</v>
      </c>
      <c r="H463" s="143" t="s">
        <v>26</v>
      </c>
      <c r="I463" s="143" t="s">
        <v>176</v>
      </c>
      <c r="J463" s="143" t="s">
        <v>643</v>
      </c>
      <c r="K463" s="144">
        <v>97</v>
      </c>
      <c r="L463" s="145" t="s">
        <v>172</v>
      </c>
      <c r="M463" s="143" t="s">
        <v>6709</v>
      </c>
    </row>
    <row r="464" spans="1:13">
      <c r="A464" s="27" t="s">
        <v>6705</v>
      </c>
      <c r="B464" s="142" t="s">
        <v>7631</v>
      </c>
      <c r="C464" s="142" t="s">
        <v>7540</v>
      </c>
      <c r="D464" s="142" t="s">
        <v>7632</v>
      </c>
      <c r="E464" s="145">
        <v>1</v>
      </c>
      <c r="F464" s="143" t="s">
        <v>168</v>
      </c>
      <c r="G464" s="143" t="s">
        <v>7542</v>
      </c>
      <c r="H464" s="143" t="s">
        <v>26</v>
      </c>
      <c r="I464" s="143" t="s">
        <v>176</v>
      </c>
      <c r="J464" s="143" t="s">
        <v>643</v>
      </c>
      <c r="K464" s="144">
        <v>150</v>
      </c>
      <c r="L464" s="145" t="s">
        <v>172</v>
      </c>
      <c r="M464" s="143" t="s">
        <v>6709</v>
      </c>
    </row>
    <row r="465" spans="1:13">
      <c r="A465" s="27" t="s">
        <v>6705</v>
      </c>
      <c r="B465" s="142" t="s">
        <v>7633</v>
      </c>
      <c r="C465" s="142" t="s">
        <v>7540</v>
      </c>
      <c r="D465" s="142" t="s">
        <v>7634</v>
      </c>
      <c r="E465" s="145">
        <v>1</v>
      </c>
      <c r="F465" s="143" t="s">
        <v>168</v>
      </c>
      <c r="G465" s="143" t="s">
        <v>7542</v>
      </c>
      <c r="H465" s="143" t="s">
        <v>26</v>
      </c>
      <c r="I465" s="143" t="s">
        <v>176</v>
      </c>
      <c r="J465" s="143" t="s">
        <v>643</v>
      </c>
      <c r="K465" s="144">
        <v>4950</v>
      </c>
      <c r="L465" s="145" t="s">
        <v>172</v>
      </c>
      <c r="M465" s="143" t="s">
        <v>6709</v>
      </c>
    </row>
    <row r="466" spans="1:13">
      <c r="A466" s="27" t="s">
        <v>6705</v>
      </c>
      <c r="B466" s="142" t="s">
        <v>7635</v>
      </c>
      <c r="C466" s="142" t="s">
        <v>7540</v>
      </c>
      <c r="D466" s="142" t="s">
        <v>7636</v>
      </c>
      <c r="E466" s="145">
        <v>1</v>
      </c>
      <c r="F466" s="143" t="s">
        <v>168</v>
      </c>
      <c r="G466" s="143" t="s">
        <v>7542</v>
      </c>
      <c r="H466" s="143" t="s">
        <v>26</v>
      </c>
      <c r="I466" s="143" t="s">
        <v>176</v>
      </c>
      <c r="J466" s="143" t="s">
        <v>643</v>
      </c>
      <c r="K466" s="144">
        <f>342+124</f>
        <v>466</v>
      </c>
      <c r="L466" s="145" t="s">
        <v>172</v>
      </c>
      <c r="M466" s="143" t="s">
        <v>6709</v>
      </c>
    </row>
    <row r="467" spans="1:13">
      <c r="A467" s="27" t="s">
        <v>6705</v>
      </c>
      <c r="B467" s="142" t="s">
        <v>7637</v>
      </c>
      <c r="C467" s="142" t="s">
        <v>7540</v>
      </c>
      <c r="D467" s="142" t="s">
        <v>7636</v>
      </c>
      <c r="E467" s="145">
        <v>1</v>
      </c>
      <c r="F467" s="143" t="s">
        <v>168</v>
      </c>
      <c r="G467" s="143" t="s">
        <v>7542</v>
      </c>
      <c r="H467" s="143" t="s">
        <v>26</v>
      </c>
      <c r="I467" s="143" t="s">
        <v>176</v>
      </c>
      <c r="J467" s="143" t="s">
        <v>643</v>
      </c>
      <c r="K467" s="144">
        <f>342+161</f>
        <v>503</v>
      </c>
      <c r="L467" s="145" t="s">
        <v>172</v>
      </c>
      <c r="M467" s="143" t="s">
        <v>6709</v>
      </c>
    </row>
    <row r="468" spans="1:13">
      <c r="A468" s="27" t="s">
        <v>6705</v>
      </c>
      <c r="B468" s="142" t="s">
        <v>7638</v>
      </c>
      <c r="C468" s="142" t="s">
        <v>7540</v>
      </c>
      <c r="D468" s="142" t="s">
        <v>7636</v>
      </c>
      <c r="E468" s="145">
        <v>1</v>
      </c>
      <c r="F468" s="143" t="s">
        <v>168</v>
      </c>
      <c r="G468" s="143" t="s">
        <v>7542</v>
      </c>
      <c r="H468" s="143" t="s">
        <v>26</v>
      </c>
      <c r="I468" s="143" t="s">
        <v>176</v>
      </c>
      <c r="J468" s="143" t="s">
        <v>643</v>
      </c>
      <c r="K468" s="144">
        <f>342+196</f>
        <v>538</v>
      </c>
      <c r="L468" s="145" t="s">
        <v>172</v>
      </c>
      <c r="M468" s="143" t="s">
        <v>6709</v>
      </c>
    </row>
    <row r="469" spans="1:13">
      <c r="A469" s="27" t="s">
        <v>6705</v>
      </c>
      <c r="B469" s="142" t="s">
        <v>7639</v>
      </c>
      <c r="C469" s="142" t="s">
        <v>7540</v>
      </c>
      <c r="D469" s="142" t="s">
        <v>7640</v>
      </c>
      <c r="E469" s="145">
        <v>1</v>
      </c>
      <c r="F469" s="143" t="s">
        <v>168</v>
      </c>
      <c r="G469" s="143" t="s">
        <v>7542</v>
      </c>
      <c r="H469" s="143" t="s">
        <v>26</v>
      </c>
      <c r="I469" s="143" t="s">
        <v>176</v>
      </c>
      <c r="J469" s="143" t="s">
        <v>643</v>
      </c>
      <c r="K469" s="144">
        <f>342*1.37</f>
        <v>468.54</v>
      </c>
      <c r="L469" s="145" t="s">
        <v>172</v>
      </c>
      <c r="M469" s="143" t="s">
        <v>6709</v>
      </c>
    </row>
    <row r="470" spans="1:13">
      <c r="A470" s="27" t="s">
        <v>6705</v>
      </c>
      <c r="B470" s="142" t="s">
        <v>7641</v>
      </c>
      <c r="C470" s="142" t="s">
        <v>7540</v>
      </c>
      <c r="D470" s="142" t="s">
        <v>7642</v>
      </c>
      <c r="E470" s="145">
        <v>1</v>
      </c>
      <c r="F470" s="143" t="s">
        <v>168</v>
      </c>
      <c r="G470" s="143" t="s">
        <v>7542</v>
      </c>
      <c r="H470" s="143" t="s">
        <v>26</v>
      </c>
      <c r="I470" s="143" t="s">
        <v>176</v>
      </c>
      <c r="J470" s="143" t="s">
        <v>643</v>
      </c>
      <c r="K470" s="144">
        <f>342*1.48</f>
        <v>506.15999999999997</v>
      </c>
      <c r="L470" s="145" t="s">
        <v>172</v>
      </c>
      <c r="M470" s="143" t="s">
        <v>6709</v>
      </c>
    </row>
    <row r="471" spans="1:13">
      <c r="A471" s="27" t="s">
        <v>6705</v>
      </c>
      <c r="B471" s="142" t="s">
        <v>7643</v>
      </c>
      <c r="C471" s="142" t="s">
        <v>7540</v>
      </c>
      <c r="D471" s="142" t="s">
        <v>7644</v>
      </c>
      <c r="E471" s="145">
        <v>1</v>
      </c>
      <c r="F471" s="143" t="s">
        <v>168</v>
      </c>
      <c r="G471" s="143" t="s">
        <v>7542</v>
      </c>
      <c r="H471" s="143" t="s">
        <v>26</v>
      </c>
      <c r="I471" s="143" t="s">
        <v>176</v>
      </c>
      <c r="J471" s="143" t="s">
        <v>643</v>
      </c>
      <c r="K471" s="144">
        <f>342*1.58</f>
        <v>540.36</v>
      </c>
      <c r="L471" s="145" t="s">
        <v>172</v>
      </c>
      <c r="M471" s="143" t="s">
        <v>6709</v>
      </c>
    </row>
    <row r="472" spans="1:13">
      <c r="A472" s="27" t="s">
        <v>6705</v>
      </c>
      <c r="B472" s="142" t="s">
        <v>7645</v>
      </c>
      <c r="C472" s="142" t="s">
        <v>7540</v>
      </c>
      <c r="D472" s="142" t="s">
        <v>7646</v>
      </c>
      <c r="E472" s="145">
        <v>1</v>
      </c>
      <c r="F472" s="143" t="s">
        <v>168</v>
      </c>
      <c r="G472" s="143" t="s">
        <v>7542</v>
      </c>
      <c r="H472" s="143" t="s">
        <v>26</v>
      </c>
      <c r="I472" s="143" t="s">
        <v>176</v>
      </c>
      <c r="J472" s="143" t="s">
        <v>643</v>
      </c>
      <c r="K472" s="144">
        <f>12+86</f>
        <v>98</v>
      </c>
      <c r="L472" s="145" t="s">
        <v>172</v>
      </c>
      <c r="M472" s="143" t="s">
        <v>6709</v>
      </c>
    </row>
    <row r="473" spans="1:13">
      <c r="A473" s="27" t="s">
        <v>6705</v>
      </c>
      <c r="B473" s="142" t="s">
        <v>7647</v>
      </c>
      <c r="C473" s="142" t="s">
        <v>7540</v>
      </c>
      <c r="D473" s="142" t="s">
        <v>7648</v>
      </c>
      <c r="E473" s="145">
        <v>1</v>
      </c>
      <c r="F473" s="143" t="s">
        <v>168</v>
      </c>
      <c r="G473" s="143" t="s">
        <v>7542</v>
      </c>
      <c r="H473" s="143" t="s">
        <v>26</v>
      </c>
      <c r="I473" s="143" t="s">
        <v>176</v>
      </c>
      <c r="J473" s="143" t="s">
        <v>643</v>
      </c>
      <c r="K473" s="144">
        <f>1.37*86</f>
        <v>117.82000000000001</v>
      </c>
      <c r="L473" s="145" t="s">
        <v>172</v>
      </c>
      <c r="M473" s="143" t="s">
        <v>6709</v>
      </c>
    </row>
    <row r="474" spans="1:13">
      <c r="A474" s="27" t="s">
        <v>6705</v>
      </c>
      <c r="B474" s="142" t="s">
        <v>7649</v>
      </c>
      <c r="C474" s="142" t="s">
        <v>7540</v>
      </c>
      <c r="D474" s="142" t="s">
        <v>7650</v>
      </c>
      <c r="E474" s="145">
        <v>1</v>
      </c>
      <c r="F474" s="143" t="s">
        <v>168</v>
      </c>
      <c r="G474" s="143" t="s">
        <v>7542</v>
      </c>
      <c r="H474" s="143" t="s">
        <v>26</v>
      </c>
      <c r="I474" s="143" t="s">
        <v>176</v>
      </c>
      <c r="J474" s="143" t="s">
        <v>643</v>
      </c>
      <c r="K474" s="144">
        <f>1.48*86</f>
        <v>127.28</v>
      </c>
      <c r="L474" s="145" t="s">
        <v>172</v>
      </c>
      <c r="M474" s="143" t="s">
        <v>6709</v>
      </c>
    </row>
    <row r="475" spans="1:13">
      <c r="A475" s="27" t="s">
        <v>6705</v>
      </c>
      <c r="B475" s="142" t="s">
        <v>7651</v>
      </c>
      <c r="C475" s="142" t="s">
        <v>7540</v>
      </c>
      <c r="D475" s="142" t="s">
        <v>7652</v>
      </c>
      <c r="E475" s="145">
        <v>1</v>
      </c>
      <c r="F475" s="143" t="s">
        <v>168</v>
      </c>
      <c r="G475" s="143" t="s">
        <v>7542</v>
      </c>
      <c r="H475" s="143" t="s">
        <v>26</v>
      </c>
      <c r="I475" s="143" t="s">
        <v>176</v>
      </c>
      <c r="J475" s="143" t="s">
        <v>643</v>
      </c>
      <c r="K475" s="144">
        <f>1.58*86</f>
        <v>135.88</v>
      </c>
      <c r="L475" s="145" t="s">
        <v>172</v>
      </c>
      <c r="M475" s="143" t="s">
        <v>6709</v>
      </c>
    </row>
    <row r="476" spans="1:13">
      <c r="A476" s="27" t="s">
        <v>6705</v>
      </c>
      <c r="B476" s="142" t="s">
        <v>7653</v>
      </c>
      <c r="C476" s="142" t="s">
        <v>7540</v>
      </c>
      <c r="D476" s="142" t="s">
        <v>7654</v>
      </c>
      <c r="E476" s="145">
        <v>1</v>
      </c>
      <c r="F476" s="143" t="s">
        <v>168</v>
      </c>
      <c r="G476" s="143" t="s">
        <v>7542</v>
      </c>
      <c r="H476" s="143" t="s">
        <v>26</v>
      </c>
      <c r="I476" s="143" t="s">
        <v>176</v>
      </c>
      <c r="J476" s="143" t="s">
        <v>643</v>
      </c>
      <c r="K476" s="144">
        <f>12+86</f>
        <v>98</v>
      </c>
      <c r="L476" s="145" t="s">
        <v>172</v>
      </c>
      <c r="M476" s="143" t="s">
        <v>6709</v>
      </c>
    </row>
    <row r="477" spans="1:13">
      <c r="A477" s="27" t="s">
        <v>6705</v>
      </c>
      <c r="B477" s="142" t="s">
        <v>7655</v>
      </c>
      <c r="C477" s="142" t="s">
        <v>7540</v>
      </c>
      <c r="D477" s="142" t="s">
        <v>7656</v>
      </c>
      <c r="E477" s="145">
        <v>1</v>
      </c>
      <c r="F477" s="143" t="s">
        <v>168</v>
      </c>
      <c r="G477" s="143" t="s">
        <v>7542</v>
      </c>
      <c r="H477" s="143" t="s">
        <v>26</v>
      </c>
      <c r="I477" s="143" t="s">
        <v>176</v>
      </c>
      <c r="J477" s="143" t="s">
        <v>643</v>
      </c>
      <c r="K477" s="144">
        <f>1.37*86</f>
        <v>117.82000000000001</v>
      </c>
      <c r="L477" s="145" t="s">
        <v>172</v>
      </c>
      <c r="M477" s="143" t="s">
        <v>6709</v>
      </c>
    </row>
    <row r="478" spans="1:13">
      <c r="A478" s="27" t="s">
        <v>6705</v>
      </c>
      <c r="B478" s="142" t="s">
        <v>7657</v>
      </c>
      <c r="C478" s="142" t="s">
        <v>7540</v>
      </c>
      <c r="D478" s="142" t="s">
        <v>7658</v>
      </c>
      <c r="E478" s="145">
        <v>1</v>
      </c>
      <c r="F478" s="143" t="s">
        <v>168</v>
      </c>
      <c r="G478" s="143" t="s">
        <v>7542</v>
      </c>
      <c r="H478" s="143" t="s">
        <v>26</v>
      </c>
      <c r="I478" s="143" t="s">
        <v>176</v>
      </c>
      <c r="J478" s="143" t="s">
        <v>643</v>
      </c>
      <c r="K478" s="144">
        <f>1.48*86</f>
        <v>127.28</v>
      </c>
      <c r="L478" s="145" t="s">
        <v>172</v>
      </c>
      <c r="M478" s="143" t="s">
        <v>6709</v>
      </c>
    </row>
    <row r="479" spans="1:13">
      <c r="A479" s="27" t="s">
        <v>6705</v>
      </c>
      <c r="B479" s="142" t="s">
        <v>7659</v>
      </c>
      <c r="C479" s="142" t="s">
        <v>7540</v>
      </c>
      <c r="D479" s="142" t="s">
        <v>7660</v>
      </c>
      <c r="E479" s="145">
        <v>1</v>
      </c>
      <c r="F479" s="143" t="s">
        <v>168</v>
      </c>
      <c r="G479" s="143" t="s">
        <v>7542</v>
      </c>
      <c r="H479" s="143" t="s">
        <v>26</v>
      </c>
      <c r="I479" s="143" t="s">
        <v>176</v>
      </c>
      <c r="J479" s="143" t="s">
        <v>643</v>
      </c>
      <c r="K479" s="144">
        <f>1.58*86</f>
        <v>135.88</v>
      </c>
      <c r="L479" s="145" t="s">
        <v>172</v>
      </c>
      <c r="M479" s="143" t="s">
        <v>6709</v>
      </c>
    </row>
    <row r="480" spans="1:13">
      <c r="A480" s="27" t="s">
        <v>6705</v>
      </c>
      <c r="B480" s="142" t="s">
        <v>7661</v>
      </c>
      <c r="C480" s="142" t="s">
        <v>7540</v>
      </c>
      <c r="D480" s="142" t="s">
        <v>7662</v>
      </c>
      <c r="E480" s="145">
        <v>1</v>
      </c>
      <c r="F480" s="143" t="s">
        <v>168</v>
      </c>
      <c r="G480" s="143" t="s">
        <v>7542</v>
      </c>
      <c r="H480" s="143" t="s">
        <v>26</v>
      </c>
      <c r="I480" s="143" t="s">
        <v>176</v>
      </c>
      <c r="J480" s="143" t="s">
        <v>643</v>
      </c>
      <c r="K480" s="144">
        <f>12+86</f>
        <v>98</v>
      </c>
      <c r="L480" s="145" t="s">
        <v>172</v>
      </c>
      <c r="M480" s="143" t="s">
        <v>6709</v>
      </c>
    </row>
    <row r="481" spans="1:13">
      <c r="A481" s="27" t="s">
        <v>6705</v>
      </c>
      <c r="B481" s="142" t="s">
        <v>7663</v>
      </c>
      <c r="C481" s="142" t="s">
        <v>7540</v>
      </c>
      <c r="D481" s="142" t="s">
        <v>7664</v>
      </c>
      <c r="E481" s="145">
        <v>1</v>
      </c>
      <c r="F481" s="143" t="s">
        <v>168</v>
      </c>
      <c r="G481" s="143" t="s">
        <v>7542</v>
      </c>
      <c r="H481" s="143" t="s">
        <v>26</v>
      </c>
      <c r="I481" s="143" t="s">
        <v>176</v>
      </c>
      <c r="J481" s="143" t="s">
        <v>643</v>
      </c>
      <c r="K481" s="144">
        <f>1.37*86</f>
        <v>117.82000000000001</v>
      </c>
      <c r="L481" s="145" t="s">
        <v>172</v>
      </c>
      <c r="M481" s="143" t="s">
        <v>6709</v>
      </c>
    </row>
    <row r="482" spans="1:13">
      <c r="A482" s="27" t="s">
        <v>6705</v>
      </c>
      <c r="B482" s="142" t="s">
        <v>7665</v>
      </c>
      <c r="C482" s="142" t="s">
        <v>7540</v>
      </c>
      <c r="D482" s="142" t="s">
        <v>7666</v>
      </c>
      <c r="E482" s="145">
        <v>1</v>
      </c>
      <c r="F482" s="143" t="s">
        <v>168</v>
      </c>
      <c r="G482" s="143" t="s">
        <v>7542</v>
      </c>
      <c r="H482" s="143" t="s">
        <v>26</v>
      </c>
      <c r="I482" s="143" t="s">
        <v>176</v>
      </c>
      <c r="J482" s="143" t="s">
        <v>643</v>
      </c>
      <c r="K482" s="144">
        <f>1.48*86</f>
        <v>127.28</v>
      </c>
      <c r="L482" s="145" t="s">
        <v>172</v>
      </c>
      <c r="M482" s="143" t="s">
        <v>6709</v>
      </c>
    </row>
    <row r="483" spans="1:13">
      <c r="A483" s="27" t="s">
        <v>6705</v>
      </c>
      <c r="B483" s="142" t="s">
        <v>7667</v>
      </c>
      <c r="C483" s="142" t="s">
        <v>7540</v>
      </c>
      <c r="D483" s="142" t="s">
        <v>7668</v>
      </c>
      <c r="E483" s="145">
        <v>1</v>
      </c>
      <c r="F483" s="143" t="s">
        <v>168</v>
      </c>
      <c r="G483" s="143" t="s">
        <v>7542</v>
      </c>
      <c r="H483" s="143" t="s">
        <v>26</v>
      </c>
      <c r="I483" s="143" t="s">
        <v>176</v>
      </c>
      <c r="J483" s="143" t="s">
        <v>643</v>
      </c>
      <c r="K483" s="144">
        <f>1.58*86</f>
        <v>135.88</v>
      </c>
      <c r="L483" s="145" t="s">
        <v>172</v>
      </c>
      <c r="M483" s="143" t="s">
        <v>6709</v>
      </c>
    </row>
    <row r="484" spans="1:13">
      <c r="A484" s="27" t="s">
        <v>6705</v>
      </c>
      <c r="B484" s="142" t="s">
        <v>7669</v>
      </c>
      <c r="C484" s="142" t="s">
        <v>7540</v>
      </c>
      <c r="D484" s="142" t="s">
        <v>7670</v>
      </c>
      <c r="E484" s="145">
        <v>1</v>
      </c>
      <c r="F484" s="143" t="s">
        <v>168</v>
      </c>
      <c r="G484" s="143" t="s">
        <v>7542</v>
      </c>
      <c r="H484" s="143" t="s">
        <v>26</v>
      </c>
      <c r="I484" s="143" t="s">
        <v>176</v>
      </c>
      <c r="J484" s="143" t="s">
        <v>643</v>
      </c>
      <c r="K484" s="144">
        <f>456+62</f>
        <v>518</v>
      </c>
      <c r="L484" s="145" t="s">
        <v>172</v>
      </c>
      <c r="M484" s="143" t="s">
        <v>6709</v>
      </c>
    </row>
    <row r="485" spans="1:13">
      <c r="A485" s="36" t="s">
        <v>6705</v>
      </c>
      <c r="B485" s="142" t="s">
        <v>7671</v>
      </c>
      <c r="C485" s="142" t="s">
        <v>7540</v>
      </c>
      <c r="D485" s="142" t="s">
        <v>7672</v>
      </c>
      <c r="E485" s="147">
        <v>1</v>
      </c>
      <c r="F485" s="148" t="s">
        <v>168</v>
      </c>
      <c r="G485" s="148" t="s">
        <v>7542</v>
      </c>
      <c r="H485" s="148" t="s">
        <v>26</v>
      </c>
      <c r="I485" s="148" t="s">
        <v>176</v>
      </c>
      <c r="J485" s="148" t="s">
        <v>643</v>
      </c>
      <c r="K485" s="149">
        <f>456*1.37</f>
        <v>624.72</v>
      </c>
      <c r="L485" s="147" t="s">
        <v>172</v>
      </c>
      <c r="M485" s="148" t="s">
        <v>6709</v>
      </c>
    </row>
    <row r="486" spans="1:13">
      <c r="A486" s="27" t="s">
        <v>6705</v>
      </c>
      <c r="B486" s="142" t="s">
        <v>7673</v>
      </c>
      <c r="C486" s="142" t="s">
        <v>7540</v>
      </c>
      <c r="D486" s="142" t="s">
        <v>7674</v>
      </c>
      <c r="E486" s="145">
        <v>1</v>
      </c>
      <c r="F486" s="143" t="s">
        <v>168</v>
      </c>
      <c r="G486" s="143" t="s">
        <v>7542</v>
      </c>
      <c r="H486" s="143" t="s">
        <v>26</v>
      </c>
      <c r="I486" s="143" t="s">
        <v>176</v>
      </c>
      <c r="J486" s="143" t="s">
        <v>643</v>
      </c>
      <c r="K486" s="144">
        <f>456*1.48</f>
        <v>674.88</v>
      </c>
      <c r="L486" s="145" t="s">
        <v>172</v>
      </c>
      <c r="M486" s="143" t="s">
        <v>6709</v>
      </c>
    </row>
    <row r="487" spans="1:13">
      <c r="A487" s="27" t="s">
        <v>6705</v>
      </c>
      <c r="B487" s="142" t="s">
        <v>7675</v>
      </c>
      <c r="C487" s="142" t="s">
        <v>7540</v>
      </c>
      <c r="D487" s="142" t="s">
        <v>7676</v>
      </c>
      <c r="E487" s="145">
        <v>1</v>
      </c>
      <c r="F487" s="143" t="s">
        <v>168</v>
      </c>
      <c r="G487" s="143" t="s">
        <v>7542</v>
      </c>
      <c r="H487" s="143" t="s">
        <v>26</v>
      </c>
      <c r="I487" s="143" t="s">
        <v>176</v>
      </c>
      <c r="J487" s="143" t="s">
        <v>643</v>
      </c>
      <c r="K487" s="144">
        <f>456*1.58</f>
        <v>720.48</v>
      </c>
      <c r="L487" s="145" t="s">
        <v>172</v>
      </c>
      <c r="M487" s="143" t="s">
        <v>6709</v>
      </c>
    </row>
    <row r="488" spans="1:13">
      <c r="A488" s="27" t="s">
        <v>6705</v>
      </c>
      <c r="B488" s="142" t="s">
        <v>7677</v>
      </c>
      <c r="C488" s="142" t="s">
        <v>7540</v>
      </c>
      <c r="D488" s="142" t="s">
        <v>7678</v>
      </c>
      <c r="E488" s="145">
        <v>1</v>
      </c>
      <c r="F488" s="143" t="s">
        <v>168</v>
      </c>
      <c r="G488" s="143" t="s">
        <v>7542</v>
      </c>
      <c r="H488" s="143" t="s">
        <v>26</v>
      </c>
      <c r="I488" s="143" t="s">
        <v>176</v>
      </c>
      <c r="J488" s="143" t="s">
        <v>643</v>
      </c>
      <c r="K488" s="144">
        <f>912*1.37</f>
        <v>1249.44</v>
      </c>
      <c r="L488" s="145" t="s">
        <v>172</v>
      </c>
      <c r="M488" s="143" t="s">
        <v>6709</v>
      </c>
    </row>
    <row r="489" spans="1:13">
      <c r="A489" s="27" t="s">
        <v>6705</v>
      </c>
      <c r="B489" s="142" t="s">
        <v>7679</v>
      </c>
      <c r="C489" s="142" t="s">
        <v>7540</v>
      </c>
      <c r="D489" s="142" t="s">
        <v>7680</v>
      </c>
      <c r="E489" s="145">
        <v>1</v>
      </c>
      <c r="F489" s="143" t="s">
        <v>168</v>
      </c>
      <c r="G489" s="143" t="s">
        <v>7542</v>
      </c>
      <c r="H489" s="143" t="s">
        <v>26</v>
      </c>
      <c r="I489" s="143" t="s">
        <v>176</v>
      </c>
      <c r="J489" s="143" t="s">
        <v>643</v>
      </c>
      <c r="K489" s="144">
        <f>912*1.48</f>
        <v>1349.76</v>
      </c>
      <c r="L489" s="145" t="s">
        <v>172</v>
      </c>
      <c r="M489" s="143" t="s">
        <v>6709</v>
      </c>
    </row>
    <row r="490" spans="1:13">
      <c r="A490" s="27" t="s">
        <v>6705</v>
      </c>
      <c r="B490" s="142" t="s">
        <v>7681</v>
      </c>
      <c r="C490" s="142" t="s">
        <v>7540</v>
      </c>
      <c r="D490" s="142" t="s">
        <v>7682</v>
      </c>
      <c r="E490" s="145">
        <v>1</v>
      </c>
      <c r="F490" s="143" t="s">
        <v>168</v>
      </c>
      <c r="G490" s="143" t="s">
        <v>7542</v>
      </c>
      <c r="H490" s="143" t="s">
        <v>26</v>
      </c>
      <c r="I490" s="143" t="s">
        <v>176</v>
      </c>
      <c r="J490" s="143" t="s">
        <v>643</v>
      </c>
      <c r="K490" s="144">
        <f>912*1.58</f>
        <v>1440.96</v>
      </c>
      <c r="L490" s="145" t="s">
        <v>172</v>
      </c>
      <c r="M490" s="143" t="s">
        <v>6709</v>
      </c>
    </row>
    <row r="491" spans="1:13">
      <c r="A491" s="27" t="s">
        <v>6705</v>
      </c>
      <c r="B491" s="142" t="s">
        <v>7683</v>
      </c>
      <c r="C491" s="142" t="s">
        <v>7540</v>
      </c>
      <c r="D491" s="142" t="s">
        <v>7684</v>
      </c>
      <c r="E491" s="145">
        <v>1</v>
      </c>
      <c r="F491" s="143" t="s">
        <v>168</v>
      </c>
      <c r="G491" s="143" t="s">
        <v>7542</v>
      </c>
      <c r="H491" s="143" t="s">
        <v>26</v>
      </c>
      <c r="I491" s="143" t="s">
        <v>176</v>
      </c>
      <c r="J491" s="143" t="s">
        <v>643</v>
      </c>
      <c r="K491" s="144">
        <f>121*1.37</f>
        <v>165.77</v>
      </c>
      <c r="L491" s="145" t="s">
        <v>172</v>
      </c>
      <c r="M491" s="143" t="s">
        <v>6709</v>
      </c>
    </row>
    <row r="492" spans="1:13">
      <c r="A492" s="27" t="s">
        <v>6705</v>
      </c>
      <c r="B492" s="142" t="s">
        <v>7685</v>
      </c>
      <c r="C492" s="142" t="s">
        <v>7540</v>
      </c>
      <c r="D492" s="142" t="s">
        <v>7686</v>
      </c>
      <c r="E492" s="145">
        <v>1</v>
      </c>
      <c r="F492" s="143" t="s">
        <v>168</v>
      </c>
      <c r="G492" s="143" t="s">
        <v>7542</v>
      </c>
      <c r="H492" s="143" t="s">
        <v>26</v>
      </c>
      <c r="I492" s="143" t="s">
        <v>176</v>
      </c>
      <c r="J492" s="143" t="s">
        <v>643</v>
      </c>
      <c r="K492" s="144">
        <f>121*1.48</f>
        <v>179.07999999999998</v>
      </c>
      <c r="L492" s="145" t="s">
        <v>172</v>
      </c>
      <c r="M492" s="143" t="s">
        <v>6709</v>
      </c>
    </row>
    <row r="493" spans="1:13">
      <c r="A493" s="27" t="s">
        <v>6705</v>
      </c>
      <c r="B493" s="142" t="s">
        <v>7687</v>
      </c>
      <c r="C493" s="142" t="s">
        <v>7540</v>
      </c>
      <c r="D493" s="142" t="s">
        <v>7688</v>
      </c>
      <c r="E493" s="145">
        <v>1</v>
      </c>
      <c r="F493" s="143" t="s">
        <v>168</v>
      </c>
      <c r="G493" s="143" t="s">
        <v>7542</v>
      </c>
      <c r="H493" s="143" t="s">
        <v>26</v>
      </c>
      <c r="I493" s="143" t="s">
        <v>176</v>
      </c>
      <c r="J493" s="143" t="s">
        <v>643</v>
      </c>
      <c r="K493" s="144">
        <f>121*1.58</f>
        <v>191.18</v>
      </c>
      <c r="L493" s="145" t="s">
        <v>172</v>
      </c>
      <c r="M493" s="143" t="s">
        <v>6709</v>
      </c>
    </row>
    <row r="494" spans="1:13">
      <c r="A494" s="27" t="s">
        <v>6705</v>
      </c>
      <c r="B494" s="142" t="s">
        <v>7689</v>
      </c>
      <c r="C494" s="142" t="s">
        <v>7540</v>
      </c>
      <c r="D494" s="142" t="s">
        <v>7690</v>
      </c>
      <c r="E494" s="145">
        <v>1</v>
      </c>
      <c r="F494" s="143" t="s">
        <v>168</v>
      </c>
      <c r="G494" s="143" t="s">
        <v>7542</v>
      </c>
      <c r="H494" s="143" t="s">
        <v>26</v>
      </c>
      <c r="I494" s="143" t="s">
        <v>176</v>
      </c>
      <c r="J494" s="143" t="s">
        <v>643</v>
      </c>
      <c r="K494" s="144">
        <f>3078+418</f>
        <v>3496</v>
      </c>
      <c r="L494" s="145" t="s">
        <v>172</v>
      </c>
      <c r="M494" s="143" t="s">
        <v>6709</v>
      </c>
    </row>
    <row r="495" spans="1:13">
      <c r="A495" s="27" t="s">
        <v>6705</v>
      </c>
      <c r="B495" s="142" t="s">
        <v>7691</v>
      </c>
      <c r="C495" s="142" t="s">
        <v>7540</v>
      </c>
      <c r="D495" s="142" t="s">
        <v>7692</v>
      </c>
      <c r="E495" s="145">
        <v>1</v>
      </c>
      <c r="F495" s="143" t="s">
        <v>168</v>
      </c>
      <c r="G495" s="143" t="s">
        <v>7542</v>
      </c>
      <c r="H495" s="143" t="s">
        <v>26</v>
      </c>
      <c r="I495" s="143" t="s">
        <v>176</v>
      </c>
      <c r="J495" s="143" t="s">
        <v>643</v>
      </c>
      <c r="K495" s="144">
        <f>3078*1.37</f>
        <v>4216.8600000000006</v>
      </c>
      <c r="L495" s="145" t="s">
        <v>172</v>
      </c>
      <c r="M495" s="143" t="s">
        <v>6709</v>
      </c>
    </row>
    <row r="496" spans="1:13">
      <c r="A496" s="27" t="s">
        <v>6705</v>
      </c>
      <c r="B496" s="142" t="s">
        <v>7693</v>
      </c>
      <c r="C496" s="142" t="s">
        <v>7540</v>
      </c>
      <c r="D496" s="142" t="s">
        <v>7694</v>
      </c>
      <c r="E496" s="145">
        <v>1</v>
      </c>
      <c r="F496" s="143" t="s">
        <v>168</v>
      </c>
      <c r="G496" s="143" t="s">
        <v>7542</v>
      </c>
      <c r="H496" s="143" t="s">
        <v>26</v>
      </c>
      <c r="I496" s="143" t="s">
        <v>176</v>
      </c>
      <c r="J496" s="143" t="s">
        <v>643</v>
      </c>
      <c r="K496" s="144">
        <f>3078*1.48</f>
        <v>4555.4399999999996</v>
      </c>
      <c r="L496" s="145" t="s">
        <v>172</v>
      </c>
      <c r="M496" s="143" t="s">
        <v>6709</v>
      </c>
    </row>
    <row r="497" spans="1:13">
      <c r="A497" s="27" t="s">
        <v>6705</v>
      </c>
      <c r="B497" s="142" t="s">
        <v>7695</v>
      </c>
      <c r="C497" s="142" t="s">
        <v>7540</v>
      </c>
      <c r="D497" s="142" t="s">
        <v>7696</v>
      </c>
      <c r="E497" s="145">
        <v>1</v>
      </c>
      <c r="F497" s="143" t="s">
        <v>168</v>
      </c>
      <c r="G497" s="143" t="s">
        <v>7542</v>
      </c>
      <c r="H497" s="143" t="s">
        <v>26</v>
      </c>
      <c r="I497" s="143" t="s">
        <v>176</v>
      </c>
      <c r="J497" s="143" t="s">
        <v>643</v>
      </c>
      <c r="K497" s="144">
        <f>3078*1.58</f>
        <v>4863.24</v>
      </c>
      <c r="L497" s="145" t="s">
        <v>172</v>
      </c>
      <c r="M497" s="143" t="s">
        <v>6709</v>
      </c>
    </row>
    <row r="498" spans="1:13">
      <c r="A498" s="27" t="s">
        <v>6705</v>
      </c>
      <c r="B498" s="142" t="s">
        <v>7697</v>
      </c>
      <c r="C498" s="142" t="s">
        <v>7540</v>
      </c>
      <c r="D498" s="142" t="s">
        <v>7698</v>
      </c>
      <c r="E498" s="145">
        <v>1</v>
      </c>
      <c r="F498" s="143" t="s">
        <v>168</v>
      </c>
      <c r="G498" s="143" t="s">
        <v>7542</v>
      </c>
      <c r="H498" s="143" t="s">
        <v>26</v>
      </c>
      <c r="I498" s="143" t="s">
        <v>176</v>
      </c>
      <c r="J498" s="143" t="s">
        <v>643</v>
      </c>
      <c r="K498" s="144">
        <f>1232+9120</f>
        <v>10352</v>
      </c>
      <c r="L498" s="145" t="s">
        <v>172</v>
      </c>
      <c r="M498" s="143" t="s">
        <v>6709</v>
      </c>
    </row>
    <row r="499" spans="1:13">
      <c r="A499" s="27" t="s">
        <v>6705</v>
      </c>
      <c r="B499" s="142" t="s">
        <v>7699</v>
      </c>
      <c r="C499" s="142" t="s">
        <v>7540</v>
      </c>
      <c r="D499" s="142" t="s">
        <v>7700</v>
      </c>
      <c r="E499" s="145">
        <v>1</v>
      </c>
      <c r="F499" s="143" t="s">
        <v>168</v>
      </c>
      <c r="G499" s="143" t="s">
        <v>7542</v>
      </c>
      <c r="H499" s="143" t="s">
        <v>26</v>
      </c>
      <c r="I499" s="143" t="s">
        <v>176</v>
      </c>
      <c r="J499" s="143" t="s">
        <v>643</v>
      </c>
      <c r="K499" s="144">
        <f>1232*1.37</f>
        <v>1687.8400000000001</v>
      </c>
      <c r="L499" s="145" t="s">
        <v>172</v>
      </c>
      <c r="M499" s="143" t="s">
        <v>6709</v>
      </c>
    </row>
    <row r="500" spans="1:13">
      <c r="A500" s="27" t="s">
        <v>6705</v>
      </c>
      <c r="B500" s="142" t="s">
        <v>7701</v>
      </c>
      <c r="C500" s="142" t="s">
        <v>7540</v>
      </c>
      <c r="D500" s="142" t="s">
        <v>7702</v>
      </c>
      <c r="E500" s="145">
        <v>1</v>
      </c>
      <c r="F500" s="143" t="s">
        <v>168</v>
      </c>
      <c r="G500" s="143" t="s">
        <v>7542</v>
      </c>
      <c r="H500" s="143" t="s">
        <v>26</v>
      </c>
      <c r="I500" s="143" t="s">
        <v>176</v>
      </c>
      <c r="J500" s="143" t="s">
        <v>643</v>
      </c>
      <c r="K500" s="144">
        <f>1232*1.48</f>
        <v>1823.36</v>
      </c>
      <c r="L500" s="145" t="s">
        <v>172</v>
      </c>
      <c r="M500" s="143" t="s">
        <v>6709</v>
      </c>
    </row>
    <row r="501" spans="1:13">
      <c r="A501" s="27" t="s">
        <v>6705</v>
      </c>
      <c r="B501" s="142" t="s">
        <v>7703</v>
      </c>
      <c r="C501" s="142" t="s">
        <v>7540</v>
      </c>
      <c r="D501" s="142" t="s">
        <v>7704</v>
      </c>
      <c r="E501" s="145">
        <v>1</v>
      </c>
      <c r="F501" s="143" t="s">
        <v>168</v>
      </c>
      <c r="G501" s="143" t="s">
        <v>7542</v>
      </c>
      <c r="H501" s="143" t="s">
        <v>26</v>
      </c>
      <c r="I501" s="143" t="s">
        <v>176</v>
      </c>
      <c r="J501" s="143" t="s">
        <v>643</v>
      </c>
      <c r="K501" s="144">
        <f>1232*1.58</f>
        <v>1946.5600000000002</v>
      </c>
      <c r="L501" s="145" t="s">
        <v>172</v>
      </c>
      <c r="M501" s="143" t="s">
        <v>6709</v>
      </c>
    </row>
    <row r="502" spans="1:13">
      <c r="A502" s="27" t="s">
        <v>6705</v>
      </c>
      <c r="B502" s="142" t="s">
        <v>7705</v>
      </c>
      <c r="C502" s="142" t="s">
        <v>7540</v>
      </c>
      <c r="D502" s="142" t="s">
        <v>7706</v>
      </c>
      <c r="E502" s="145">
        <v>1</v>
      </c>
      <c r="F502" s="143" t="s">
        <v>168</v>
      </c>
      <c r="G502" s="143" t="s">
        <v>7542</v>
      </c>
      <c r="H502" s="143" t="s">
        <v>26</v>
      </c>
      <c r="I502" s="143" t="s">
        <v>176</v>
      </c>
      <c r="J502" s="143" t="s">
        <v>643</v>
      </c>
      <c r="K502" s="144">
        <f>2464+18240</f>
        <v>20704</v>
      </c>
      <c r="L502" s="145" t="s">
        <v>172</v>
      </c>
      <c r="M502" s="143" t="s">
        <v>6709</v>
      </c>
    </row>
    <row r="503" spans="1:13">
      <c r="A503" s="27" t="s">
        <v>6705</v>
      </c>
      <c r="B503" s="142" t="s">
        <v>7707</v>
      </c>
      <c r="C503" s="142" t="s">
        <v>7540</v>
      </c>
      <c r="D503" s="142" t="s">
        <v>7708</v>
      </c>
      <c r="E503" s="145">
        <v>1</v>
      </c>
      <c r="F503" s="143" t="s">
        <v>168</v>
      </c>
      <c r="G503" s="143" t="s">
        <v>7542</v>
      </c>
      <c r="H503" s="143" t="s">
        <v>26</v>
      </c>
      <c r="I503" s="143" t="s">
        <v>176</v>
      </c>
      <c r="J503" s="143" t="s">
        <v>643</v>
      </c>
      <c r="K503" s="144">
        <f>1.37*18240</f>
        <v>24988.800000000003</v>
      </c>
      <c r="L503" s="145" t="s">
        <v>172</v>
      </c>
      <c r="M503" s="143" t="s">
        <v>6709</v>
      </c>
    </row>
    <row r="504" spans="1:13">
      <c r="A504" s="27" t="s">
        <v>6705</v>
      </c>
      <c r="B504" s="142" t="s">
        <v>7709</v>
      </c>
      <c r="C504" s="142" t="s">
        <v>7540</v>
      </c>
      <c r="D504" s="142" t="s">
        <v>7710</v>
      </c>
      <c r="E504" s="145">
        <v>1</v>
      </c>
      <c r="F504" s="143" t="s">
        <v>168</v>
      </c>
      <c r="G504" s="143" t="s">
        <v>7542</v>
      </c>
      <c r="H504" s="143" t="s">
        <v>26</v>
      </c>
      <c r="I504" s="143" t="s">
        <v>176</v>
      </c>
      <c r="J504" s="143" t="s">
        <v>643</v>
      </c>
      <c r="K504" s="144">
        <f>1.48*18240</f>
        <v>26995.200000000001</v>
      </c>
      <c r="L504" s="145" t="s">
        <v>172</v>
      </c>
      <c r="M504" s="143" t="s">
        <v>6709</v>
      </c>
    </row>
    <row r="505" spans="1:13">
      <c r="A505" s="27" t="s">
        <v>6705</v>
      </c>
      <c r="B505" s="142" t="s">
        <v>7711</v>
      </c>
      <c r="C505" s="142" t="s">
        <v>7540</v>
      </c>
      <c r="D505" s="142" t="s">
        <v>7712</v>
      </c>
      <c r="E505" s="145">
        <v>1</v>
      </c>
      <c r="F505" s="143" t="s">
        <v>168</v>
      </c>
      <c r="G505" s="143" t="s">
        <v>7542</v>
      </c>
      <c r="H505" s="143" t="s">
        <v>26</v>
      </c>
      <c r="I505" s="143" t="s">
        <v>176</v>
      </c>
      <c r="J505" s="143" t="s">
        <v>643</v>
      </c>
      <c r="K505" s="144">
        <f>1.58*18240</f>
        <v>28819.200000000001</v>
      </c>
      <c r="L505" s="145" t="s">
        <v>172</v>
      </c>
      <c r="M505" s="143" t="s">
        <v>6709</v>
      </c>
    </row>
    <row r="506" spans="1:13">
      <c r="A506" s="27" t="s">
        <v>6705</v>
      </c>
      <c r="B506" s="142" t="s">
        <v>7713</v>
      </c>
      <c r="C506" s="142" t="s">
        <v>7540</v>
      </c>
      <c r="D506" s="142" t="s">
        <v>7714</v>
      </c>
      <c r="E506" s="145">
        <v>1</v>
      </c>
      <c r="F506" s="143" t="s">
        <v>168</v>
      </c>
      <c r="G506" s="143" t="s">
        <v>7542</v>
      </c>
      <c r="H506" s="143" t="s">
        <v>26</v>
      </c>
      <c r="I506" s="143" t="s">
        <v>176</v>
      </c>
      <c r="J506" s="143" t="s">
        <v>643</v>
      </c>
      <c r="K506" s="144">
        <f>3696+27360</f>
        <v>31056</v>
      </c>
      <c r="L506" s="145" t="s">
        <v>172</v>
      </c>
      <c r="M506" s="143" t="s">
        <v>6709</v>
      </c>
    </row>
    <row r="507" spans="1:13">
      <c r="A507" s="27" t="s">
        <v>6705</v>
      </c>
      <c r="B507" s="142" t="s">
        <v>7715</v>
      </c>
      <c r="C507" s="142" t="s">
        <v>7540</v>
      </c>
      <c r="D507" s="142" t="s">
        <v>7716</v>
      </c>
      <c r="E507" s="145">
        <v>1</v>
      </c>
      <c r="F507" s="143" t="s">
        <v>168</v>
      </c>
      <c r="G507" s="143" t="s">
        <v>7542</v>
      </c>
      <c r="H507" s="143" t="s">
        <v>26</v>
      </c>
      <c r="I507" s="143" t="s">
        <v>176</v>
      </c>
      <c r="J507" s="143" t="s">
        <v>643</v>
      </c>
      <c r="K507" s="144">
        <f>1.37*27360</f>
        <v>37483.200000000004</v>
      </c>
      <c r="L507" s="145" t="s">
        <v>172</v>
      </c>
      <c r="M507" s="143" t="s">
        <v>6709</v>
      </c>
    </row>
    <row r="508" spans="1:13">
      <c r="A508" s="27" t="s">
        <v>6705</v>
      </c>
      <c r="B508" s="142" t="s">
        <v>7717</v>
      </c>
      <c r="C508" s="142" t="s">
        <v>7540</v>
      </c>
      <c r="D508" s="142" t="s">
        <v>7718</v>
      </c>
      <c r="E508" s="145">
        <v>1</v>
      </c>
      <c r="F508" s="143" t="s">
        <v>168</v>
      </c>
      <c r="G508" s="143" t="s">
        <v>7542</v>
      </c>
      <c r="H508" s="143" t="s">
        <v>26</v>
      </c>
      <c r="I508" s="143" t="s">
        <v>176</v>
      </c>
      <c r="J508" s="143" t="s">
        <v>643</v>
      </c>
      <c r="K508" s="144">
        <f>1.48*27360</f>
        <v>40492.800000000003</v>
      </c>
      <c r="L508" s="145" t="s">
        <v>172</v>
      </c>
      <c r="M508" s="143" t="s">
        <v>6709</v>
      </c>
    </row>
    <row r="509" spans="1:13">
      <c r="A509" s="27" t="s">
        <v>6705</v>
      </c>
      <c r="B509" s="142" t="s">
        <v>7719</v>
      </c>
      <c r="C509" s="142" t="s">
        <v>7540</v>
      </c>
      <c r="D509" s="142" t="s">
        <v>7720</v>
      </c>
      <c r="E509" s="145">
        <v>1</v>
      </c>
      <c r="F509" s="143" t="s">
        <v>168</v>
      </c>
      <c r="G509" s="143" t="s">
        <v>7542</v>
      </c>
      <c r="H509" s="143" t="s">
        <v>26</v>
      </c>
      <c r="I509" s="143" t="s">
        <v>176</v>
      </c>
      <c r="J509" s="143" t="s">
        <v>643</v>
      </c>
      <c r="K509" s="144">
        <f>1.58*27360</f>
        <v>43228.800000000003</v>
      </c>
      <c r="L509" s="145" t="s">
        <v>172</v>
      </c>
      <c r="M509" s="143" t="s">
        <v>6709</v>
      </c>
    </row>
    <row r="510" spans="1:13">
      <c r="A510" s="27" t="s">
        <v>6705</v>
      </c>
      <c r="B510" s="142" t="s">
        <v>7721</v>
      </c>
      <c r="C510" s="142" t="s">
        <v>7540</v>
      </c>
      <c r="D510" s="142" t="s">
        <v>7722</v>
      </c>
      <c r="E510" s="145">
        <v>1</v>
      </c>
      <c r="F510" s="143" t="s">
        <v>168</v>
      </c>
      <c r="G510" s="143" t="s">
        <v>7542</v>
      </c>
      <c r="H510" s="143" t="s">
        <v>26</v>
      </c>
      <c r="I510" s="143" t="s">
        <v>176</v>
      </c>
      <c r="J510" s="143" t="s">
        <v>643</v>
      </c>
      <c r="K510" s="144">
        <f>4928+36480</f>
        <v>41408</v>
      </c>
      <c r="L510" s="145" t="s">
        <v>172</v>
      </c>
      <c r="M510" s="143" t="s">
        <v>6709</v>
      </c>
    </row>
    <row r="511" spans="1:13">
      <c r="A511" s="27" t="s">
        <v>6705</v>
      </c>
      <c r="B511" s="142" t="s">
        <v>7723</v>
      </c>
      <c r="C511" s="142" t="s">
        <v>7540</v>
      </c>
      <c r="D511" s="142" t="s">
        <v>7724</v>
      </c>
      <c r="E511" s="145">
        <v>1</v>
      </c>
      <c r="F511" s="143" t="s">
        <v>168</v>
      </c>
      <c r="G511" s="143" t="s">
        <v>7542</v>
      </c>
      <c r="H511" s="143" t="s">
        <v>26</v>
      </c>
      <c r="I511" s="143" t="s">
        <v>176</v>
      </c>
      <c r="J511" s="143" t="s">
        <v>643</v>
      </c>
      <c r="K511" s="144">
        <f>1.37*36480</f>
        <v>49977.600000000006</v>
      </c>
      <c r="L511" s="145" t="s">
        <v>172</v>
      </c>
      <c r="M511" s="143" t="s">
        <v>6709</v>
      </c>
    </row>
    <row r="512" spans="1:13">
      <c r="A512" s="27" t="s">
        <v>6705</v>
      </c>
      <c r="B512" s="142" t="s">
        <v>7725</v>
      </c>
      <c r="C512" s="142" t="s">
        <v>7540</v>
      </c>
      <c r="D512" s="142" t="s">
        <v>7726</v>
      </c>
      <c r="E512" s="145">
        <v>1</v>
      </c>
      <c r="F512" s="143" t="s">
        <v>168</v>
      </c>
      <c r="G512" s="143" t="s">
        <v>7542</v>
      </c>
      <c r="H512" s="143" t="s">
        <v>26</v>
      </c>
      <c r="I512" s="143" t="s">
        <v>176</v>
      </c>
      <c r="J512" s="143" t="s">
        <v>643</v>
      </c>
      <c r="K512" s="144">
        <f>1.48*36480</f>
        <v>53990.400000000001</v>
      </c>
      <c r="L512" s="145" t="s">
        <v>172</v>
      </c>
      <c r="M512" s="143" t="s">
        <v>6709</v>
      </c>
    </row>
    <row r="513" spans="1:13">
      <c r="A513" s="27" t="s">
        <v>6705</v>
      </c>
      <c r="B513" s="142" t="s">
        <v>7727</v>
      </c>
      <c r="C513" s="142" t="s">
        <v>7540</v>
      </c>
      <c r="D513" s="142" t="s">
        <v>7728</v>
      </c>
      <c r="E513" s="145">
        <v>1</v>
      </c>
      <c r="F513" s="143" t="s">
        <v>168</v>
      </c>
      <c r="G513" s="143" t="s">
        <v>7542</v>
      </c>
      <c r="H513" s="143" t="s">
        <v>26</v>
      </c>
      <c r="I513" s="143" t="s">
        <v>176</v>
      </c>
      <c r="J513" s="143" t="s">
        <v>643</v>
      </c>
      <c r="K513" s="144">
        <f>1.58*36480</f>
        <v>57638.400000000001</v>
      </c>
      <c r="L513" s="145" t="s">
        <v>172</v>
      </c>
      <c r="M513" s="143" t="s">
        <v>6709</v>
      </c>
    </row>
    <row r="514" spans="1:13">
      <c r="A514" s="27" t="s">
        <v>6705</v>
      </c>
      <c r="B514" s="142" t="s">
        <v>7729</v>
      </c>
      <c r="C514" s="142" t="s">
        <v>7540</v>
      </c>
      <c r="D514" s="142" t="s">
        <v>7730</v>
      </c>
      <c r="E514" s="145">
        <v>1</v>
      </c>
      <c r="F514" s="143" t="s">
        <v>168</v>
      </c>
      <c r="G514" s="143" t="s">
        <v>7542</v>
      </c>
      <c r="H514" s="143" t="s">
        <v>26</v>
      </c>
      <c r="I514" s="143" t="s">
        <v>176</v>
      </c>
      <c r="J514" s="143" t="s">
        <v>643</v>
      </c>
      <c r="K514" s="144">
        <f>12+83</f>
        <v>95</v>
      </c>
      <c r="L514" s="145" t="s">
        <v>172</v>
      </c>
      <c r="M514" s="143" t="s">
        <v>6709</v>
      </c>
    </row>
    <row r="515" spans="1:13">
      <c r="A515" s="27" t="s">
        <v>6705</v>
      </c>
      <c r="B515" s="142" t="s">
        <v>7731</v>
      </c>
      <c r="C515" s="142" t="s">
        <v>7540</v>
      </c>
      <c r="D515" s="142" t="s">
        <v>7732</v>
      </c>
      <c r="E515" s="145">
        <v>1</v>
      </c>
      <c r="F515" s="143" t="s">
        <v>168</v>
      </c>
      <c r="G515" s="143" t="s">
        <v>7542</v>
      </c>
      <c r="H515" s="143" t="s">
        <v>26</v>
      </c>
      <c r="I515" s="143" t="s">
        <v>176</v>
      </c>
      <c r="J515" s="143" t="s">
        <v>643</v>
      </c>
      <c r="K515" s="144">
        <f>83*1.61</f>
        <v>133.63</v>
      </c>
      <c r="L515" s="145" t="s">
        <v>172</v>
      </c>
      <c r="M515" s="143" t="s">
        <v>6709</v>
      </c>
    </row>
    <row r="516" spans="1:13">
      <c r="A516" s="27" t="s">
        <v>6705</v>
      </c>
      <c r="B516" s="142" t="s">
        <v>7733</v>
      </c>
      <c r="C516" s="142" t="s">
        <v>7540</v>
      </c>
      <c r="D516" s="142" t="s">
        <v>7734</v>
      </c>
      <c r="E516" s="145">
        <v>1</v>
      </c>
      <c r="F516" s="143" t="s">
        <v>168</v>
      </c>
      <c r="G516" s="143" t="s">
        <v>7542</v>
      </c>
      <c r="H516" s="143" t="s">
        <v>26</v>
      </c>
      <c r="I516" s="143" t="s">
        <v>176</v>
      </c>
      <c r="J516" s="143" t="s">
        <v>643</v>
      </c>
      <c r="K516" s="144">
        <f>83*1.7</f>
        <v>141.1</v>
      </c>
      <c r="L516" s="145" t="s">
        <v>172</v>
      </c>
      <c r="M516" s="143" t="s">
        <v>6709</v>
      </c>
    </row>
    <row r="517" spans="1:13">
      <c r="A517" s="27" t="s">
        <v>6705</v>
      </c>
      <c r="B517" s="142" t="s">
        <v>7735</v>
      </c>
      <c r="C517" s="142" t="s">
        <v>7540</v>
      </c>
      <c r="D517" s="142" t="s">
        <v>7736</v>
      </c>
      <c r="E517" s="145">
        <v>1</v>
      </c>
      <c r="F517" s="143" t="s">
        <v>168</v>
      </c>
      <c r="G517" s="143" t="s">
        <v>7542</v>
      </c>
      <c r="H517" s="143" t="s">
        <v>26</v>
      </c>
      <c r="I517" s="143" t="s">
        <v>176</v>
      </c>
      <c r="J517" s="143" t="s">
        <v>643</v>
      </c>
      <c r="K517" s="144">
        <f>165+941</f>
        <v>1106</v>
      </c>
      <c r="L517" s="145" t="s">
        <v>172</v>
      </c>
      <c r="M517" s="143" t="s">
        <v>6709</v>
      </c>
    </row>
    <row r="518" spans="1:13">
      <c r="A518" s="27" t="s">
        <v>6705</v>
      </c>
      <c r="B518" s="142" t="s">
        <v>7737</v>
      </c>
      <c r="C518" s="142" t="s">
        <v>7540</v>
      </c>
      <c r="D518" s="142" t="s">
        <v>7738</v>
      </c>
      <c r="E518" s="145">
        <v>1</v>
      </c>
      <c r="F518" s="143" t="s">
        <v>168</v>
      </c>
      <c r="G518" s="143" t="s">
        <v>7542</v>
      </c>
      <c r="H518" s="143" t="s">
        <v>26</v>
      </c>
      <c r="I518" s="143" t="s">
        <v>176</v>
      </c>
      <c r="J518" s="143" t="s">
        <v>643</v>
      </c>
      <c r="K518" s="144">
        <f>1.61*941</f>
        <v>1515.01</v>
      </c>
      <c r="L518" s="145" t="s">
        <v>172</v>
      </c>
      <c r="M518" s="143" t="s">
        <v>6709</v>
      </c>
    </row>
    <row r="519" spans="1:13">
      <c r="A519" s="27" t="s">
        <v>6705</v>
      </c>
      <c r="B519" s="142" t="s">
        <v>7739</v>
      </c>
      <c r="C519" s="142" t="s">
        <v>7540</v>
      </c>
      <c r="D519" s="142" t="s">
        <v>7740</v>
      </c>
      <c r="E519" s="145">
        <v>1</v>
      </c>
      <c r="F519" s="143" t="s">
        <v>168</v>
      </c>
      <c r="G519" s="143" t="s">
        <v>7542</v>
      </c>
      <c r="H519" s="143" t="s">
        <v>26</v>
      </c>
      <c r="I519" s="143" t="s">
        <v>176</v>
      </c>
      <c r="J519" s="143" t="s">
        <v>643</v>
      </c>
      <c r="K519" s="144">
        <f>1.7*941</f>
        <v>1599.7</v>
      </c>
      <c r="L519" s="145" t="s">
        <v>172</v>
      </c>
      <c r="M519" s="143" t="s">
        <v>6709</v>
      </c>
    </row>
    <row r="520" spans="1:13">
      <c r="A520" s="27" t="s">
        <v>6705</v>
      </c>
      <c r="B520" s="142" t="s">
        <v>7741</v>
      </c>
      <c r="C520" s="142" t="s">
        <v>7540</v>
      </c>
      <c r="D520" s="142" t="s">
        <v>7742</v>
      </c>
      <c r="E520" s="145">
        <v>1</v>
      </c>
      <c r="F520" s="143" t="s">
        <v>168</v>
      </c>
      <c r="G520" s="143" t="s">
        <v>7542</v>
      </c>
      <c r="H520" s="143" t="s">
        <v>26</v>
      </c>
      <c r="I520" s="143" t="s">
        <v>176</v>
      </c>
      <c r="J520" s="143" t="s">
        <v>643</v>
      </c>
      <c r="K520" s="144">
        <f>297+1704</f>
        <v>2001</v>
      </c>
      <c r="L520" s="145" t="s">
        <v>172</v>
      </c>
      <c r="M520" s="143" t="s">
        <v>6709</v>
      </c>
    </row>
    <row r="521" spans="1:13">
      <c r="A521" s="27" t="s">
        <v>6705</v>
      </c>
      <c r="B521" s="142" t="s">
        <v>7743</v>
      </c>
      <c r="C521" s="142" t="s">
        <v>7540</v>
      </c>
      <c r="D521" s="142" t="s">
        <v>7744</v>
      </c>
      <c r="E521" s="145">
        <v>1</v>
      </c>
      <c r="F521" s="143" t="s">
        <v>168</v>
      </c>
      <c r="G521" s="143" t="s">
        <v>7542</v>
      </c>
      <c r="H521" s="143" t="s">
        <v>26</v>
      </c>
      <c r="I521" s="143" t="s">
        <v>176</v>
      </c>
      <c r="J521" s="143" t="s">
        <v>643</v>
      </c>
      <c r="K521" s="144">
        <f>1.61*1704</f>
        <v>2743.44</v>
      </c>
      <c r="L521" s="145" t="s">
        <v>172</v>
      </c>
      <c r="M521" s="143" t="s">
        <v>6709</v>
      </c>
    </row>
    <row r="522" spans="1:13">
      <c r="A522" s="27" t="s">
        <v>6705</v>
      </c>
      <c r="B522" s="142" t="s">
        <v>7745</v>
      </c>
      <c r="C522" s="142" t="s">
        <v>7540</v>
      </c>
      <c r="D522" s="142" t="s">
        <v>7746</v>
      </c>
      <c r="E522" s="145">
        <v>1</v>
      </c>
      <c r="F522" s="143" t="s">
        <v>168</v>
      </c>
      <c r="G522" s="143" t="s">
        <v>7542</v>
      </c>
      <c r="H522" s="143" t="s">
        <v>26</v>
      </c>
      <c r="I522" s="143" t="s">
        <v>176</v>
      </c>
      <c r="J522" s="143" t="s">
        <v>643</v>
      </c>
      <c r="K522" s="144">
        <f>1.7*1704</f>
        <v>2896.7999999999997</v>
      </c>
      <c r="L522" s="145" t="s">
        <v>172</v>
      </c>
      <c r="M522" s="143" t="s">
        <v>6709</v>
      </c>
    </row>
    <row r="523" spans="1:13">
      <c r="A523" s="27" t="s">
        <v>6705</v>
      </c>
      <c r="B523" s="142" t="s">
        <v>7747</v>
      </c>
      <c r="C523" s="142" t="s">
        <v>7540</v>
      </c>
      <c r="D523" s="142" t="s">
        <v>7748</v>
      </c>
      <c r="E523" s="145">
        <v>1</v>
      </c>
      <c r="F523" s="143" t="s">
        <v>168</v>
      </c>
      <c r="G523" s="143" t="s">
        <v>7542</v>
      </c>
      <c r="H523" s="143" t="s">
        <v>26</v>
      </c>
      <c r="I523" s="143" t="s">
        <v>176</v>
      </c>
      <c r="J523" s="143" t="s">
        <v>643</v>
      </c>
      <c r="K523" s="144">
        <f>534+3072</f>
        <v>3606</v>
      </c>
      <c r="L523" s="145" t="s">
        <v>172</v>
      </c>
      <c r="M523" s="143" t="s">
        <v>6709</v>
      </c>
    </row>
    <row r="524" spans="1:13">
      <c r="A524" s="27" t="s">
        <v>6705</v>
      </c>
      <c r="B524" s="142" t="s">
        <v>7749</v>
      </c>
      <c r="C524" s="142" t="s">
        <v>7540</v>
      </c>
      <c r="D524" s="142" t="s">
        <v>7750</v>
      </c>
      <c r="E524" s="145">
        <v>1</v>
      </c>
      <c r="F524" s="143" t="s">
        <v>168</v>
      </c>
      <c r="G524" s="143" t="s">
        <v>7542</v>
      </c>
      <c r="H524" s="143" t="s">
        <v>26</v>
      </c>
      <c r="I524" s="143" t="s">
        <v>176</v>
      </c>
      <c r="J524" s="143" t="s">
        <v>643</v>
      </c>
      <c r="K524" s="144">
        <f>1.61*3072</f>
        <v>4945.92</v>
      </c>
      <c r="L524" s="145" t="s">
        <v>172</v>
      </c>
      <c r="M524" s="143" t="s">
        <v>6709</v>
      </c>
    </row>
    <row r="525" spans="1:13">
      <c r="A525" s="27" t="s">
        <v>6705</v>
      </c>
      <c r="B525" s="142" t="s">
        <v>7751</v>
      </c>
      <c r="C525" s="142" t="s">
        <v>7540</v>
      </c>
      <c r="D525" s="142" t="s">
        <v>7752</v>
      </c>
      <c r="E525" s="145">
        <v>1</v>
      </c>
      <c r="F525" s="143" t="s">
        <v>168</v>
      </c>
      <c r="G525" s="143" t="s">
        <v>7542</v>
      </c>
      <c r="H525" s="143" t="s">
        <v>26</v>
      </c>
      <c r="I525" s="143" t="s">
        <v>176</v>
      </c>
      <c r="J525" s="143" t="s">
        <v>643</v>
      </c>
      <c r="K525" s="144">
        <f>1.7*3072</f>
        <v>5222.3999999999996</v>
      </c>
      <c r="L525" s="145" t="s">
        <v>172</v>
      </c>
      <c r="M525" s="143" t="s">
        <v>6709</v>
      </c>
    </row>
    <row r="526" spans="1:13">
      <c r="A526" s="27" t="s">
        <v>6705</v>
      </c>
      <c r="B526" s="142" t="s">
        <v>7753</v>
      </c>
      <c r="C526" s="142" t="s">
        <v>7540</v>
      </c>
      <c r="D526" s="142" t="s">
        <v>7754</v>
      </c>
      <c r="E526" s="145">
        <v>1</v>
      </c>
      <c r="F526" s="143" t="s">
        <v>168</v>
      </c>
      <c r="G526" s="143" t="s">
        <v>7542</v>
      </c>
      <c r="H526" s="143" t="s">
        <v>26</v>
      </c>
      <c r="I526" s="143" t="s">
        <v>176</v>
      </c>
      <c r="J526" s="143" t="s">
        <v>643</v>
      </c>
      <c r="K526" s="144">
        <f>9114+1584</f>
        <v>10698</v>
      </c>
      <c r="L526" s="145" t="s">
        <v>172</v>
      </c>
      <c r="M526" s="143" t="s">
        <v>6709</v>
      </c>
    </row>
    <row r="527" spans="1:13">
      <c r="A527" s="27" t="s">
        <v>6705</v>
      </c>
      <c r="B527" s="142" t="s">
        <v>7755</v>
      </c>
      <c r="C527" s="142" t="s">
        <v>7540</v>
      </c>
      <c r="D527" s="142" t="s">
        <v>7756</v>
      </c>
      <c r="E527" s="145">
        <v>1</v>
      </c>
      <c r="F527" s="143" t="s">
        <v>168</v>
      </c>
      <c r="G527" s="143" t="s">
        <v>7542</v>
      </c>
      <c r="H527" s="143" t="s">
        <v>26</v>
      </c>
      <c r="I527" s="143" t="s">
        <v>176</v>
      </c>
      <c r="J527" s="143" t="s">
        <v>643</v>
      </c>
      <c r="K527" s="144">
        <f>1.61*1584</f>
        <v>2550.2400000000002</v>
      </c>
      <c r="L527" s="145" t="s">
        <v>172</v>
      </c>
      <c r="M527" s="143" t="s">
        <v>6709</v>
      </c>
    </row>
    <row r="528" spans="1:13">
      <c r="A528" s="27" t="s">
        <v>6705</v>
      </c>
      <c r="B528" s="142" t="s">
        <v>7757</v>
      </c>
      <c r="C528" s="142" t="s">
        <v>7540</v>
      </c>
      <c r="D528" s="142" t="s">
        <v>7758</v>
      </c>
      <c r="E528" s="145">
        <v>1</v>
      </c>
      <c r="F528" s="143" t="s">
        <v>168</v>
      </c>
      <c r="G528" s="143" t="s">
        <v>7542</v>
      </c>
      <c r="H528" s="143" t="s">
        <v>26</v>
      </c>
      <c r="I528" s="143" t="s">
        <v>176</v>
      </c>
      <c r="J528" s="143" t="s">
        <v>643</v>
      </c>
      <c r="K528" s="144">
        <f>1.7*1584</f>
        <v>2692.7999999999997</v>
      </c>
      <c r="L528" s="145" t="s">
        <v>172</v>
      </c>
      <c r="M528" s="143" t="s">
        <v>6709</v>
      </c>
    </row>
    <row r="529" spans="1:13">
      <c r="A529" s="27" t="s">
        <v>6705</v>
      </c>
      <c r="B529" s="142" t="s">
        <v>7759</v>
      </c>
      <c r="C529" s="142" t="s">
        <v>7540</v>
      </c>
      <c r="D529" s="142" t="s">
        <v>7760</v>
      </c>
      <c r="E529" s="145">
        <v>1</v>
      </c>
      <c r="F529" s="143" t="s">
        <v>168</v>
      </c>
      <c r="G529" s="143" t="s">
        <v>7542</v>
      </c>
      <c r="H529" s="143" t="s">
        <v>26</v>
      </c>
      <c r="I529" s="143" t="s">
        <v>176</v>
      </c>
      <c r="J529" s="143" t="s">
        <v>643</v>
      </c>
      <c r="K529" s="144">
        <f>11394+1980</f>
        <v>13374</v>
      </c>
      <c r="L529" s="145" t="s">
        <v>172</v>
      </c>
      <c r="M529" s="143" t="s">
        <v>6709</v>
      </c>
    </row>
    <row r="530" spans="1:13">
      <c r="A530" s="27" t="s">
        <v>6705</v>
      </c>
      <c r="B530" s="142" t="s">
        <v>7761</v>
      </c>
      <c r="C530" s="142" t="s">
        <v>7540</v>
      </c>
      <c r="D530" s="142" t="s">
        <v>7762</v>
      </c>
      <c r="E530" s="145">
        <v>1</v>
      </c>
      <c r="F530" s="143" t="s">
        <v>168</v>
      </c>
      <c r="G530" s="143" t="s">
        <v>7542</v>
      </c>
      <c r="H530" s="143" t="s">
        <v>26</v>
      </c>
      <c r="I530" s="143" t="s">
        <v>176</v>
      </c>
      <c r="J530" s="143" t="s">
        <v>643</v>
      </c>
      <c r="K530" s="144">
        <f>11394*1.61</f>
        <v>18344.34</v>
      </c>
      <c r="L530" s="145" t="s">
        <v>172</v>
      </c>
      <c r="M530" s="143" t="s">
        <v>6709</v>
      </c>
    </row>
    <row r="531" spans="1:13">
      <c r="A531" s="27" t="s">
        <v>6705</v>
      </c>
      <c r="B531" s="142" t="s">
        <v>7763</v>
      </c>
      <c r="C531" s="142" t="s">
        <v>7540</v>
      </c>
      <c r="D531" s="142" t="s">
        <v>7764</v>
      </c>
      <c r="E531" s="145">
        <v>1</v>
      </c>
      <c r="F531" s="143" t="s">
        <v>168</v>
      </c>
      <c r="G531" s="143" t="s">
        <v>7542</v>
      </c>
      <c r="H531" s="143" t="s">
        <v>26</v>
      </c>
      <c r="I531" s="143" t="s">
        <v>176</v>
      </c>
      <c r="J531" s="143" t="s">
        <v>643</v>
      </c>
      <c r="K531" s="144">
        <f>11394*1.7</f>
        <v>19369.8</v>
      </c>
      <c r="L531" s="145" t="s">
        <v>172</v>
      </c>
      <c r="M531" s="143" t="s">
        <v>6709</v>
      </c>
    </row>
    <row r="532" spans="1:13">
      <c r="A532" s="27" t="s">
        <v>6705</v>
      </c>
      <c r="B532" s="142" t="s">
        <v>7765</v>
      </c>
      <c r="C532" s="142" t="s">
        <v>7540</v>
      </c>
      <c r="D532" s="142" t="s">
        <v>7766</v>
      </c>
      <c r="E532" s="145">
        <v>1</v>
      </c>
      <c r="F532" s="143" t="s">
        <v>168</v>
      </c>
      <c r="G532" s="143" t="s">
        <v>7542</v>
      </c>
      <c r="H532" s="143" t="s">
        <v>26</v>
      </c>
      <c r="I532" s="143" t="s">
        <v>176</v>
      </c>
      <c r="J532" s="143" t="s">
        <v>643</v>
      </c>
      <c r="K532" s="144">
        <f>4950+28494</f>
        <v>33444</v>
      </c>
      <c r="L532" s="145" t="s">
        <v>172</v>
      </c>
      <c r="M532" s="143" t="s">
        <v>6709</v>
      </c>
    </row>
    <row r="533" spans="1:13">
      <c r="A533" s="27" t="s">
        <v>6705</v>
      </c>
      <c r="B533" s="142" t="s">
        <v>7767</v>
      </c>
      <c r="C533" s="142" t="s">
        <v>7540</v>
      </c>
      <c r="D533" s="142" t="s">
        <v>7768</v>
      </c>
      <c r="E533" s="145">
        <v>1</v>
      </c>
      <c r="F533" s="143" t="s">
        <v>168</v>
      </c>
      <c r="G533" s="143" t="s">
        <v>7542</v>
      </c>
      <c r="H533" s="143" t="s">
        <v>26</v>
      </c>
      <c r="I533" s="143" t="s">
        <v>176</v>
      </c>
      <c r="J533" s="143" t="s">
        <v>643</v>
      </c>
      <c r="K533" s="144">
        <f>1.61*28494</f>
        <v>45875.340000000004</v>
      </c>
      <c r="L533" s="145" t="s">
        <v>172</v>
      </c>
      <c r="M533" s="143" t="s">
        <v>6709</v>
      </c>
    </row>
    <row r="534" spans="1:13">
      <c r="A534" s="27" t="s">
        <v>6705</v>
      </c>
      <c r="B534" s="142" t="s">
        <v>7769</v>
      </c>
      <c r="C534" s="142" t="s">
        <v>7540</v>
      </c>
      <c r="D534" s="142" t="s">
        <v>7770</v>
      </c>
      <c r="E534" s="145">
        <v>1</v>
      </c>
      <c r="F534" s="143" t="s">
        <v>168</v>
      </c>
      <c r="G534" s="143" t="s">
        <v>7542</v>
      </c>
      <c r="H534" s="143" t="s">
        <v>26</v>
      </c>
      <c r="I534" s="143" t="s">
        <v>176</v>
      </c>
      <c r="J534" s="143" t="s">
        <v>643</v>
      </c>
      <c r="K534" s="144">
        <f>1.7*28494</f>
        <v>48439.799999999996</v>
      </c>
      <c r="L534" s="145" t="s">
        <v>172</v>
      </c>
      <c r="M534" s="143" t="s">
        <v>6709</v>
      </c>
    </row>
    <row r="535" spans="1:13">
      <c r="A535" s="27" t="s">
        <v>6705</v>
      </c>
      <c r="B535" s="142" t="s">
        <v>7771</v>
      </c>
      <c r="C535" s="142" t="s">
        <v>7540</v>
      </c>
      <c r="D535" s="142" t="s">
        <v>7772</v>
      </c>
      <c r="E535" s="145">
        <v>1</v>
      </c>
      <c r="F535" s="143" t="s">
        <v>168</v>
      </c>
      <c r="G535" s="143" t="s">
        <v>7542</v>
      </c>
      <c r="H535" s="143" t="s">
        <v>26</v>
      </c>
      <c r="I535" s="143" t="s">
        <v>176</v>
      </c>
      <c r="J535" s="143" t="s">
        <v>643</v>
      </c>
      <c r="K535" s="144">
        <f>34+6</f>
        <v>40</v>
      </c>
      <c r="L535" s="145" t="s">
        <v>172</v>
      </c>
      <c r="M535" s="143" t="s">
        <v>6709</v>
      </c>
    </row>
    <row r="536" spans="1:13">
      <c r="A536" s="27" t="s">
        <v>6705</v>
      </c>
      <c r="B536" s="142" t="s">
        <v>7773</v>
      </c>
      <c r="C536" s="142" t="s">
        <v>7540</v>
      </c>
      <c r="D536" s="142" t="s">
        <v>7774</v>
      </c>
      <c r="E536" s="145">
        <v>1</v>
      </c>
      <c r="F536" s="143" t="s">
        <v>168</v>
      </c>
      <c r="G536" s="143" t="s">
        <v>7542</v>
      </c>
      <c r="H536" s="143" t="s">
        <v>26</v>
      </c>
      <c r="I536" s="143" t="s">
        <v>176</v>
      </c>
      <c r="J536" s="143" t="s">
        <v>643</v>
      </c>
      <c r="K536" s="144">
        <f>34*1.61</f>
        <v>54.74</v>
      </c>
      <c r="L536" s="145" t="s">
        <v>172</v>
      </c>
      <c r="M536" s="143" t="s">
        <v>6709</v>
      </c>
    </row>
    <row r="537" spans="1:13">
      <c r="A537" s="27" t="s">
        <v>6705</v>
      </c>
      <c r="B537" s="142" t="s">
        <v>7775</v>
      </c>
      <c r="C537" s="142" t="s">
        <v>7540</v>
      </c>
      <c r="D537" s="142" t="s">
        <v>7776</v>
      </c>
      <c r="E537" s="145">
        <v>1</v>
      </c>
      <c r="F537" s="143" t="s">
        <v>168</v>
      </c>
      <c r="G537" s="143" t="s">
        <v>7542</v>
      </c>
      <c r="H537" s="143" t="s">
        <v>26</v>
      </c>
      <c r="I537" s="143" t="s">
        <v>176</v>
      </c>
      <c r="J537" s="143" t="s">
        <v>643</v>
      </c>
      <c r="K537" s="144">
        <f>34*1.7</f>
        <v>57.8</v>
      </c>
      <c r="L537" s="145" t="s">
        <v>172</v>
      </c>
      <c r="M537" s="143" t="s">
        <v>6709</v>
      </c>
    </row>
    <row r="538" spans="1:13">
      <c r="A538" s="27" t="s">
        <v>6705</v>
      </c>
      <c r="B538" s="142" t="s">
        <v>7777</v>
      </c>
      <c r="C538" s="142" t="s">
        <v>7540</v>
      </c>
      <c r="D538" s="142" t="s">
        <v>7778</v>
      </c>
      <c r="E538" s="145">
        <v>1</v>
      </c>
      <c r="F538" s="143" t="s">
        <v>168</v>
      </c>
      <c r="G538" s="143" t="s">
        <v>7542</v>
      </c>
      <c r="H538" s="143" t="s">
        <v>26</v>
      </c>
      <c r="I538" s="143" t="s">
        <v>176</v>
      </c>
      <c r="J538" s="143" t="s">
        <v>643</v>
      </c>
      <c r="K538" s="144">
        <f>2+11</f>
        <v>13</v>
      </c>
      <c r="L538" s="145" t="s">
        <v>172</v>
      </c>
      <c r="M538" s="143" t="s">
        <v>6709</v>
      </c>
    </row>
    <row r="539" spans="1:13">
      <c r="A539" s="27" t="s">
        <v>6705</v>
      </c>
      <c r="B539" s="142" t="s">
        <v>7779</v>
      </c>
      <c r="C539" s="142" t="s">
        <v>7540</v>
      </c>
      <c r="D539" s="142" t="s">
        <v>7780</v>
      </c>
      <c r="E539" s="145">
        <v>1</v>
      </c>
      <c r="F539" s="143" t="s">
        <v>168</v>
      </c>
      <c r="G539" s="143" t="s">
        <v>7542</v>
      </c>
      <c r="H539" s="143" t="s">
        <v>26</v>
      </c>
      <c r="I539" s="143" t="s">
        <v>176</v>
      </c>
      <c r="J539" s="143" t="s">
        <v>643</v>
      </c>
      <c r="K539" s="144">
        <f>1.61*11</f>
        <v>17.71</v>
      </c>
      <c r="L539" s="145" t="s">
        <v>172</v>
      </c>
      <c r="M539" s="143" t="s">
        <v>6709</v>
      </c>
    </row>
    <row r="540" spans="1:13">
      <c r="A540" s="27" t="s">
        <v>6705</v>
      </c>
      <c r="B540" s="142" t="s">
        <v>7781</v>
      </c>
      <c r="C540" s="142" t="s">
        <v>7540</v>
      </c>
      <c r="D540" s="142" t="s">
        <v>7782</v>
      </c>
      <c r="E540" s="145">
        <v>1</v>
      </c>
      <c r="F540" s="143" t="s">
        <v>168</v>
      </c>
      <c r="G540" s="143" t="s">
        <v>7542</v>
      </c>
      <c r="H540" s="143" t="s">
        <v>26</v>
      </c>
      <c r="I540" s="143" t="s">
        <v>176</v>
      </c>
      <c r="J540" s="143" t="s">
        <v>643</v>
      </c>
      <c r="K540" s="144">
        <f>1.7*11</f>
        <v>18.7</v>
      </c>
      <c r="L540" s="145" t="s">
        <v>172</v>
      </c>
      <c r="M540" s="143" t="s">
        <v>6709</v>
      </c>
    </row>
    <row r="541" spans="1:13">
      <c r="A541" s="27" t="s">
        <v>6705</v>
      </c>
      <c r="B541" s="142" t="s">
        <v>7783</v>
      </c>
      <c r="C541" s="142" t="s">
        <v>7540</v>
      </c>
      <c r="D541" s="142" t="s">
        <v>7784</v>
      </c>
      <c r="E541" s="145">
        <v>1</v>
      </c>
      <c r="F541" s="143" t="s">
        <v>168</v>
      </c>
      <c r="G541" s="143" t="s">
        <v>7542</v>
      </c>
      <c r="H541" s="143" t="s">
        <v>26</v>
      </c>
      <c r="I541" s="143" t="s">
        <v>176</v>
      </c>
      <c r="J541" s="143" t="s">
        <v>643</v>
      </c>
      <c r="K541" s="144">
        <f>2970+17094</f>
        <v>20064</v>
      </c>
      <c r="L541" s="145" t="s">
        <v>172</v>
      </c>
      <c r="M541" s="143" t="s">
        <v>6709</v>
      </c>
    </row>
    <row r="542" spans="1:13">
      <c r="A542" s="27" t="s">
        <v>6705</v>
      </c>
      <c r="B542" s="142" t="s">
        <v>7785</v>
      </c>
      <c r="C542" s="142" t="s">
        <v>7540</v>
      </c>
      <c r="D542" s="142" t="s">
        <v>7786</v>
      </c>
      <c r="E542" s="145">
        <v>1</v>
      </c>
      <c r="F542" s="143" t="s">
        <v>168</v>
      </c>
      <c r="G542" s="143" t="s">
        <v>7542</v>
      </c>
      <c r="H542" s="143" t="s">
        <v>26</v>
      </c>
      <c r="I542" s="143" t="s">
        <v>176</v>
      </c>
      <c r="J542" s="143" t="s">
        <v>643</v>
      </c>
      <c r="K542" s="144">
        <f>1.61*17094</f>
        <v>27521.34</v>
      </c>
      <c r="L542" s="145" t="s">
        <v>172</v>
      </c>
      <c r="M542" s="143" t="s">
        <v>6709</v>
      </c>
    </row>
    <row r="543" spans="1:13">
      <c r="A543" s="27" t="s">
        <v>6705</v>
      </c>
      <c r="B543" s="142" t="s">
        <v>7787</v>
      </c>
      <c r="C543" s="142" t="s">
        <v>7540</v>
      </c>
      <c r="D543" s="142" t="s">
        <v>7788</v>
      </c>
      <c r="E543" s="145">
        <v>1</v>
      </c>
      <c r="F543" s="143" t="s">
        <v>168</v>
      </c>
      <c r="G543" s="143" t="s">
        <v>7542</v>
      </c>
      <c r="H543" s="143" t="s">
        <v>26</v>
      </c>
      <c r="I543" s="143" t="s">
        <v>176</v>
      </c>
      <c r="J543" s="143" t="s">
        <v>643</v>
      </c>
      <c r="K543" s="144">
        <f>1.7*17094</f>
        <v>29059.8</v>
      </c>
      <c r="L543" s="145" t="s">
        <v>172</v>
      </c>
      <c r="M543" s="143" t="s">
        <v>6709</v>
      </c>
    </row>
    <row r="544" spans="1:13">
      <c r="A544" s="27" t="s">
        <v>6705</v>
      </c>
      <c r="B544" s="142" t="s">
        <v>7789</v>
      </c>
      <c r="C544" s="142" t="s">
        <v>7540</v>
      </c>
      <c r="D544" s="142" t="s">
        <v>7790</v>
      </c>
      <c r="E544" s="145">
        <v>1</v>
      </c>
      <c r="F544" s="143" t="s">
        <v>168</v>
      </c>
      <c r="G544" s="143" t="s">
        <v>7542</v>
      </c>
      <c r="H544" s="143" t="s">
        <v>26</v>
      </c>
      <c r="I544" s="143" t="s">
        <v>176</v>
      </c>
      <c r="J544" s="143" t="s">
        <v>643</v>
      </c>
      <c r="K544" s="144">
        <f>3250</f>
        <v>3250</v>
      </c>
      <c r="L544" s="145" t="s">
        <v>172</v>
      </c>
      <c r="M544" s="143" t="s">
        <v>6709</v>
      </c>
    </row>
    <row r="545" spans="1:13">
      <c r="A545" s="27" t="s">
        <v>6705</v>
      </c>
      <c r="B545" s="142" t="s">
        <v>7791</v>
      </c>
      <c r="C545" s="142" t="s">
        <v>7540</v>
      </c>
      <c r="D545" s="142" t="s">
        <v>7792</v>
      </c>
      <c r="E545" s="145">
        <v>1</v>
      </c>
      <c r="F545" s="143" t="s">
        <v>168</v>
      </c>
      <c r="G545" s="143" t="s">
        <v>7542</v>
      </c>
      <c r="H545" s="143" t="s">
        <v>26</v>
      </c>
      <c r="I545" s="143" t="s">
        <v>176</v>
      </c>
      <c r="J545" s="143" t="s">
        <v>643</v>
      </c>
      <c r="K545" s="144">
        <f>2850+1100</f>
        <v>3950</v>
      </c>
      <c r="L545" s="145" t="s">
        <v>172</v>
      </c>
      <c r="M545" s="143" t="s">
        <v>6709</v>
      </c>
    </row>
    <row r="546" spans="1:13">
      <c r="A546" s="27" t="s">
        <v>6705</v>
      </c>
      <c r="B546" s="142" t="s">
        <v>7793</v>
      </c>
      <c r="C546" s="142" t="s">
        <v>7540</v>
      </c>
      <c r="D546" s="142" t="s">
        <v>7794</v>
      </c>
      <c r="E546" s="145">
        <v>1</v>
      </c>
      <c r="F546" s="143" t="s">
        <v>168</v>
      </c>
      <c r="G546" s="143" t="s">
        <v>7542</v>
      </c>
      <c r="H546" s="143" t="s">
        <v>26</v>
      </c>
      <c r="I546" s="143" t="s">
        <v>176</v>
      </c>
      <c r="J546" s="143" t="s">
        <v>643</v>
      </c>
      <c r="K546" s="144">
        <f>2850+1400</f>
        <v>4250</v>
      </c>
      <c r="L546" s="145" t="s">
        <v>172</v>
      </c>
      <c r="M546" s="143" t="s">
        <v>6709</v>
      </c>
    </row>
    <row r="547" spans="1:13">
      <c r="A547" s="27" t="s">
        <v>6705</v>
      </c>
      <c r="B547" s="142" t="s">
        <v>7795</v>
      </c>
      <c r="C547" s="142" t="s">
        <v>7540</v>
      </c>
      <c r="D547" s="142" t="s">
        <v>7796</v>
      </c>
      <c r="E547" s="145">
        <v>1</v>
      </c>
      <c r="F547" s="143" t="s">
        <v>168</v>
      </c>
      <c r="G547" s="143" t="s">
        <v>7542</v>
      </c>
      <c r="H547" s="143" t="s">
        <v>26</v>
      </c>
      <c r="I547" s="143" t="s">
        <v>176</v>
      </c>
      <c r="J547" s="143" t="s">
        <v>643</v>
      </c>
      <c r="K547" s="144">
        <f>2850+1700</f>
        <v>4550</v>
      </c>
      <c r="L547" s="145" t="s">
        <v>172</v>
      </c>
      <c r="M547" s="143" t="s">
        <v>6709</v>
      </c>
    </row>
    <row r="548" spans="1:13">
      <c r="A548" s="27" t="s">
        <v>6705</v>
      </c>
      <c r="B548" s="142" t="s">
        <v>7797</v>
      </c>
      <c r="C548" s="142" t="s">
        <v>7540</v>
      </c>
      <c r="D548" s="142" t="s">
        <v>7798</v>
      </c>
      <c r="E548" s="145">
        <v>1</v>
      </c>
      <c r="F548" s="143" t="s">
        <v>168</v>
      </c>
      <c r="G548" s="143" t="s">
        <v>7542</v>
      </c>
      <c r="H548" s="143" t="s">
        <v>26</v>
      </c>
      <c r="I548" s="143" t="s">
        <v>176</v>
      </c>
      <c r="J548" s="143" t="s">
        <v>643</v>
      </c>
      <c r="K548" s="144">
        <f>2850+1100</f>
        <v>3950</v>
      </c>
      <c r="L548" s="145" t="s">
        <v>172</v>
      </c>
      <c r="M548" s="143" t="s">
        <v>6709</v>
      </c>
    </row>
    <row r="549" spans="1:13">
      <c r="A549" s="27" t="s">
        <v>6705</v>
      </c>
      <c r="B549" s="142" t="s">
        <v>7799</v>
      </c>
      <c r="C549" s="142" t="s">
        <v>7540</v>
      </c>
      <c r="D549" s="142" t="s">
        <v>7800</v>
      </c>
      <c r="E549" s="145">
        <v>1</v>
      </c>
      <c r="F549" s="143" t="s">
        <v>168</v>
      </c>
      <c r="G549" s="143" t="s">
        <v>7542</v>
      </c>
      <c r="H549" s="143" t="s">
        <v>26</v>
      </c>
      <c r="I549" s="143" t="s">
        <v>176</v>
      </c>
      <c r="J549" s="143" t="s">
        <v>643</v>
      </c>
      <c r="K549" s="144">
        <f>2850+1400</f>
        <v>4250</v>
      </c>
      <c r="L549" s="145" t="s">
        <v>172</v>
      </c>
      <c r="M549" s="143" t="s">
        <v>6709</v>
      </c>
    </row>
    <row r="550" spans="1:13">
      <c r="A550" s="27" t="s">
        <v>6705</v>
      </c>
      <c r="B550" s="142" t="s">
        <v>7801</v>
      </c>
      <c r="C550" s="142" t="s">
        <v>7540</v>
      </c>
      <c r="D550" s="142" t="s">
        <v>7802</v>
      </c>
      <c r="E550" s="145">
        <v>1</v>
      </c>
      <c r="F550" s="143" t="s">
        <v>168</v>
      </c>
      <c r="G550" s="143" t="s">
        <v>7542</v>
      </c>
      <c r="H550" s="143" t="s">
        <v>26</v>
      </c>
      <c r="I550" s="143" t="s">
        <v>176</v>
      </c>
      <c r="J550" s="143" t="s">
        <v>643</v>
      </c>
      <c r="K550" s="144">
        <f>15+60</f>
        <v>75</v>
      </c>
      <c r="L550" s="145" t="s">
        <v>172</v>
      </c>
      <c r="M550" s="143" t="s">
        <v>6709</v>
      </c>
    </row>
    <row r="551" spans="1:13">
      <c r="A551" s="27" t="s">
        <v>6705</v>
      </c>
      <c r="B551" s="142" t="s">
        <v>7803</v>
      </c>
      <c r="C551" s="142" t="s">
        <v>7540</v>
      </c>
      <c r="D551" s="142" t="s">
        <v>7804</v>
      </c>
      <c r="E551" s="145">
        <v>1</v>
      </c>
      <c r="F551" s="143" t="s">
        <v>168</v>
      </c>
      <c r="G551" s="143" t="s">
        <v>7542</v>
      </c>
      <c r="H551" s="143" t="s">
        <v>26</v>
      </c>
      <c r="I551" s="143" t="s">
        <v>176</v>
      </c>
      <c r="J551" s="143" t="s">
        <v>643</v>
      </c>
      <c r="K551" s="144">
        <f>1.61*60</f>
        <v>96.600000000000009</v>
      </c>
      <c r="L551" s="145" t="s">
        <v>172</v>
      </c>
      <c r="M551" s="143" t="s">
        <v>6709</v>
      </c>
    </row>
    <row r="552" spans="1:13">
      <c r="A552" s="27" t="s">
        <v>6705</v>
      </c>
      <c r="B552" s="142" t="s">
        <v>7805</v>
      </c>
      <c r="C552" s="142" t="s">
        <v>7540</v>
      </c>
      <c r="D552" s="142" t="s">
        <v>7806</v>
      </c>
      <c r="E552" s="145">
        <v>1</v>
      </c>
      <c r="F552" s="143" t="s">
        <v>168</v>
      </c>
      <c r="G552" s="143" t="s">
        <v>7542</v>
      </c>
      <c r="H552" s="143" t="s">
        <v>26</v>
      </c>
      <c r="I552" s="143" t="s">
        <v>176</v>
      </c>
      <c r="J552" s="143" t="s">
        <v>643</v>
      </c>
      <c r="K552" s="144">
        <f>1.7*60</f>
        <v>102</v>
      </c>
      <c r="L552" s="145" t="s">
        <v>172</v>
      </c>
      <c r="M552" s="143" t="s">
        <v>6709</v>
      </c>
    </row>
    <row r="553" spans="1:13">
      <c r="A553" s="27" t="s">
        <v>6705</v>
      </c>
      <c r="B553" s="142" t="s">
        <v>7807</v>
      </c>
      <c r="C553" s="142" t="s">
        <v>7540</v>
      </c>
      <c r="D553" s="142" t="s">
        <v>7808</v>
      </c>
      <c r="E553" s="145">
        <v>1</v>
      </c>
      <c r="F553" s="143" t="s">
        <v>168</v>
      </c>
      <c r="G553" s="143" t="s">
        <v>7542</v>
      </c>
      <c r="H553" s="143" t="s">
        <v>26</v>
      </c>
      <c r="I553" s="143" t="s">
        <v>176</v>
      </c>
      <c r="J553" s="143" t="s">
        <v>643</v>
      </c>
      <c r="K553" s="144">
        <f>188+78</f>
        <v>266</v>
      </c>
      <c r="L553" s="145" t="s">
        <v>172</v>
      </c>
      <c r="M553" s="143" t="s">
        <v>6709</v>
      </c>
    </row>
    <row r="554" spans="1:13">
      <c r="A554" s="27" t="s">
        <v>6705</v>
      </c>
      <c r="B554" s="142" t="s">
        <v>7809</v>
      </c>
      <c r="C554" s="142" t="s">
        <v>7540</v>
      </c>
      <c r="D554" s="142" t="s">
        <v>7810</v>
      </c>
      <c r="E554" s="145">
        <v>1</v>
      </c>
      <c r="F554" s="143" t="s">
        <v>168</v>
      </c>
      <c r="G554" s="143" t="s">
        <v>7542</v>
      </c>
      <c r="H554" s="143" t="s">
        <v>26</v>
      </c>
      <c r="I554" s="143" t="s">
        <v>176</v>
      </c>
      <c r="J554" s="143" t="s">
        <v>643</v>
      </c>
      <c r="K554" s="144">
        <f>188+113</f>
        <v>301</v>
      </c>
      <c r="L554" s="145" t="s">
        <v>172</v>
      </c>
      <c r="M554" s="143" t="s">
        <v>6709</v>
      </c>
    </row>
    <row r="555" spans="1:13">
      <c r="A555" s="27" t="s">
        <v>6705</v>
      </c>
      <c r="B555" s="142" t="s">
        <v>7811</v>
      </c>
      <c r="C555" s="142" t="s">
        <v>7540</v>
      </c>
      <c r="D555" s="142" t="s">
        <v>7812</v>
      </c>
      <c r="E555" s="145">
        <v>1</v>
      </c>
      <c r="F555" s="143" t="s">
        <v>168</v>
      </c>
      <c r="G555" s="143" t="s">
        <v>7542</v>
      </c>
      <c r="H555" s="143" t="s">
        <v>26</v>
      </c>
      <c r="I555" s="143" t="s">
        <v>176</v>
      </c>
      <c r="J555" s="143" t="s">
        <v>643</v>
      </c>
      <c r="K555" s="144">
        <f>188+146</f>
        <v>334</v>
      </c>
      <c r="L555" s="145" t="s">
        <v>172</v>
      </c>
      <c r="M555" s="143" t="s">
        <v>6709</v>
      </c>
    </row>
    <row r="556" spans="1:13">
      <c r="A556" s="27" t="s">
        <v>6705</v>
      </c>
      <c r="B556" s="142" t="s">
        <v>7813</v>
      </c>
      <c r="C556" s="142" t="s">
        <v>7540</v>
      </c>
      <c r="D556" s="142" t="s">
        <v>7814</v>
      </c>
      <c r="E556" s="145">
        <v>1</v>
      </c>
      <c r="F556" s="143" t="s">
        <v>168</v>
      </c>
      <c r="G556" s="143" t="s">
        <v>7542</v>
      </c>
      <c r="H556" s="143" t="s">
        <v>26</v>
      </c>
      <c r="I556" s="143" t="s">
        <v>176</v>
      </c>
      <c r="J556" s="143" t="s">
        <v>643</v>
      </c>
      <c r="K556" s="144">
        <v>188</v>
      </c>
      <c r="L556" s="145" t="s">
        <v>172</v>
      </c>
      <c r="M556" s="143" t="s">
        <v>6709</v>
      </c>
    </row>
    <row r="557" spans="1:13">
      <c r="A557" s="27" t="s">
        <v>6705</v>
      </c>
      <c r="B557" s="142" t="s">
        <v>7815</v>
      </c>
      <c r="C557" s="142" t="s">
        <v>7540</v>
      </c>
      <c r="D557" s="142" t="s">
        <v>7814</v>
      </c>
      <c r="E557" s="145">
        <v>1</v>
      </c>
      <c r="F557" s="143" t="s">
        <v>168</v>
      </c>
      <c r="G557" s="143" t="s">
        <v>7542</v>
      </c>
      <c r="H557" s="143" t="s">
        <v>26</v>
      </c>
      <c r="I557" s="143" t="s">
        <v>176</v>
      </c>
      <c r="J557" s="143" t="s">
        <v>643</v>
      </c>
      <c r="K557" s="144">
        <v>188</v>
      </c>
      <c r="L557" s="145" t="s">
        <v>172</v>
      </c>
      <c r="M557" s="143" t="s">
        <v>6709</v>
      </c>
    </row>
    <row r="558" spans="1:13">
      <c r="A558" s="27" t="s">
        <v>6705</v>
      </c>
      <c r="B558" s="142" t="s">
        <v>7816</v>
      </c>
      <c r="C558" s="142" t="s">
        <v>7540</v>
      </c>
      <c r="D558" s="142" t="s">
        <v>7814</v>
      </c>
      <c r="E558" s="145">
        <v>1</v>
      </c>
      <c r="F558" s="143" t="s">
        <v>168</v>
      </c>
      <c r="G558" s="143" t="s">
        <v>7542</v>
      </c>
      <c r="H558" s="143" t="s">
        <v>26</v>
      </c>
      <c r="I558" s="143" t="s">
        <v>176</v>
      </c>
      <c r="J558" s="143" t="s">
        <v>643</v>
      </c>
      <c r="K558" s="144">
        <v>188</v>
      </c>
      <c r="L558" s="145" t="s">
        <v>172</v>
      </c>
      <c r="M558" s="143" t="s">
        <v>6709</v>
      </c>
    </row>
    <row r="559" spans="1:13">
      <c r="A559" s="27" t="s">
        <v>6705</v>
      </c>
      <c r="B559" s="142" t="s">
        <v>7817</v>
      </c>
      <c r="C559" s="142" t="s">
        <v>7540</v>
      </c>
      <c r="D559" s="142" t="s">
        <v>7818</v>
      </c>
      <c r="E559" s="145">
        <v>1</v>
      </c>
      <c r="F559" s="143" t="s">
        <v>168</v>
      </c>
      <c r="G559" s="143" t="s">
        <v>7542</v>
      </c>
      <c r="H559" s="143" t="s">
        <v>26</v>
      </c>
      <c r="I559" s="143" t="s">
        <v>176</v>
      </c>
      <c r="J559" s="143" t="s">
        <v>643</v>
      </c>
      <c r="K559" s="144">
        <v>47</v>
      </c>
      <c r="L559" s="145" t="s">
        <v>172</v>
      </c>
      <c r="M559" s="143" t="s">
        <v>6709</v>
      </c>
    </row>
    <row r="560" spans="1:13">
      <c r="A560" s="27" t="s">
        <v>6705</v>
      </c>
      <c r="B560" s="142" t="s">
        <v>7819</v>
      </c>
      <c r="C560" s="142" t="s">
        <v>7540</v>
      </c>
      <c r="D560" s="142" t="s">
        <v>7820</v>
      </c>
      <c r="E560" s="145">
        <v>1</v>
      </c>
      <c r="F560" s="143" t="s">
        <v>168</v>
      </c>
      <c r="G560" s="143" t="s">
        <v>7542</v>
      </c>
      <c r="H560" s="143" t="s">
        <v>26</v>
      </c>
      <c r="I560" s="143" t="s">
        <v>176</v>
      </c>
      <c r="J560" s="143" t="s">
        <v>643</v>
      </c>
      <c r="K560" s="144">
        <v>47</v>
      </c>
      <c r="L560" s="145" t="s">
        <v>172</v>
      </c>
      <c r="M560" s="143" t="s">
        <v>6709</v>
      </c>
    </row>
    <row r="561" spans="1:13">
      <c r="A561" s="27" t="s">
        <v>6705</v>
      </c>
      <c r="B561" s="142" t="s">
        <v>7821</v>
      </c>
      <c r="C561" s="142" t="s">
        <v>7540</v>
      </c>
      <c r="D561" s="142" t="s">
        <v>7820</v>
      </c>
      <c r="E561" s="145">
        <v>1</v>
      </c>
      <c r="F561" s="143" t="s">
        <v>168</v>
      </c>
      <c r="G561" s="143" t="s">
        <v>7542</v>
      </c>
      <c r="H561" s="143" t="s">
        <v>26</v>
      </c>
      <c r="I561" s="143" t="s">
        <v>176</v>
      </c>
      <c r="J561" s="143" t="s">
        <v>643</v>
      </c>
      <c r="K561" s="144">
        <v>94</v>
      </c>
      <c r="L561" s="145" t="s">
        <v>172</v>
      </c>
      <c r="M561" s="143" t="s">
        <v>6709</v>
      </c>
    </row>
    <row r="562" spans="1:13">
      <c r="A562" s="27" t="s">
        <v>6705</v>
      </c>
      <c r="B562" s="142" t="s">
        <v>7822</v>
      </c>
      <c r="C562" s="142" t="s">
        <v>7540</v>
      </c>
      <c r="D562" s="142" t="s">
        <v>7823</v>
      </c>
      <c r="E562" s="145">
        <v>1</v>
      </c>
      <c r="F562" s="143" t="s">
        <v>168</v>
      </c>
      <c r="G562" s="143" t="s">
        <v>7542</v>
      </c>
      <c r="H562" s="143" t="s">
        <v>26</v>
      </c>
      <c r="I562" s="143" t="s">
        <v>176</v>
      </c>
      <c r="J562" s="143" t="s">
        <v>643</v>
      </c>
      <c r="K562" s="144">
        <v>141</v>
      </c>
      <c r="L562" s="145" t="s">
        <v>172</v>
      </c>
      <c r="M562" s="143" t="s">
        <v>6709</v>
      </c>
    </row>
    <row r="563" spans="1:13">
      <c r="A563" s="27" t="s">
        <v>6705</v>
      </c>
      <c r="B563" s="142" t="s">
        <v>7824</v>
      </c>
      <c r="C563" s="142" t="s">
        <v>7540</v>
      </c>
      <c r="D563" s="142" t="s">
        <v>7825</v>
      </c>
      <c r="E563" s="145">
        <v>1</v>
      </c>
      <c r="F563" s="143" t="s">
        <v>168</v>
      </c>
      <c r="G563" s="143" t="s">
        <v>7542</v>
      </c>
      <c r="H563" s="143" t="s">
        <v>26</v>
      </c>
      <c r="I563" s="143" t="s">
        <v>176</v>
      </c>
      <c r="J563" s="143" t="s">
        <v>643</v>
      </c>
      <c r="K563" s="144">
        <v>207</v>
      </c>
      <c r="L563" s="145" t="s">
        <v>172</v>
      </c>
      <c r="M563" s="143" t="s">
        <v>6709</v>
      </c>
    </row>
    <row r="564" spans="1:13">
      <c r="A564" s="27" t="s">
        <v>6705</v>
      </c>
      <c r="B564" s="142" t="s">
        <v>7826</v>
      </c>
      <c r="C564" s="142" t="s">
        <v>7540</v>
      </c>
      <c r="D564" s="142" t="s">
        <v>7827</v>
      </c>
      <c r="E564" s="145">
        <v>1</v>
      </c>
      <c r="F564" s="143" t="s">
        <v>168</v>
      </c>
      <c r="G564" s="143" t="s">
        <v>7542</v>
      </c>
      <c r="H564" s="143" t="s">
        <v>26</v>
      </c>
      <c r="I564" s="143" t="s">
        <v>176</v>
      </c>
      <c r="J564" s="143" t="s">
        <v>643</v>
      </c>
      <c r="K564" s="144">
        <v>269</v>
      </c>
      <c r="L564" s="145" t="s">
        <v>172</v>
      </c>
      <c r="M564" s="143" t="s">
        <v>6709</v>
      </c>
    </row>
    <row r="565" spans="1:13">
      <c r="A565" s="27" t="s">
        <v>6705</v>
      </c>
      <c r="B565" s="142" t="s">
        <v>7828</v>
      </c>
      <c r="C565" s="142" t="s">
        <v>7540</v>
      </c>
      <c r="D565" s="142" t="s">
        <v>7829</v>
      </c>
      <c r="E565" s="145">
        <v>1</v>
      </c>
      <c r="F565" s="143" t="s">
        <v>168</v>
      </c>
      <c r="G565" s="143" t="s">
        <v>7542</v>
      </c>
      <c r="H565" s="143" t="s">
        <v>26</v>
      </c>
      <c r="I565" s="143" t="s">
        <v>176</v>
      </c>
      <c r="J565" s="143" t="s">
        <v>643</v>
      </c>
      <c r="K565" s="144">
        <v>456</v>
      </c>
      <c r="L565" s="145" t="s">
        <v>172</v>
      </c>
      <c r="M565" s="143" t="s">
        <v>6709</v>
      </c>
    </row>
    <row r="566" spans="1:13">
      <c r="A566" s="27" t="s">
        <v>6705</v>
      </c>
      <c r="B566" s="142" t="s">
        <v>7830</v>
      </c>
      <c r="C566" s="142" t="s">
        <v>7540</v>
      </c>
      <c r="D566" s="142" t="s">
        <v>7831</v>
      </c>
      <c r="E566" s="145">
        <v>1</v>
      </c>
      <c r="F566" s="143" t="s">
        <v>168</v>
      </c>
      <c r="G566" s="143" t="s">
        <v>7542</v>
      </c>
      <c r="H566" s="143" t="s">
        <v>26</v>
      </c>
      <c r="I566" s="143" t="s">
        <v>176</v>
      </c>
      <c r="J566" s="143" t="s">
        <v>643</v>
      </c>
      <c r="K566" s="144">
        <f>456*1.37</f>
        <v>624.72</v>
      </c>
      <c r="L566" s="145" t="s">
        <v>172</v>
      </c>
      <c r="M566" s="143" t="s">
        <v>6709</v>
      </c>
    </row>
    <row r="567" spans="1:13">
      <c r="A567" s="27" t="s">
        <v>6705</v>
      </c>
      <c r="B567" s="142" t="s">
        <v>7832</v>
      </c>
      <c r="C567" s="142" t="s">
        <v>7540</v>
      </c>
      <c r="D567" s="142" t="s">
        <v>7833</v>
      </c>
      <c r="E567" s="145">
        <v>1</v>
      </c>
      <c r="F567" s="143" t="s">
        <v>168</v>
      </c>
      <c r="G567" s="143" t="s">
        <v>7542</v>
      </c>
      <c r="H567" s="143" t="s">
        <v>26</v>
      </c>
      <c r="I567" s="143" t="s">
        <v>176</v>
      </c>
      <c r="J567" s="143" t="s">
        <v>643</v>
      </c>
      <c r="K567" s="144">
        <f>456*1.48</f>
        <v>674.88</v>
      </c>
      <c r="L567" s="145" t="s">
        <v>172</v>
      </c>
      <c r="M567" s="143" t="s">
        <v>6709</v>
      </c>
    </row>
    <row r="568" spans="1:13">
      <c r="A568" s="27" t="s">
        <v>6705</v>
      </c>
      <c r="B568" s="142" t="s">
        <v>7834</v>
      </c>
      <c r="C568" s="142" t="s">
        <v>7540</v>
      </c>
      <c r="D568" s="142" t="s">
        <v>7835</v>
      </c>
      <c r="E568" s="145">
        <v>1</v>
      </c>
      <c r="F568" s="143" t="s">
        <v>168</v>
      </c>
      <c r="G568" s="143" t="s">
        <v>7542</v>
      </c>
      <c r="H568" s="143" t="s">
        <v>26</v>
      </c>
      <c r="I568" s="143" t="s">
        <v>176</v>
      </c>
      <c r="J568" s="143" t="s">
        <v>643</v>
      </c>
      <c r="K568" s="144">
        <f>456*1.58</f>
        <v>720.48</v>
      </c>
      <c r="L568" s="145" t="s">
        <v>172</v>
      </c>
      <c r="M568" s="143" t="s">
        <v>6709</v>
      </c>
    </row>
    <row r="569" spans="1:13">
      <c r="A569" s="27" t="s">
        <v>6705</v>
      </c>
      <c r="B569" s="142" t="s">
        <v>7836</v>
      </c>
      <c r="C569" s="142" t="s">
        <v>7540</v>
      </c>
      <c r="D569" s="142" t="s">
        <v>7837</v>
      </c>
      <c r="E569" s="145">
        <v>1</v>
      </c>
      <c r="F569" s="143" t="s">
        <v>168</v>
      </c>
      <c r="G569" s="143" t="s">
        <v>7542</v>
      </c>
      <c r="H569" s="143" t="s">
        <v>26</v>
      </c>
      <c r="I569" s="143" t="s">
        <v>176</v>
      </c>
      <c r="J569" s="143" t="s">
        <v>643</v>
      </c>
      <c r="K569" s="144">
        <f>11964+1616</f>
        <v>13580</v>
      </c>
      <c r="L569" s="145" t="s">
        <v>172</v>
      </c>
      <c r="M569" s="143" t="s">
        <v>6709</v>
      </c>
    </row>
    <row r="570" spans="1:13">
      <c r="A570" s="27" t="s">
        <v>6705</v>
      </c>
      <c r="B570" s="142" t="s">
        <v>7838</v>
      </c>
      <c r="C570" s="142" t="s">
        <v>7540</v>
      </c>
      <c r="D570" s="142" t="s">
        <v>7839</v>
      </c>
      <c r="E570" s="145">
        <v>1</v>
      </c>
      <c r="F570" s="143" t="s">
        <v>168</v>
      </c>
      <c r="G570" s="143" t="s">
        <v>7542</v>
      </c>
      <c r="H570" s="143" t="s">
        <v>26</v>
      </c>
      <c r="I570" s="143" t="s">
        <v>176</v>
      </c>
      <c r="J570" s="143" t="s">
        <v>643</v>
      </c>
      <c r="K570" s="144">
        <f>11964*1.37</f>
        <v>16390.68</v>
      </c>
      <c r="L570" s="145" t="s">
        <v>172</v>
      </c>
      <c r="M570" s="143" t="s">
        <v>6709</v>
      </c>
    </row>
    <row r="571" spans="1:13">
      <c r="A571" s="27" t="s">
        <v>6705</v>
      </c>
      <c r="B571" s="142" t="s">
        <v>7840</v>
      </c>
      <c r="C571" s="142" t="s">
        <v>7540</v>
      </c>
      <c r="D571" s="142" t="s">
        <v>7841</v>
      </c>
      <c r="E571" s="145">
        <v>1</v>
      </c>
      <c r="F571" s="143" t="s">
        <v>168</v>
      </c>
      <c r="G571" s="143" t="s">
        <v>7542</v>
      </c>
      <c r="H571" s="143" t="s">
        <v>26</v>
      </c>
      <c r="I571" s="143" t="s">
        <v>176</v>
      </c>
      <c r="J571" s="143" t="s">
        <v>643</v>
      </c>
      <c r="K571" s="144">
        <f>11964*1.48</f>
        <v>17706.72</v>
      </c>
      <c r="L571" s="145" t="s">
        <v>172</v>
      </c>
      <c r="M571" s="143" t="s">
        <v>6709</v>
      </c>
    </row>
    <row r="572" spans="1:13">
      <c r="A572" s="27" t="s">
        <v>6705</v>
      </c>
      <c r="B572" s="142" t="s">
        <v>7842</v>
      </c>
      <c r="C572" s="142" t="s">
        <v>7540</v>
      </c>
      <c r="D572" s="142" t="s">
        <v>7843</v>
      </c>
      <c r="E572" s="145">
        <v>1</v>
      </c>
      <c r="F572" s="143" t="s">
        <v>168</v>
      </c>
      <c r="G572" s="143" t="s">
        <v>7542</v>
      </c>
      <c r="H572" s="143" t="s">
        <v>26</v>
      </c>
      <c r="I572" s="143" t="s">
        <v>176</v>
      </c>
      <c r="J572" s="143" t="s">
        <v>643</v>
      </c>
      <c r="K572" s="144">
        <f>11964*1.58</f>
        <v>18903.120000000003</v>
      </c>
      <c r="L572" s="145" t="s">
        <v>172</v>
      </c>
      <c r="M572" s="143" t="s">
        <v>6709</v>
      </c>
    </row>
    <row r="573" spans="1:13">
      <c r="A573" s="27" t="s">
        <v>6705</v>
      </c>
      <c r="B573" s="142" t="s">
        <v>7844</v>
      </c>
      <c r="C573" s="142" t="s">
        <v>7540</v>
      </c>
      <c r="D573" s="142" t="s">
        <v>7845</v>
      </c>
      <c r="E573" s="145">
        <v>1</v>
      </c>
      <c r="F573" s="143" t="s">
        <v>168</v>
      </c>
      <c r="G573" s="143" t="s">
        <v>7542</v>
      </c>
      <c r="H573" s="143" t="s">
        <v>26</v>
      </c>
      <c r="I573" s="143" t="s">
        <v>176</v>
      </c>
      <c r="J573" s="143" t="s">
        <v>643</v>
      </c>
      <c r="K573" s="144">
        <f>19944+2701</f>
        <v>22645</v>
      </c>
      <c r="L573" s="145" t="s">
        <v>172</v>
      </c>
      <c r="M573" s="143" t="s">
        <v>6709</v>
      </c>
    </row>
    <row r="574" spans="1:13">
      <c r="A574" s="27" t="s">
        <v>6705</v>
      </c>
      <c r="B574" s="142" t="s">
        <v>7846</v>
      </c>
      <c r="C574" s="142" t="s">
        <v>7540</v>
      </c>
      <c r="D574" s="142" t="s">
        <v>7847</v>
      </c>
      <c r="E574" s="145">
        <v>1</v>
      </c>
      <c r="F574" s="143" t="s">
        <v>168</v>
      </c>
      <c r="G574" s="143" t="s">
        <v>7542</v>
      </c>
      <c r="H574" s="143" t="s">
        <v>26</v>
      </c>
      <c r="I574" s="143" t="s">
        <v>176</v>
      </c>
      <c r="J574" s="143" t="s">
        <v>643</v>
      </c>
      <c r="K574" s="144">
        <f>19944*1.37</f>
        <v>27323.280000000002</v>
      </c>
      <c r="L574" s="145" t="s">
        <v>172</v>
      </c>
      <c r="M574" s="143" t="s">
        <v>6709</v>
      </c>
    </row>
    <row r="575" spans="1:13">
      <c r="A575" s="27" t="s">
        <v>6705</v>
      </c>
      <c r="B575" s="142" t="s">
        <v>7848</v>
      </c>
      <c r="C575" s="142" t="s">
        <v>7540</v>
      </c>
      <c r="D575" s="142" t="s">
        <v>7849</v>
      </c>
      <c r="E575" s="145">
        <v>1</v>
      </c>
      <c r="F575" s="143" t="s">
        <v>168</v>
      </c>
      <c r="G575" s="143" t="s">
        <v>7542</v>
      </c>
      <c r="H575" s="143" t="s">
        <v>26</v>
      </c>
      <c r="I575" s="143" t="s">
        <v>176</v>
      </c>
      <c r="J575" s="143" t="s">
        <v>643</v>
      </c>
      <c r="K575" s="144">
        <f>19944*1.48</f>
        <v>29517.119999999999</v>
      </c>
      <c r="L575" s="145" t="s">
        <v>172</v>
      </c>
      <c r="M575" s="143" t="s">
        <v>6709</v>
      </c>
    </row>
    <row r="576" spans="1:13">
      <c r="A576" s="27" t="s">
        <v>6705</v>
      </c>
      <c r="B576" s="142" t="s">
        <v>7850</v>
      </c>
      <c r="C576" s="142" t="s">
        <v>7540</v>
      </c>
      <c r="D576" s="142" t="s">
        <v>7851</v>
      </c>
      <c r="E576" s="145">
        <v>1</v>
      </c>
      <c r="F576" s="143" t="s">
        <v>168</v>
      </c>
      <c r="G576" s="143" t="s">
        <v>7542</v>
      </c>
      <c r="H576" s="143" t="s">
        <v>26</v>
      </c>
      <c r="I576" s="143" t="s">
        <v>176</v>
      </c>
      <c r="J576" s="143" t="s">
        <v>643</v>
      </c>
      <c r="K576" s="144">
        <f>19944*1.58</f>
        <v>31511.52</v>
      </c>
      <c r="L576" s="145" t="s">
        <v>172</v>
      </c>
      <c r="M576" s="143" t="s">
        <v>6709</v>
      </c>
    </row>
    <row r="577" spans="1:13">
      <c r="A577" s="27" t="s">
        <v>6705</v>
      </c>
      <c r="B577" s="142" t="s">
        <v>7852</v>
      </c>
      <c r="C577" s="142" t="s">
        <v>7540</v>
      </c>
      <c r="D577" s="142" t="s">
        <v>7853</v>
      </c>
      <c r="E577" s="145">
        <v>1</v>
      </c>
      <c r="F577" s="143" t="s">
        <v>168</v>
      </c>
      <c r="G577" s="143" t="s">
        <v>7542</v>
      </c>
      <c r="H577" s="143" t="s">
        <v>26</v>
      </c>
      <c r="I577" s="143" t="s">
        <v>176</v>
      </c>
      <c r="J577" s="143" t="s">
        <v>643</v>
      </c>
      <c r="K577" s="144">
        <f>33054+4458</f>
        <v>37512</v>
      </c>
      <c r="L577" s="145" t="s">
        <v>172</v>
      </c>
      <c r="M577" s="143" t="s">
        <v>6709</v>
      </c>
    </row>
    <row r="578" spans="1:13">
      <c r="A578" s="27" t="s">
        <v>6705</v>
      </c>
      <c r="B578" s="142" t="s">
        <v>7854</v>
      </c>
      <c r="C578" s="142" t="s">
        <v>7540</v>
      </c>
      <c r="D578" s="142" t="s">
        <v>7855</v>
      </c>
      <c r="E578" s="145">
        <v>1</v>
      </c>
      <c r="F578" s="143" t="s">
        <v>168</v>
      </c>
      <c r="G578" s="143" t="s">
        <v>7542</v>
      </c>
      <c r="H578" s="143" t="s">
        <v>26</v>
      </c>
      <c r="I578" s="143" t="s">
        <v>176</v>
      </c>
      <c r="J578" s="143" t="s">
        <v>643</v>
      </c>
      <c r="K578" s="144">
        <f>33054*1.37</f>
        <v>45283.98</v>
      </c>
      <c r="L578" s="145" t="s">
        <v>172</v>
      </c>
      <c r="M578" s="143" t="s">
        <v>6709</v>
      </c>
    </row>
    <row r="579" spans="1:13">
      <c r="A579" s="27" t="s">
        <v>6705</v>
      </c>
      <c r="B579" s="142" t="s">
        <v>7856</v>
      </c>
      <c r="C579" s="142" t="s">
        <v>7540</v>
      </c>
      <c r="D579" s="142" t="s">
        <v>7857</v>
      </c>
      <c r="E579" s="145">
        <v>1</v>
      </c>
      <c r="F579" s="143" t="s">
        <v>168</v>
      </c>
      <c r="G579" s="143" t="s">
        <v>7542</v>
      </c>
      <c r="H579" s="143" t="s">
        <v>26</v>
      </c>
      <c r="I579" s="143" t="s">
        <v>176</v>
      </c>
      <c r="J579" s="143" t="s">
        <v>643</v>
      </c>
      <c r="K579" s="144">
        <f>33054*1.48</f>
        <v>48919.92</v>
      </c>
      <c r="L579" s="145" t="s">
        <v>172</v>
      </c>
      <c r="M579" s="143" t="s">
        <v>6709</v>
      </c>
    </row>
    <row r="580" spans="1:13">
      <c r="A580" s="27" t="s">
        <v>6705</v>
      </c>
      <c r="B580" s="142" t="s">
        <v>7858</v>
      </c>
      <c r="C580" s="142" t="s">
        <v>7540</v>
      </c>
      <c r="D580" s="142" t="s">
        <v>7859</v>
      </c>
      <c r="E580" s="145">
        <v>1</v>
      </c>
      <c r="F580" s="143" t="s">
        <v>168</v>
      </c>
      <c r="G580" s="143" t="s">
        <v>7542</v>
      </c>
      <c r="H580" s="143" t="s">
        <v>26</v>
      </c>
      <c r="I580" s="143" t="s">
        <v>176</v>
      </c>
      <c r="J580" s="143" t="s">
        <v>643</v>
      </c>
      <c r="K580" s="144">
        <f>33054*1.58</f>
        <v>52225.32</v>
      </c>
      <c r="L580" s="145" t="s">
        <v>172</v>
      </c>
      <c r="M580" s="143" t="s">
        <v>6709</v>
      </c>
    </row>
    <row r="581" spans="1:13">
      <c r="A581" s="27" t="s">
        <v>6705</v>
      </c>
      <c r="B581" s="142" t="s">
        <v>7860</v>
      </c>
      <c r="C581" s="142" t="s">
        <v>7540</v>
      </c>
      <c r="D581" s="142" t="s">
        <v>7861</v>
      </c>
      <c r="E581" s="145">
        <v>1</v>
      </c>
      <c r="F581" s="143" t="s">
        <v>168</v>
      </c>
      <c r="G581" s="143" t="s">
        <v>7542</v>
      </c>
      <c r="H581" s="143" t="s">
        <v>26</v>
      </c>
      <c r="I581" s="143" t="s">
        <v>176</v>
      </c>
      <c r="J581" s="143" t="s">
        <v>643</v>
      </c>
      <c r="K581" s="144">
        <f>55854+7544</f>
        <v>63398</v>
      </c>
      <c r="L581" s="145" t="s">
        <v>172</v>
      </c>
      <c r="M581" s="143" t="s">
        <v>6709</v>
      </c>
    </row>
    <row r="582" spans="1:13">
      <c r="A582" s="27" t="s">
        <v>6705</v>
      </c>
      <c r="B582" s="142" t="s">
        <v>7862</v>
      </c>
      <c r="C582" s="142" t="s">
        <v>7540</v>
      </c>
      <c r="D582" s="142" t="s">
        <v>7863</v>
      </c>
      <c r="E582" s="145">
        <v>1</v>
      </c>
      <c r="F582" s="143" t="s">
        <v>168</v>
      </c>
      <c r="G582" s="143" t="s">
        <v>7542</v>
      </c>
      <c r="H582" s="143" t="s">
        <v>26</v>
      </c>
      <c r="I582" s="143" t="s">
        <v>176</v>
      </c>
      <c r="J582" s="143" t="s">
        <v>643</v>
      </c>
      <c r="K582" s="144">
        <f>55854*1.37</f>
        <v>76519.98000000001</v>
      </c>
      <c r="L582" s="145" t="s">
        <v>172</v>
      </c>
      <c r="M582" s="143" t="s">
        <v>6709</v>
      </c>
    </row>
    <row r="583" spans="1:13">
      <c r="A583" s="27" t="s">
        <v>6705</v>
      </c>
      <c r="B583" s="142" t="s">
        <v>7864</v>
      </c>
      <c r="C583" s="142" t="s">
        <v>7540</v>
      </c>
      <c r="D583" s="142" t="s">
        <v>7865</v>
      </c>
      <c r="E583" s="145">
        <v>1</v>
      </c>
      <c r="F583" s="143" t="s">
        <v>168</v>
      </c>
      <c r="G583" s="143" t="s">
        <v>7542</v>
      </c>
      <c r="H583" s="143" t="s">
        <v>26</v>
      </c>
      <c r="I583" s="143" t="s">
        <v>176</v>
      </c>
      <c r="J583" s="143" t="s">
        <v>643</v>
      </c>
      <c r="K583" s="144">
        <f>55854*1.48</f>
        <v>82663.92</v>
      </c>
      <c r="L583" s="145" t="s">
        <v>172</v>
      </c>
      <c r="M583" s="143" t="s">
        <v>6709</v>
      </c>
    </row>
    <row r="584" spans="1:13">
      <c r="A584" s="27" t="s">
        <v>6705</v>
      </c>
      <c r="B584" s="142" t="s">
        <v>7866</v>
      </c>
      <c r="C584" s="142" t="s">
        <v>7540</v>
      </c>
      <c r="D584" s="142" t="s">
        <v>7867</v>
      </c>
      <c r="E584" s="145">
        <v>1</v>
      </c>
      <c r="F584" s="143" t="s">
        <v>168</v>
      </c>
      <c r="G584" s="143" t="s">
        <v>7542</v>
      </c>
      <c r="H584" s="143" t="s">
        <v>26</v>
      </c>
      <c r="I584" s="143" t="s">
        <v>176</v>
      </c>
      <c r="J584" s="143" t="s">
        <v>643</v>
      </c>
      <c r="K584" s="144">
        <f>55854*1.58</f>
        <v>88249.32</v>
      </c>
      <c r="L584" s="145" t="s">
        <v>172</v>
      </c>
      <c r="M584" s="143" t="s">
        <v>6709</v>
      </c>
    </row>
    <row r="585" spans="1:13">
      <c r="A585" s="27" t="s">
        <v>6705</v>
      </c>
      <c r="B585" s="142" t="s">
        <v>7868</v>
      </c>
      <c r="C585" s="142" t="s">
        <v>7540</v>
      </c>
      <c r="D585" s="142" t="s">
        <v>7869</v>
      </c>
      <c r="E585" s="145">
        <v>1</v>
      </c>
      <c r="F585" s="143" t="s">
        <v>168</v>
      </c>
      <c r="G585" s="143" t="s">
        <v>7542</v>
      </c>
      <c r="H585" s="143" t="s">
        <v>26</v>
      </c>
      <c r="I585" s="143" t="s">
        <v>176</v>
      </c>
      <c r="J585" s="143" t="s">
        <v>643</v>
      </c>
      <c r="K585" s="144">
        <f>7746+1043</f>
        <v>8789</v>
      </c>
      <c r="L585" s="145" t="s">
        <v>172</v>
      </c>
      <c r="M585" s="143" t="s">
        <v>6709</v>
      </c>
    </row>
    <row r="586" spans="1:13">
      <c r="A586" s="27" t="s">
        <v>6705</v>
      </c>
      <c r="B586" s="142" t="s">
        <v>7870</v>
      </c>
      <c r="C586" s="142" t="s">
        <v>7540</v>
      </c>
      <c r="D586" s="142" t="s">
        <v>7871</v>
      </c>
      <c r="E586" s="145">
        <v>1</v>
      </c>
      <c r="F586" s="143" t="s">
        <v>168</v>
      </c>
      <c r="G586" s="143" t="s">
        <v>7542</v>
      </c>
      <c r="H586" s="143" t="s">
        <v>26</v>
      </c>
      <c r="I586" s="143" t="s">
        <v>176</v>
      </c>
      <c r="J586" s="143" t="s">
        <v>643</v>
      </c>
      <c r="K586" s="144">
        <f>7746*1.37</f>
        <v>10612.02</v>
      </c>
      <c r="L586" s="145" t="s">
        <v>172</v>
      </c>
      <c r="M586" s="143" t="s">
        <v>6709</v>
      </c>
    </row>
    <row r="587" spans="1:13">
      <c r="A587" s="27" t="s">
        <v>6705</v>
      </c>
      <c r="B587" s="142" t="s">
        <v>7872</v>
      </c>
      <c r="C587" s="142" t="s">
        <v>7540</v>
      </c>
      <c r="D587" s="142" t="s">
        <v>7873</v>
      </c>
      <c r="E587" s="145">
        <v>1</v>
      </c>
      <c r="F587" s="143" t="s">
        <v>168</v>
      </c>
      <c r="G587" s="143" t="s">
        <v>7542</v>
      </c>
      <c r="H587" s="143" t="s">
        <v>26</v>
      </c>
      <c r="I587" s="143" t="s">
        <v>176</v>
      </c>
      <c r="J587" s="143" t="s">
        <v>643</v>
      </c>
      <c r="K587" s="144">
        <f>7746*1.48</f>
        <v>11464.08</v>
      </c>
      <c r="L587" s="145" t="s">
        <v>172</v>
      </c>
      <c r="M587" s="143" t="s">
        <v>6709</v>
      </c>
    </row>
    <row r="588" spans="1:13">
      <c r="A588" s="27" t="s">
        <v>6705</v>
      </c>
      <c r="B588" s="142" t="s">
        <v>7874</v>
      </c>
      <c r="C588" s="142" t="s">
        <v>7540</v>
      </c>
      <c r="D588" s="142" t="s">
        <v>7875</v>
      </c>
      <c r="E588" s="145">
        <v>1</v>
      </c>
      <c r="F588" s="143" t="s">
        <v>168</v>
      </c>
      <c r="G588" s="143" t="s">
        <v>7542</v>
      </c>
      <c r="H588" s="143" t="s">
        <v>26</v>
      </c>
      <c r="I588" s="143" t="s">
        <v>176</v>
      </c>
      <c r="J588" s="143" t="s">
        <v>643</v>
      </c>
      <c r="K588" s="144">
        <f>7746*1.58</f>
        <v>12238.68</v>
      </c>
      <c r="L588" s="145" t="s">
        <v>172</v>
      </c>
      <c r="M588" s="143" t="s">
        <v>6709</v>
      </c>
    </row>
    <row r="589" spans="1:13">
      <c r="A589" s="27" t="s">
        <v>6705</v>
      </c>
      <c r="B589" s="142" t="s">
        <v>7876</v>
      </c>
      <c r="C589" s="142" t="s">
        <v>7540</v>
      </c>
      <c r="D589" s="142" t="s">
        <v>7877</v>
      </c>
      <c r="E589" s="145">
        <v>1</v>
      </c>
      <c r="F589" s="143" t="s">
        <v>168</v>
      </c>
      <c r="G589" s="143" t="s">
        <v>7542</v>
      </c>
      <c r="H589" s="143" t="s">
        <v>26</v>
      </c>
      <c r="I589" s="143" t="s">
        <v>176</v>
      </c>
      <c r="J589" s="143" t="s">
        <v>643</v>
      </c>
      <c r="K589" s="144">
        <f>14244+1916</f>
        <v>16160</v>
      </c>
      <c r="L589" s="145" t="s">
        <v>172</v>
      </c>
      <c r="M589" s="143" t="s">
        <v>6709</v>
      </c>
    </row>
    <row r="590" spans="1:13">
      <c r="A590" s="27" t="s">
        <v>6705</v>
      </c>
      <c r="B590" s="142" t="s">
        <v>7878</v>
      </c>
      <c r="C590" s="142" t="s">
        <v>7540</v>
      </c>
      <c r="D590" s="142" t="s">
        <v>7879</v>
      </c>
      <c r="E590" s="145">
        <v>1</v>
      </c>
      <c r="F590" s="143" t="s">
        <v>168</v>
      </c>
      <c r="G590" s="143" t="s">
        <v>7542</v>
      </c>
      <c r="H590" s="143" t="s">
        <v>26</v>
      </c>
      <c r="I590" s="143" t="s">
        <v>176</v>
      </c>
      <c r="J590" s="143" t="s">
        <v>643</v>
      </c>
      <c r="K590" s="144">
        <f>14244*1.37</f>
        <v>19514.280000000002</v>
      </c>
      <c r="L590" s="145" t="s">
        <v>172</v>
      </c>
      <c r="M590" s="143" t="s">
        <v>6709</v>
      </c>
    </row>
    <row r="591" spans="1:13">
      <c r="A591" s="27" t="s">
        <v>6705</v>
      </c>
      <c r="B591" s="142" t="s">
        <v>7880</v>
      </c>
      <c r="C591" s="142" t="s">
        <v>7540</v>
      </c>
      <c r="D591" s="142" t="s">
        <v>7881</v>
      </c>
      <c r="E591" s="145">
        <v>1</v>
      </c>
      <c r="F591" s="143" t="s">
        <v>168</v>
      </c>
      <c r="G591" s="143" t="s">
        <v>7542</v>
      </c>
      <c r="H591" s="143" t="s">
        <v>26</v>
      </c>
      <c r="I591" s="143" t="s">
        <v>176</v>
      </c>
      <c r="J591" s="143" t="s">
        <v>643</v>
      </c>
      <c r="K591" s="144">
        <f>14244*1.48</f>
        <v>21081.119999999999</v>
      </c>
      <c r="L591" s="145" t="s">
        <v>172</v>
      </c>
      <c r="M591" s="143" t="s">
        <v>6709</v>
      </c>
    </row>
    <row r="592" spans="1:13">
      <c r="A592" s="27" t="s">
        <v>6705</v>
      </c>
      <c r="B592" s="142" t="s">
        <v>7882</v>
      </c>
      <c r="C592" s="142" t="s">
        <v>7540</v>
      </c>
      <c r="D592" s="142" t="s">
        <v>7883</v>
      </c>
      <c r="E592" s="145">
        <v>1</v>
      </c>
      <c r="F592" s="143" t="s">
        <v>168</v>
      </c>
      <c r="G592" s="143" t="s">
        <v>7542</v>
      </c>
      <c r="H592" s="143" t="s">
        <v>26</v>
      </c>
      <c r="I592" s="143" t="s">
        <v>176</v>
      </c>
      <c r="J592" s="143" t="s">
        <v>643</v>
      </c>
      <c r="K592" s="144">
        <f>14244*1.58</f>
        <v>22505.52</v>
      </c>
      <c r="L592" s="145" t="s">
        <v>172</v>
      </c>
      <c r="M592" s="143" t="s">
        <v>6709</v>
      </c>
    </row>
    <row r="593" spans="1:13">
      <c r="A593" s="27" t="s">
        <v>6705</v>
      </c>
      <c r="B593" s="142" t="s">
        <v>7884</v>
      </c>
      <c r="C593" s="142" t="s">
        <v>7540</v>
      </c>
      <c r="D593" s="142" t="s">
        <v>7885</v>
      </c>
      <c r="E593" s="145">
        <v>1</v>
      </c>
      <c r="F593" s="143" t="s">
        <v>168</v>
      </c>
      <c r="G593" s="143" t="s">
        <v>7542</v>
      </c>
      <c r="H593" s="143" t="s">
        <v>26</v>
      </c>
      <c r="I593" s="143" t="s">
        <v>176</v>
      </c>
      <c r="J593" s="143" t="s">
        <v>643</v>
      </c>
      <c r="K593" s="144">
        <f>28494+3843</f>
        <v>32337</v>
      </c>
      <c r="L593" s="145" t="s">
        <v>172</v>
      </c>
      <c r="M593" s="143" t="s">
        <v>6709</v>
      </c>
    </row>
    <row r="594" spans="1:13">
      <c r="A594" s="27" t="s">
        <v>6705</v>
      </c>
      <c r="B594" s="142" t="s">
        <v>7886</v>
      </c>
      <c r="C594" s="142" t="s">
        <v>7540</v>
      </c>
      <c r="D594" s="142" t="s">
        <v>7887</v>
      </c>
      <c r="E594" s="145">
        <v>1</v>
      </c>
      <c r="F594" s="143" t="s">
        <v>168</v>
      </c>
      <c r="G594" s="143" t="s">
        <v>7542</v>
      </c>
      <c r="H594" s="143" t="s">
        <v>26</v>
      </c>
      <c r="I594" s="143" t="s">
        <v>176</v>
      </c>
      <c r="J594" s="143" t="s">
        <v>643</v>
      </c>
      <c r="K594" s="144">
        <f>28494*1.37</f>
        <v>39036.780000000006</v>
      </c>
      <c r="L594" s="145" t="s">
        <v>172</v>
      </c>
      <c r="M594" s="143" t="s">
        <v>6709</v>
      </c>
    </row>
    <row r="595" spans="1:13">
      <c r="A595" s="27" t="s">
        <v>6705</v>
      </c>
      <c r="B595" s="142" t="s">
        <v>7888</v>
      </c>
      <c r="C595" s="142" t="s">
        <v>7540</v>
      </c>
      <c r="D595" s="142" t="s">
        <v>7889</v>
      </c>
      <c r="E595" s="145">
        <v>1</v>
      </c>
      <c r="F595" s="143" t="s">
        <v>168</v>
      </c>
      <c r="G595" s="143" t="s">
        <v>7542</v>
      </c>
      <c r="H595" s="143" t="s">
        <v>26</v>
      </c>
      <c r="I595" s="143" t="s">
        <v>176</v>
      </c>
      <c r="J595" s="143" t="s">
        <v>643</v>
      </c>
      <c r="K595" s="144">
        <f>28494*1.48</f>
        <v>42171.12</v>
      </c>
      <c r="L595" s="145" t="s">
        <v>172</v>
      </c>
      <c r="M595" s="143" t="s">
        <v>6709</v>
      </c>
    </row>
    <row r="596" spans="1:13">
      <c r="A596" s="27" t="s">
        <v>6705</v>
      </c>
      <c r="B596" s="142" t="s">
        <v>7890</v>
      </c>
      <c r="C596" s="142" t="s">
        <v>7540</v>
      </c>
      <c r="D596" s="142" t="s">
        <v>7891</v>
      </c>
      <c r="E596" s="145">
        <v>1</v>
      </c>
      <c r="F596" s="143" t="s">
        <v>168</v>
      </c>
      <c r="G596" s="143" t="s">
        <v>7542</v>
      </c>
      <c r="H596" s="143" t="s">
        <v>26</v>
      </c>
      <c r="I596" s="143" t="s">
        <v>176</v>
      </c>
      <c r="J596" s="143" t="s">
        <v>643</v>
      </c>
      <c r="K596" s="144">
        <f>28494*1.58</f>
        <v>45020.520000000004</v>
      </c>
      <c r="L596" s="145" t="s">
        <v>172</v>
      </c>
      <c r="M596" s="143" t="s">
        <v>6709</v>
      </c>
    </row>
    <row r="597" spans="1:13">
      <c r="A597" s="27" t="s">
        <v>6705</v>
      </c>
      <c r="B597" s="142" t="s">
        <v>7892</v>
      </c>
      <c r="C597" s="142" t="s">
        <v>7540</v>
      </c>
      <c r="D597" s="142" t="s">
        <v>7893</v>
      </c>
      <c r="E597" s="145">
        <v>1</v>
      </c>
      <c r="F597" s="143" t="s">
        <v>168</v>
      </c>
      <c r="G597" s="143" t="s">
        <v>7542</v>
      </c>
      <c r="H597" s="143" t="s">
        <v>26</v>
      </c>
      <c r="I597" s="143" t="s">
        <v>176</v>
      </c>
      <c r="J597" s="143" t="s">
        <v>643</v>
      </c>
      <c r="K597" s="144">
        <v>100</v>
      </c>
      <c r="L597" s="145" t="s">
        <v>172</v>
      </c>
      <c r="M597" s="143" t="s">
        <v>6709</v>
      </c>
    </row>
    <row r="598" spans="1:13">
      <c r="A598" s="27" t="s">
        <v>6705</v>
      </c>
      <c r="B598" s="142" t="s">
        <v>7894</v>
      </c>
      <c r="C598" s="142" t="s">
        <v>7540</v>
      </c>
      <c r="D598" s="142" t="s">
        <v>7895</v>
      </c>
      <c r="E598" s="145">
        <v>1</v>
      </c>
      <c r="F598" s="143" t="s">
        <v>168</v>
      </c>
      <c r="G598" s="143" t="s">
        <v>7542</v>
      </c>
      <c r="H598" s="143" t="s">
        <v>26</v>
      </c>
      <c r="I598" s="143" t="s">
        <v>176</v>
      </c>
      <c r="J598" s="143" t="s">
        <v>643</v>
      </c>
      <c r="K598" s="144">
        <v>200</v>
      </c>
      <c r="L598" s="145" t="s">
        <v>172</v>
      </c>
      <c r="M598" s="143" t="s">
        <v>6709</v>
      </c>
    </row>
    <row r="599" spans="1:13">
      <c r="A599" s="27" t="s">
        <v>6705</v>
      </c>
      <c r="B599" s="142" t="s">
        <v>7896</v>
      </c>
      <c r="C599" s="142" t="s">
        <v>7540</v>
      </c>
      <c r="D599" s="142" t="s">
        <v>7897</v>
      </c>
      <c r="E599" s="145">
        <v>1</v>
      </c>
      <c r="F599" s="143" t="s">
        <v>168</v>
      </c>
      <c r="G599" s="143" t="s">
        <v>7542</v>
      </c>
      <c r="H599" s="143" t="s">
        <v>26</v>
      </c>
      <c r="I599" s="143" t="s">
        <v>176</v>
      </c>
      <c r="J599" s="143" t="s">
        <v>643</v>
      </c>
      <c r="K599" s="144">
        <v>300</v>
      </c>
      <c r="L599" s="145" t="s">
        <v>172</v>
      </c>
      <c r="M599" s="143" t="s">
        <v>6709</v>
      </c>
    </row>
    <row r="600" spans="1:13">
      <c r="A600" s="27" t="s">
        <v>6705</v>
      </c>
      <c r="B600" s="142" t="s">
        <v>7898</v>
      </c>
      <c r="C600" s="142" t="s">
        <v>7540</v>
      </c>
      <c r="D600" s="142" t="s">
        <v>7899</v>
      </c>
      <c r="E600" s="145">
        <v>1</v>
      </c>
      <c r="F600" s="143" t="s">
        <v>168</v>
      </c>
      <c r="G600" s="143" t="s">
        <v>7542</v>
      </c>
      <c r="H600" s="143" t="s">
        <v>26</v>
      </c>
      <c r="I600" s="143" t="s">
        <v>176</v>
      </c>
      <c r="J600" s="143" t="s">
        <v>643</v>
      </c>
      <c r="K600" s="144">
        <v>25</v>
      </c>
      <c r="L600" s="145" t="s">
        <v>172</v>
      </c>
      <c r="M600" s="143" t="s">
        <v>6709</v>
      </c>
    </row>
    <row r="601" spans="1:13">
      <c r="A601" s="27" t="s">
        <v>6705</v>
      </c>
      <c r="B601" s="142" t="s">
        <v>7900</v>
      </c>
      <c r="C601" s="142" t="s">
        <v>7540</v>
      </c>
      <c r="D601" s="142" t="s">
        <v>7901</v>
      </c>
      <c r="E601" s="145">
        <v>1</v>
      </c>
      <c r="F601" s="143" t="s">
        <v>168</v>
      </c>
      <c r="G601" s="143" t="s">
        <v>7542</v>
      </c>
      <c r="H601" s="143" t="s">
        <v>26</v>
      </c>
      <c r="I601" s="143" t="s">
        <v>176</v>
      </c>
      <c r="J601" s="143" t="s">
        <v>643</v>
      </c>
      <c r="K601" s="144">
        <v>50</v>
      </c>
      <c r="L601" s="145" t="s">
        <v>172</v>
      </c>
      <c r="M601" s="143" t="s">
        <v>6709</v>
      </c>
    </row>
    <row r="602" spans="1:13">
      <c r="A602" s="27" t="s">
        <v>6705</v>
      </c>
      <c r="B602" s="142" t="s">
        <v>7902</v>
      </c>
      <c r="C602" s="142" t="s">
        <v>7540</v>
      </c>
      <c r="D602" s="142" t="s">
        <v>7903</v>
      </c>
      <c r="E602" s="145">
        <v>1</v>
      </c>
      <c r="F602" s="143" t="s">
        <v>168</v>
      </c>
      <c r="G602" s="143" t="s">
        <v>7542</v>
      </c>
      <c r="H602" s="143" t="s">
        <v>26</v>
      </c>
      <c r="I602" s="143" t="s">
        <v>176</v>
      </c>
      <c r="J602" s="143" t="s">
        <v>643</v>
      </c>
      <c r="K602" s="144">
        <v>75</v>
      </c>
      <c r="L602" s="145" t="s">
        <v>172</v>
      </c>
      <c r="M602" s="143" t="s">
        <v>6709</v>
      </c>
    </row>
    <row r="603" spans="1:13">
      <c r="A603" s="27" t="s">
        <v>6705</v>
      </c>
      <c r="B603" s="142" t="s">
        <v>7904</v>
      </c>
      <c r="C603" s="142" t="s">
        <v>7540</v>
      </c>
      <c r="D603" s="142" t="s">
        <v>7905</v>
      </c>
      <c r="E603" s="145">
        <v>1</v>
      </c>
      <c r="F603" s="143" t="s">
        <v>168</v>
      </c>
      <c r="G603" s="143" t="s">
        <v>7542</v>
      </c>
      <c r="H603" s="143" t="s">
        <v>26</v>
      </c>
      <c r="I603" s="143" t="s">
        <v>176</v>
      </c>
      <c r="J603" s="143" t="s">
        <v>643</v>
      </c>
      <c r="K603" s="144">
        <v>303</v>
      </c>
      <c r="L603" s="145" t="s">
        <v>172</v>
      </c>
      <c r="M603" s="143" t="s">
        <v>6709</v>
      </c>
    </row>
    <row r="604" spans="1:13">
      <c r="A604" s="27" t="s">
        <v>6705</v>
      </c>
      <c r="B604" s="142" t="s">
        <v>7906</v>
      </c>
      <c r="C604" s="142" t="s">
        <v>7540</v>
      </c>
      <c r="D604" s="142" t="s">
        <v>7907</v>
      </c>
      <c r="E604" s="145">
        <v>1</v>
      </c>
      <c r="F604" s="143" t="s">
        <v>168</v>
      </c>
      <c r="G604" s="143" t="s">
        <v>7542</v>
      </c>
      <c r="H604" s="143" t="s">
        <v>26</v>
      </c>
      <c r="I604" s="143" t="s">
        <v>176</v>
      </c>
      <c r="J604" s="143" t="s">
        <v>643</v>
      </c>
      <c r="K604" s="144">
        <v>4036</v>
      </c>
      <c r="L604" s="145" t="s">
        <v>172</v>
      </c>
      <c r="M604" s="143" t="s">
        <v>6709</v>
      </c>
    </row>
    <row r="605" spans="1:13">
      <c r="A605" s="27" t="s">
        <v>6705</v>
      </c>
      <c r="B605" s="142" t="s">
        <v>7908</v>
      </c>
      <c r="C605" s="142" t="s">
        <v>7540</v>
      </c>
      <c r="D605" s="142" t="s">
        <v>7909</v>
      </c>
      <c r="E605" s="145">
        <v>1</v>
      </c>
      <c r="F605" s="143" t="s">
        <v>168</v>
      </c>
      <c r="G605" s="143" t="s">
        <v>7542</v>
      </c>
      <c r="H605" s="143" t="s">
        <v>26</v>
      </c>
      <c r="I605" s="143" t="s">
        <v>176</v>
      </c>
      <c r="J605" s="143" t="s">
        <v>643</v>
      </c>
      <c r="K605" s="144">
        <v>8071</v>
      </c>
      <c r="L605" s="145" t="s">
        <v>172</v>
      </c>
      <c r="M605" s="143" t="s">
        <v>6709</v>
      </c>
    </row>
    <row r="606" spans="1:13">
      <c r="A606" s="27" t="s">
        <v>6705</v>
      </c>
      <c r="B606" s="142" t="s">
        <v>7910</v>
      </c>
      <c r="C606" s="142" t="s">
        <v>7540</v>
      </c>
      <c r="D606" s="142" t="s">
        <v>7911</v>
      </c>
      <c r="E606" s="145">
        <v>1</v>
      </c>
      <c r="F606" s="143" t="s">
        <v>168</v>
      </c>
      <c r="G606" s="143" t="s">
        <v>7542</v>
      </c>
      <c r="H606" s="143" t="s">
        <v>26</v>
      </c>
      <c r="I606" s="143" t="s">
        <v>176</v>
      </c>
      <c r="J606" s="143" t="s">
        <v>643</v>
      </c>
      <c r="K606" s="144">
        <v>8071</v>
      </c>
      <c r="L606" s="145" t="s">
        <v>172</v>
      </c>
      <c r="M606" s="143" t="s">
        <v>6709</v>
      </c>
    </row>
    <row r="607" spans="1:13">
      <c r="A607" s="27" t="s">
        <v>6705</v>
      </c>
      <c r="B607" s="142" t="s">
        <v>7912</v>
      </c>
      <c r="C607" s="142" t="s">
        <v>7540</v>
      </c>
      <c r="D607" s="142" t="s">
        <v>7913</v>
      </c>
      <c r="E607" s="145">
        <v>1</v>
      </c>
      <c r="F607" s="143" t="s">
        <v>168</v>
      </c>
      <c r="G607" s="143" t="s">
        <v>7542</v>
      </c>
      <c r="H607" s="143" t="s">
        <v>26</v>
      </c>
      <c r="I607" s="143" t="s">
        <v>176</v>
      </c>
      <c r="J607" s="143" t="s">
        <v>643</v>
      </c>
      <c r="K607" s="144">
        <v>24214</v>
      </c>
      <c r="L607" s="145" t="s">
        <v>172</v>
      </c>
      <c r="M607" s="143" t="s">
        <v>6709</v>
      </c>
    </row>
    <row r="608" spans="1:13">
      <c r="A608" s="27" t="s">
        <v>6705</v>
      </c>
      <c r="B608" s="142" t="s">
        <v>7914</v>
      </c>
      <c r="C608" s="142" t="s">
        <v>7540</v>
      </c>
      <c r="D608" s="142" t="s">
        <v>7915</v>
      </c>
      <c r="E608" s="145">
        <v>1</v>
      </c>
      <c r="F608" s="143" t="s">
        <v>168</v>
      </c>
      <c r="G608" s="143" t="s">
        <v>7542</v>
      </c>
      <c r="H608" s="143" t="s">
        <v>26</v>
      </c>
      <c r="I608" s="143" t="s">
        <v>176</v>
      </c>
      <c r="J608" s="143" t="s">
        <v>643</v>
      </c>
      <c r="K608" s="144">
        <v>12107</v>
      </c>
      <c r="L608" s="145" t="s">
        <v>172</v>
      </c>
      <c r="M608" s="143" t="s">
        <v>6709</v>
      </c>
    </row>
    <row r="609" spans="1:13">
      <c r="A609" s="27" t="s">
        <v>6705</v>
      </c>
      <c r="B609" s="142" t="s">
        <v>7916</v>
      </c>
      <c r="C609" s="142" t="s">
        <v>7540</v>
      </c>
      <c r="D609" s="142" t="s">
        <v>7917</v>
      </c>
      <c r="E609" s="145">
        <v>1</v>
      </c>
      <c r="F609" s="143" t="s">
        <v>168</v>
      </c>
      <c r="G609" s="143" t="s">
        <v>7542</v>
      </c>
      <c r="H609" s="143" t="s">
        <v>26</v>
      </c>
      <c r="I609" s="143" t="s">
        <v>176</v>
      </c>
      <c r="J609" s="143" t="s">
        <v>643</v>
      </c>
      <c r="K609" s="144">
        <v>24214</v>
      </c>
      <c r="L609" s="145" t="s">
        <v>172</v>
      </c>
      <c r="M609" s="143" t="s">
        <v>6709</v>
      </c>
    </row>
    <row r="610" spans="1:13">
      <c r="A610" s="27" t="s">
        <v>6705</v>
      </c>
      <c r="B610" s="142" t="s">
        <v>7918</v>
      </c>
      <c r="C610" s="142" t="s">
        <v>7540</v>
      </c>
      <c r="D610" s="142" t="s">
        <v>7919</v>
      </c>
      <c r="E610" s="145">
        <v>1</v>
      </c>
      <c r="F610" s="143" t="s">
        <v>168</v>
      </c>
      <c r="G610" s="143" t="s">
        <v>7542</v>
      </c>
      <c r="H610" s="143" t="s">
        <v>26</v>
      </c>
      <c r="I610" s="143" t="s">
        <v>176</v>
      </c>
      <c r="J610" s="143" t="s">
        <v>643</v>
      </c>
      <c r="K610" s="144">
        <v>24214</v>
      </c>
      <c r="L610" s="145" t="s">
        <v>172</v>
      </c>
      <c r="M610" s="143" t="s">
        <v>6709</v>
      </c>
    </row>
    <row r="611" spans="1:13">
      <c r="A611" s="27" t="s">
        <v>6705</v>
      </c>
      <c r="B611" s="142" t="s">
        <v>7920</v>
      </c>
      <c r="C611" s="142" t="s">
        <v>7540</v>
      </c>
      <c r="D611" s="142" t="s">
        <v>7921</v>
      </c>
      <c r="E611" s="145">
        <v>1</v>
      </c>
      <c r="F611" s="143" t="s">
        <v>168</v>
      </c>
      <c r="G611" s="143" t="s">
        <v>7542</v>
      </c>
      <c r="H611" s="143" t="s">
        <v>26</v>
      </c>
      <c r="I611" s="143" t="s">
        <v>176</v>
      </c>
      <c r="J611" s="143" t="s">
        <v>643</v>
      </c>
      <c r="K611" s="144">
        <v>20178</v>
      </c>
      <c r="L611" s="145" t="s">
        <v>172</v>
      </c>
      <c r="M611" s="143" t="s">
        <v>6709</v>
      </c>
    </row>
    <row r="612" spans="1:13">
      <c r="A612" s="27" t="s">
        <v>6705</v>
      </c>
      <c r="B612" s="142" t="s">
        <v>7922</v>
      </c>
      <c r="C612" s="142" t="s">
        <v>7540</v>
      </c>
      <c r="D612" s="142" t="s">
        <v>7923</v>
      </c>
      <c r="E612" s="145">
        <v>1</v>
      </c>
      <c r="F612" s="143" t="s">
        <v>168</v>
      </c>
      <c r="G612" s="143" t="s">
        <v>7542</v>
      </c>
      <c r="H612" s="143" t="s">
        <v>26</v>
      </c>
      <c r="I612" s="143" t="s">
        <v>176</v>
      </c>
      <c r="J612" s="143" t="s">
        <v>643</v>
      </c>
      <c r="K612" s="144">
        <v>40356</v>
      </c>
      <c r="L612" s="145" t="s">
        <v>172</v>
      </c>
      <c r="M612" s="143" t="s">
        <v>6709</v>
      </c>
    </row>
    <row r="613" spans="1:13">
      <c r="A613" s="27" t="s">
        <v>6705</v>
      </c>
      <c r="B613" s="142" t="s">
        <v>7924</v>
      </c>
      <c r="C613" s="142" t="s">
        <v>7540</v>
      </c>
      <c r="D613" s="142" t="s">
        <v>7925</v>
      </c>
      <c r="E613" s="145">
        <v>1</v>
      </c>
      <c r="F613" s="143" t="s">
        <v>168</v>
      </c>
      <c r="G613" s="143" t="s">
        <v>7542</v>
      </c>
      <c r="H613" s="143" t="s">
        <v>26</v>
      </c>
      <c r="I613" s="143" t="s">
        <v>176</v>
      </c>
      <c r="J613" s="143" t="s">
        <v>643</v>
      </c>
      <c r="K613" s="144">
        <v>40356</v>
      </c>
      <c r="L613" s="145" t="s">
        <v>172</v>
      </c>
      <c r="M613" s="143" t="s">
        <v>6709</v>
      </c>
    </row>
    <row r="614" spans="1:13">
      <c r="A614" s="27" t="s">
        <v>6705</v>
      </c>
      <c r="B614" s="142" t="s">
        <v>7926</v>
      </c>
      <c r="C614" s="142" t="s">
        <v>7540</v>
      </c>
      <c r="D614" s="142" t="s">
        <v>7927</v>
      </c>
      <c r="E614" s="145">
        <v>1</v>
      </c>
      <c r="F614" s="143" t="s">
        <v>168</v>
      </c>
      <c r="G614" s="143" t="s">
        <v>7542</v>
      </c>
      <c r="H614" s="143" t="s">
        <v>26</v>
      </c>
      <c r="I614" s="143" t="s">
        <v>176</v>
      </c>
      <c r="J614" s="143" t="s">
        <v>643</v>
      </c>
      <c r="K614" s="144">
        <f>2274+306</f>
        <v>2580</v>
      </c>
      <c r="L614" s="145" t="s">
        <v>172</v>
      </c>
      <c r="M614" s="143" t="s">
        <v>6709</v>
      </c>
    </row>
    <row r="615" spans="1:13">
      <c r="A615" s="27" t="s">
        <v>6705</v>
      </c>
      <c r="B615" s="142" t="s">
        <v>7928</v>
      </c>
      <c r="C615" s="142" t="s">
        <v>7540</v>
      </c>
      <c r="D615" s="142" t="s">
        <v>7929</v>
      </c>
      <c r="E615" s="145">
        <v>1</v>
      </c>
      <c r="F615" s="143" t="s">
        <v>168</v>
      </c>
      <c r="G615" s="143" t="s">
        <v>7542</v>
      </c>
      <c r="H615" s="143" t="s">
        <v>26</v>
      </c>
      <c r="I615" s="143" t="s">
        <v>176</v>
      </c>
      <c r="J615" s="143" t="s">
        <v>643</v>
      </c>
      <c r="K615" s="144">
        <f>2274*1.37</f>
        <v>3115.38</v>
      </c>
      <c r="L615" s="145" t="s">
        <v>172</v>
      </c>
      <c r="M615" s="143" t="s">
        <v>6709</v>
      </c>
    </row>
    <row r="616" spans="1:13">
      <c r="A616" s="27" t="s">
        <v>6705</v>
      </c>
      <c r="B616" s="142" t="s">
        <v>7930</v>
      </c>
      <c r="C616" s="142" t="s">
        <v>7540</v>
      </c>
      <c r="D616" s="142" t="s">
        <v>7931</v>
      </c>
      <c r="E616" s="145">
        <v>1</v>
      </c>
      <c r="F616" s="143" t="s">
        <v>168</v>
      </c>
      <c r="G616" s="143" t="s">
        <v>7542</v>
      </c>
      <c r="H616" s="143" t="s">
        <v>26</v>
      </c>
      <c r="I616" s="143" t="s">
        <v>176</v>
      </c>
      <c r="J616" s="143" t="s">
        <v>643</v>
      </c>
      <c r="K616" s="144">
        <f>2274*1.48</f>
        <v>3365.52</v>
      </c>
      <c r="L616" s="145" t="s">
        <v>172</v>
      </c>
      <c r="M616" s="143" t="s">
        <v>6709</v>
      </c>
    </row>
    <row r="617" spans="1:13">
      <c r="A617" s="27" t="s">
        <v>6705</v>
      </c>
      <c r="B617" s="142" t="s">
        <v>7932</v>
      </c>
      <c r="C617" s="142" t="s">
        <v>7540</v>
      </c>
      <c r="D617" s="142" t="s">
        <v>7933</v>
      </c>
      <c r="E617" s="145">
        <v>1</v>
      </c>
      <c r="F617" s="143" t="s">
        <v>168</v>
      </c>
      <c r="G617" s="143" t="s">
        <v>7542</v>
      </c>
      <c r="H617" s="143" t="s">
        <v>26</v>
      </c>
      <c r="I617" s="143" t="s">
        <v>176</v>
      </c>
      <c r="J617" s="143" t="s">
        <v>643</v>
      </c>
      <c r="K617" s="144">
        <f>2274*1.58</f>
        <v>3592.92</v>
      </c>
      <c r="L617" s="145" t="s">
        <v>172</v>
      </c>
      <c r="M617" s="143" t="s">
        <v>6709</v>
      </c>
    </row>
    <row r="618" spans="1:13">
      <c r="A618" s="27" t="s">
        <v>6705</v>
      </c>
      <c r="B618" s="142" t="s">
        <v>7934</v>
      </c>
      <c r="C618" s="142" t="s">
        <v>7540</v>
      </c>
      <c r="D618" s="142" t="s">
        <v>7935</v>
      </c>
      <c r="E618" s="145">
        <v>1</v>
      </c>
      <c r="F618" s="143" t="s">
        <v>168</v>
      </c>
      <c r="G618" s="143" t="s">
        <v>7542</v>
      </c>
      <c r="H618" s="143" t="s">
        <v>26</v>
      </c>
      <c r="I618" s="143" t="s">
        <v>176</v>
      </c>
      <c r="J618" s="143" t="s">
        <v>643</v>
      </c>
      <c r="K618" s="144">
        <v>1614.24</v>
      </c>
      <c r="L618" s="145" t="s">
        <v>172</v>
      </c>
      <c r="M618" s="143" t="s">
        <v>6709</v>
      </c>
    </row>
    <row r="619" spans="1:13">
      <c r="A619" s="27" t="s">
        <v>6705</v>
      </c>
      <c r="B619" s="142" t="s">
        <v>7936</v>
      </c>
      <c r="C619" s="142" t="s">
        <v>7540</v>
      </c>
      <c r="D619" s="142" t="s">
        <v>7937</v>
      </c>
      <c r="E619" s="145">
        <v>1</v>
      </c>
      <c r="F619" s="143" t="s">
        <v>168</v>
      </c>
      <c r="G619" s="143" t="s">
        <v>7542</v>
      </c>
      <c r="H619" s="143" t="s">
        <v>26</v>
      </c>
      <c r="I619" s="143" t="s">
        <v>176</v>
      </c>
      <c r="J619" s="143" t="s">
        <v>643</v>
      </c>
      <c r="K619" s="144">
        <v>3255.84</v>
      </c>
      <c r="L619" s="145" t="s">
        <v>172</v>
      </c>
      <c r="M619" s="143" t="s">
        <v>6709</v>
      </c>
    </row>
    <row r="620" spans="1:13">
      <c r="A620" s="27" t="s">
        <v>6705</v>
      </c>
      <c r="B620" s="142" t="s">
        <v>7938</v>
      </c>
      <c r="C620" s="142" t="s">
        <v>7540</v>
      </c>
      <c r="D620" s="142" t="s">
        <v>7939</v>
      </c>
      <c r="E620" s="145">
        <v>1</v>
      </c>
      <c r="F620" s="143" t="s">
        <v>168</v>
      </c>
      <c r="G620" s="143" t="s">
        <v>7542</v>
      </c>
      <c r="H620" s="143" t="s">
        <v>26</v>
      </c>
      <c r="I620" s="143" t="s">
        <v>176</v>
      </c>
      <c r="J620" s="143" t="s">
        <v>643</v>
      </c>
      <c r="K620" s="144">
        <v>5088.96</v>
      </c>
      <c r="L620" s="145" t="s">
        <v>172</v>
      </c>
      <c r="M620" s="143" t="s">
        <v>6709</v>
      </c>
    </row>
    <row r="621" spans="1:13">
      <c r="A621" s="27" t="s">
        <v>6705</v>
      </c>
      <c r="B621" s="142" t="s">
        <v>7940</v>
      </c>
      <c r="C621" s="142" t="s">
        <v>7540</v>
      </c>
      <c r="D621" s="142" t="s">
        <v>7941</v>
      </c>
      <c r="E621" s="145">
        <v>1</v>
      </c>
      <c r="F621" s="143" t="s">
        <v>168</v>
      </c>
      <c r="G621" s="143" t="s">
        <v>7542</v>
      </c>
      <c r="H621" s="143" t="s">
        <v>26</v>
      </c>
      <c r="I621" s="143" t="s">
        <v>176</v>
      </c>
      <c r="J621" s="143" t="s">
        <v>643</v>
      </c>
      <c r="K621" s="144">
        <v>2421.36</v>
      </c>
      <c r="L621" s="145" t="s">
        <v>172</v>
      </c>
      <c r="M621" s="143" t="s">
        <v>6709</v>
      </c>
    </row>
    <row r="622" spans="1:13">
      <c r="A622" s="27" t="s">
        <v>6705</v>
      </c>
      <c r="B622" s="142" t="s">
        <v>7942</v>
      </c>
      <c r="C622" s="142" t="s">
        <v>7540</v>
      </c>
      <c r="D622" s="142" t="s">
        <v>7943</v>
      </c>
      <c r="E622" s="145">
        <v>1</v>
      </c>
      <c r="F622" s="143" t="s">
        <v>168</v>
      </c>
      <c r="G622" s="143" t="s">
        <v>7542</v>
      </c>
      <c r="H622" s="143" t="s">
        <v>26</v>
      </c>
      <c r="I622" s="143" t="s">
        <v>176</v>
      </c>
      <c r="J622" s="143" t="s">
        <v>643</v>
      </c>
      <c r="K622" s="144">
        <v>4883.76</v>
      </c>
      <c r="L622" s="145" t="s">
        <v>172</v>
      </c>
      <c r="M622" s="143" t="s">
        <v>6709</v>
      </c>
    </row>
    <row r="623" spans="1:13">
      <c r="A623" s="27" t="s">
        <v>6705</v>
      </c>
      <c r="B623" s="142" t="s">
        <v>7944</v>
      </c>
      <c r="C623" s="142" t="s">
        <v>7540</v>
      </c>
      <c r="D623" s="142" t="s">
        <v>7945</v>
      </c>
      <c r="E623" s="145">
        <v>1</v>
      </c>
      <c r="F623" s="143" t="s">
        <v>168</v>
      </c>
      <c r="G623" s="143" t="s">
        <v>7542</v>
      </c>
      <c r="H623" s="143" t="s">
        <v>26</v>
      </c>
      <c r="I623" s="143" t="s">
        <v>176</v>
      </c>
      <c r="J623" s="143" t="s">
        <v>643</v>
      </c>
      <c r="K623" s="144">
        <v>7633.44</v>
      </c>
      <c r="L623" s="145" t="s">
        <v>172</v>
      </c>
      <c r="M623" s="143" t="s">
        <v>6709</v>
      </c>
    </row>
    <row r="624" spans="1:13">
      <c r="A624" s="27" t="s">
        <v>6705</v>
      </c>
      <c r="B624" s="142" t="s">
        <v>7946</v>
      </c>
      <c r="C624" s="142" t="s">
        <v>7540</v>
      </c>
      <c r="D624" s="142" t="s">
        <v>7947</v>
      </c>
      <c r="E624" s="145">
        <v>1</v>
      </c>
      <c r="F624" s="143" t="s">
        <v>168</v>
      </c>
      <c r="G624" s="143" t="s">
        <v>7542</v>
      </c>
      <c r="H624" s="143" t="s">
        <v>26</v>
      </c>
      <c r="I624" s="143" t="s">
        <v>176</v>
      </c>
      <c r="J624" s="143" t="s">
        <v>643</v>
      </c>
      <c r="K624" s="144">
        <v>605.34</v>
      </c>
      <c r="L624" s="145" t="s">
        <v>172</v>
      </c>
      <c r="M624" s="143" t="s">
        <v>6709</v>
      </c>
    </row>
    <row r="625" spans="1:13">
      <c r="A625" s="27" t="s">
        <v>6705</v>
      </c>
      <c r="B625" s="142" t="s">
        <v>7948</v>
      </c>
      <c r="C625" s="142" t="s">
        <v>7540</v>
      </c>
      <c r="D625" s="142" t="s">
        <v>7949</v>
      </c>
      <c r="E625" s="145">
        <v>1</v>
      </c>
      <c r="F625" s="143" t="s">
        <v>168</v>
      </c>
      <c r="G625" s="143" t="s">
        <v>7542</v>
      </c>
      <c r="H625" s="143" t="s">
        <v>26</v>
      </c>
      <c r="I625" s="143" t="s">
        <v>176</v>
      </c>
      <c r="J625" s="143" t="s">
        <v>643</v>
      </c>
      <c r="K625" s="144">
        <v>1220.94</v>
      </c>
      <c r="L625" s="145" t="s">
        <v>172</v>
      </c>
      <c r="M625" s="143" t="s">
        <v>6709</v>
      </c>
    </row>
    <row r="626" spans="1:13">
      <c r="A626" s="27" t="s">
        <v>6705</v>
      </c>
      <c r="B626" s="142" t="s">
        <v>7950</v>
      </c>
      <c r="C626" s="142" t="s">
        <v>7540</v>
      </c>
      <c r="D626" s="142" t="s">
        <v>7951</v>
      </c>
      <c r="E626" s="145">
        <v>1</v>
      </c>
      <c r="F626" s="143" t="s">
        <v>168</v>
      </c>
      <c r="G626" s="143" t="s">
        <v>7542</v>
      </c>
      <c r="H626" s="143" t="s">
        <v>26</v>
      </c>
      <c r="I626" s="143" t="s">
        <v>176</v>
      </c>
      <c r="J626" s="143" t="s">
        <v>643</v>
      </c>
      <c r="K626" s="144">
        <v>1908.36</v>
      </c>
      <c r="L626" s="145" t="s">
        <v>172</v>
      </c>
      <c r="M626" s="143" t="s">
        <v>6709</v>
      </c>
    </row>
    <row r="627" spans="1:13">
      <c r="A627" s="27" t="s">
        <v>6705</v>
      </c>
      <c r="B627" s="142" t="s">
        <v>7952</v>
      </c>
      <c r="C627" s="142" t="s">
        <v>7540</v>
      </c>
      <c r="D627" s="142" t="s">
        <v>7953</v>
      </c>
      <c r="E627" s="145">
        <v>1</v>
      </c>
      <c r="F627" s="143" t="s">
        <v>168</v>
      </c>
      <c r="G627" s="143" t="s">
        <v>7542</v>
      </c>
      <c r="H627" s="143" t="s">
        <v>26</v>
      </c>
      <c r="I627" s="143" t="s">
        <v>176</v>
      </c>
      <c r="J627" s="143" t="s">
        <v>643</v>
      </c>
      <c r="K627" s="144">
        <f>17+2</f>
        <v>19</v>
      </c>
      <c r="L627" s="145" t="s">
        <v>172</v>
      </c>
      <c r="M627" s="143" t="s">
        <v>6709</v>
      </c>
    </row>
    <row r="628" spans="1:13">
      <c r="A628" s="27" t="s">
        <v>6705</v>
      </c>
      <c r="B628" s="142" t="s">
        <v>7954</v>
      </c>
      <c r="C628" s="142" t="s">
        <v>7540</v>
      </c>
      <c r="D628" s="142" t="s">
        <v>7955</v>
      </c>
      <c r="E628" s="145">
        <v>1</v>
      </c>
      <c r="F628" s="143" t="s">
        <v>168</v>
      </c>
      <c r="G628" s="143" t="s">
        <v>7542</v>
      </c>
      <c r="H628" s="143" t="s">
        <v>26</v>
      </c>
      <c r="I628" s="143" t="s">
        <v>176</v>
      </c>
      <c r="J628" s="143" t="s">
        <v>643</v>
      </c>
      <c r="K628" s="144">
        <f>17+6</f>
        <v>23</v>
      </c>
      <c r="L628" s="145" t="s">
        <v>172</v>
      </c>
      <c r="M628" s="143" t="s">
        <v>6709</v>
      </c>
    </row>
    <row r="629" spans="1:13">
      <c r="A629" s="27" t="s">
        <v>6705</v>
      </c>
      <c r="B629" s="142" t="s">
        <v>7956</v>
      </c>
      <c r="C629" s="142" t="s">
        <v>7540</v>
      </c>
      <c r="D629" s="142" t="s">
        <v>7957</v>
      </c>
      <c r="E629" s="145">
        <v>1</v>
      </c>
      <c r="F629" s="143" t="s">
        <v>168</v>
      </c>
      <c r="G629" s="143" t="s">
        <v>7542</v>
      </c>
      <c r="H629" s="143" t="s">
        <v>26</v>
      </c>
      <c r="I629" s="143" t="s">
        <v>176</v>
      </c>
      <c r="J629" s="143" t="s">
        <v>643</v>
      </c>
      <c r="K629" s="144">
        <f>17+7</f>
        <v>24</v>
      </c>
      <c r="L629" s="145" t="s">
        <v>172</v>
      </c>
      <c r="M629" s="143" t="s">
        <v>6709</v>
      </c>
    </row>
    <row r="630" spans="1:13">
      <c r="A630" s="27" t="s">
        <v>6705</v>
      </c>
      <c r="B630" s="142" t="s">
        <v>7958</v>
      </c>
      <c r="C630" s="142" t="s">
        <v>7540</v>
      </c>
      <c r="D630" s="142" t="s">
        <v>7959</v>
      </c>
      <c r="E630" s="145">
        <v>1</v>
      </c>
      <c r="F630" s="143" t="s">
        <v>168</v>
      </c>
      <c r="G630" s="143" t="s">
        <v>7542</v>
      </c>
      <c r="H630" s="143" t="s">
        <v>26</v>
      </c>
      <c r="I630" s="143" t="s">
        <v>176</v>
      </c>
      <c r="J630" s="143" t="s">
        <v>643</v>
      </c>
      <c r="K630" s="144">
        <f>17+9</f>
        <v>26</v>
      </c>
      <c r="L630" s="145" t="s">
        <v>172</v>
      </c>
      <c r="M630" s="143" t="s">
        <v>6709</v>
      </c>
    </row>
    <row r="631" spans="1:13">
      <c r="A631" s="27" t="s">
        <v>6705</v>
      </c>
      <c r="B631" s="142" t="s">
        <v>7960</v>
      </c>
      <c r="C631" s="142" t="s">
        <v>7540</v>
      </c>
      <c r="D631" s="142" t="s">
        <v>7961</v>
      </c>
      <c r="E631" s="145">
        <v>1</v>
      </c>
      <c r="F631" s="143" t="s">
        <v>168</v>
      </c>
      <c r="G631" s="143" t="s">
        <v>7542</v>
      </c>
      <c r="H631" s="143" t="s">
        <v>26</v>
      </c>
      <c r="I631" s="143" t="s">
        <v>176</v>
      </c>
      <c r="J631" s="143" t="s">
        <v>643</v>
      </c>
      <c r="K631" s="144">
        <v>12106.8</v>
      </c>
      <c r="L631" s="145" t="s">
        <v>172</v>
      </c>
      <c r="M631" s="143" t="s">
        <v>6709</v>
      </c>
    </row>
    <row r="632" spans="1:13">
      <c r="A632" s="27" t="s">
        <v>6705</v>
      </c>
      <c r="B632" s="142" t="s">
        <v>7962</v>
      </c>
      <c r="C632" s="142" t="s">
        <v>7540</v>
      </c>
      <c r="D632" s="142" t="s">
        <v>7963</v>
      </c>
      <c r="E632" s="145">
        <v>1</v>
      </c>
      <c r="F632" s="143" t="s">
        <v>168</v>
      </c>
      <c r="G632" s="143" t="s">
        <v>7542</v>
      </c>
      <c r="H632" s="143" t="s">
        <v>26</v>
      </c>
      <c r="I632" s="143" t="s">
        <v>176</v>
      </c>
      <c r="J632" s="143" t="s">
        <v>643</v>
      </c>
      <c r="K632" s="144">
        <v>24418.799999999999</v>
      </c>
      <c r="L632" s="145" t="s">
        <v>172</v>
      </c>
      <c r="M632" s="143" t="s">
        <v>6709</v>
      </c>
    </row>
    <row r="633" spans="1:13">
      <c r="A633" s="27" t="s">
        <v>6705</v>
      </c>
      <c r="B633" s="142" t="s">
        <v>7964</v>
      </c>
      <c r="C633" s="142" t="s">
        <v>7540</v>
      </c>
      <c r="D633" s="142" t="s">
        <v>7965</v>
      </c>
      <c r="E633" s="145">
        <v>1</v>
      </c>
      <c r="F633" s="143" t="s">
        <v>168</v>
      </c>
      <c r="G633" s="143" t="s">
        <v>7542</v>
      </c>
      <c r="H633" s="143" t="s">
        <v>26</v>
      </c>
      <c r="I633" s="143" t="s">
        <v>176</v>
      </c>
      <c r="J633" s="143" t="s">
        <v>643</v>
      </c>
      <c r="K633" s="144">
        <v>38167.199999999997</v>
      </c>
      <c r="L633" s="145" t="s">
        <v>172</v>
      </c>
      <c r="M633" s="143" t="s">
        <v>6709</v>
      </c>
    </row>
    <row r="634" spans="1:13">
      <c r="A634" s="27" t="s">
        <v>6705</v>
      </c>
      <c r="B634" s="142" t="s">
        <v>7966</v>
      </c>
      <c r="C634" s="142" t="s">
        <v>7540</v>
      </c>
      <c r="D634" s="142" t="s">
        <v>7967</v>
      </c>
      <c r="E634" s="145">
        <v>1</v>
      </c>
      <c r="F634" s="143" t="s">
        <v>168</v>
      </c>
      <c r="G634" s="143" t="s">
        <v>7542</v>
      </c>
      <c r="H634" s="143" t="s">
        <v>26</v>
      </c>
      <c r="I634" s="143" t="s">
        <v>176</v>
      </c>
      <c r="J634" s="143" t="s">
        <v>643</v>
      </c>
      <c r="K634" s="144">
        <v>18160.2</v>
      </c>
      <c r="L634" s="145" t="s">
        <v>172</v>
      </c>
      <c r="M634" s="143" t="s">
        <v>6709</v>
      </c>
    </row>
    <row r="635" spans="1:13">
      <c r="A635" s="27" t="s">
        <v>6705</v>
      </c>
      <c r="B635" s="142" t="s">
        <v>7968</v>
      </c>
      <c r="C635" s="142" t="s">
        <v>7540</v>
      </c>
      <c r="D635" s="142" t="s">
        <v>7969</v>
      </c>
      <c r="E635" s="145">
        <v>1</v>
      </c>
      <c r="F635" s="143" t="s">
        <v>168</v>
      </c>
      <c r="G635" s="143" t="s">
        <v>7542</v>
      </c>
      <c r="H635" s="143" t="s">
        <v>26</v>
      </c>
      <c r="I635" s="143" t="s">
        <v>176</v>
      </c>
      <c r="J635" s="143" t="s">
        <v>643</v>
      </c>
      <c r="K635" s="144">
        <v>36628.199999999997</v>
      </c>
      <c r="L635" s="145" t="s">
        <v>172</v>
      </c>
      <c r="M635" s="143" t="s">
        <v>6709</v>
      </c>
    </row>
    <row r="636" spans="1:13">
      <c r="A636" s="27" t="s">
        <v>6705</v>
      </c>
      <c r="B636" s="142" t="s">
        <v>7970</v>
      </c>
      <c r="C636" s="142" t="s">
        <v>7540</v>
      </c>
      <c r="D636" s="142" t="s">
        <v>7971</v>
      </c>
      <c r="E636" s="145">
        <v>1</v>
      </c>
      <c r="F636" s="143" t="s">
        <v>168</v>
      </c>
      <c r="G636" s="143" t="s">
        <v>7542</v>
      </c>
      <c r="H636" s="143" t="s">
        <v>26</v>
      </c>
      <c r="I636" s="143" t="s">
        <v>176</v>
      </c>
      <c r="J636" s="143" t="s">
        <v>643</v>
      </c>
      <c r="K636" s="144">
        <v>57250.8</v>
      </c>
      <c r="L636" s="145" t="s">
        <v>172</v>
      </c>
      <c r="M636" s="143" t="s">
        <v>6709</v>
      </c>
    </row>
    <row r="637" spans="1:13">
      <c r="A637" s="27" t="s">
        <v>6705</v>
      </c>
      <c r="B637" s="142" t="s">
        <v>7972</v>
      </c>
      <c r="C637" s="142" t="s">
        <v>7540</v>
      </c>
      <c r="D637" s="142" t="s">
        <v>7973</v>
      </c>
      <c r="E637" s="145">
        <v>1</v>
      </c>
      <c r="F637" s="143" t="s">
        <v>168</v>
      </c>
      <c r="G637" s="143" t="s">
        <v>7542</v>
      </c>
      <c r="H637" s="143" t="s">
        <v>26</v>
      </c>
      <c r="I637" s="143" t="s">
        <v>176</v>
      </c>
      <c r="J637" s="143" t="s">
        <v>643</v>
      </c>
      <c r="K637" s="144">
        <f>14928+2010</f>
        <v>16938</v>
      </c>
      <c r="L637" s="145" t="s">
        <v>172</v>
      </c>
      <c r="M637" s="143" t="s">
        <v>6709</v>
      </c>
    </row>
    <row r="638" spans="1:13">
      <c r="A638" s="27" t="s">
        <v>6705</v>
      </c>
      <c r="B638" s="142" t="s">
        <v>7974</v>
      </c>
      <c r="C638" s="142" t="s">
        <v>7540</v>
      </c>
      <c r="D638" s="142" t="s">
        <v>7975</v>
      </c>
      <c r="E638" s="145">
        <v>1</v>
      </c>
      <c r="F638" s="143" t="s">
        <v>168</v>
      </c>
      <c r="G638" s="143" t="s">
        <v>7542</v>
      </c>
      <c r="H638" s="143" t="s">
        <v>26</v>
      </c>
      <c r="I638" s="143" t="s">
        <v>176</v>
      </c>
      <c r="J638" s="143" t="s">
        <v>643</v>
      </c>
      <c r="K638" s="144">
        <f>14928*1.37</f>
        <v>20451.36</v>
      </c>
      <c r="L638" s="145" t="s">
        <v>172</v>
      </c>
      <c r="M638" s="143" t="s">
        <v>6709</v>
      </c>
    </row>
    <row r="639" spans="1:13">
      <c r="A639" s="27" t="s">
        <v>6705</v>
      </c>
      <c r="B639" s="142" t="s">
        <v>7976</v>
      </c>
      <c r="C639" s="142" t="s">
        <v>7540</v>
      </c>
      <c r="D639" s="142" t="s">
        <v>7977</v>
      </c>
      <c r="E639" s="145">
        <v>1</v>
      </c>
      <c r="F639" s="143" t="s">
        <v>168</v>
      </c>
      <c r="G639" s="143" t="s">
        <v>7542</v>
      </c>
      <c r="H639" s="143" t="s">
        <v>26</v>
      </c>
      <c r="I639" s="143" t="s">
        <v>176</v>
      </c>
      <c r="J639" s="143" t="s">
        <v>643</v>
      </c>
      <c r="K639" s="144">
        <f>14928*1.48</f>
        <v>22093.439999999999</v>
      </c>
      <c r="L639" s="145" t="s">
        <v>172</v>
      </c>
      <c r="M639" s="143" t="s">
        <v>6709</v>
      </c>
    </row>
    <row r="640" spans="1:13">
      <c r="A640" s="27" t="s">
        <v>6705</v>
      </c>
      <c r="B640" s="142" t="s">
        <v>7978</v>
      </c>
      <c r="C640" s="142" t="s">
        <v>7540</v>
      </c>
      <c r="D640" s="142" t="s">
        <v>7979</v>
      </c>
      <c r="E640" s="145">
        <v>1</v>
      </c>
      <c r="F640" s="143" t="s">
        <v>168</v>
      </c>
      <c r="G640" s="143" t="s">
        <v>7542</v>
      </c>
      <c r="H640" s="143" t="s">
        <v>26</v>
      </c>
      <c r="I640" s="143" t="s">
        <v>176</v>
      </c>
      <c r="J640" s="143" t="s">
        <v>643</v>
      </c>
      <c r="K640" s="144">
        <f>14928*1.58</f>
        <v>23586.240000000002</v>
      </c>
      <c r="L640" s="145" t="s">
        <v>172</v>
      </c>
      <c r="M640" s="143" t="s">
        <v>6709</v>
      </c>
    </row>
    <row r="641" spans="1:13">
      <c r="A641" s="27" t="s">
        <v>6705</v>
      </c>
      <c r="B641" s="142" t="s">
        <v>7980</v>
      </c>
      <c r="C641" s="142" t="s">
        <v>7540</v>
      </c>
      <c r="D641" s="142" t="s">
        <v>7981</v>
      </c>
      <c r="E641" s="145">
        <v>1</v>
      </c>
      <c r="F641" s="143" t="s">
        <v>168</v>
      </c>
      <c r="G641" s="143" t="s">
        <v>7542</v>
      </c>
      <c r="H641" s="143" t="s">
        <v>26</v>
      </c>
      <c r="I641" s="143" t="s">
        <v>176</v>
      </c>
      <c r="J641" s="143" t="s">
        <v>643</v>
      </c>
      <c r="K641" s="144">
        <f>24960+3368</f>
        <v>28328</v>
      </c>
      <c r="L641" s="145" t="s">
        <v>172</v>
      </c>
      <c r="M641" s="143" t="s">
        <v>6709</v>
      </c>
    </row>
    <row r="642" spans="1:13">
      <c r="A642" s="27" t="s">
        <v>6705</v>
      </c>
      <c r="B642" s="142" t="s">
        <v>7982</v>
      </c>
      <c r="C642" s="142" t="s">
        <v>7540</v>
      </c>
      <c r="D642" s="142" t="s">
        <v>7983</v>
      </c>
      <c r="E642" s="145">
        <v>1</v>
      </c>
      <c r="F642" s="143" t="s">
        <v>168</v>
      </c>
      <c r="G642" s="143" t="s">
        <v>7542</v>
      </c>
      <c r="H642" s="143" t="s">
        <v>26</v>
      </c>
      <c r="I642" s="143" t="s">
        <v>176</v>
      </c>
      <c r="J642" s="143" t="s">
        <v>643</v>
      </c>
      <c r="K642" s="144">
        <f>24960*1.37</f>
        <v>34195.200000000004</v>
      </c>
      <c r="L642" s="145" t="s">
        <v>172</v>
      </c>
      <c r="M642" s="143" t="s">
        <v>6709</v>
      </c>
    </row>
    <row r="643" spans="1:13">
      <c r="A643" s="27" t="s">
        <v>6705</v>
      </c>
      <c r="B643" s="142" t="s">
        <v>7984</v>
      </c>
      <c r="C643" s="142" t="s">
        <v>7540</v>
      </c>
      <c r="D643" s="142" t="s">
        <v>7985</v>
      </c>
      <c r="E643" s="145">
        <v>1</v>
      </c>
      <c r="F643" s="143" t="s">
        <v>168</v>
      </c>
      <c r="G643" s="143" t="s">
        <v>7542</v>
      </c>
      <c r="H643" s="143" t="s">
        <v>26</v>
      </c>
      <c r="I643" s="143" t="s">
        <v>176</v>
      </c>
      <c r="J643" s="143" t="s">
        <v>643</v>
      </c>
      <c r="K643" s="144">
        <f>24960*1.48</f>
        <v>36940.800000000003</v>
      </c>
      <c r="L643" s="145" t="s">
        <v>172</v>
      </c>
      <c r="M643" s="143" t="s">
        <v>6709</v>
      </c>
    </row>
    <row r="644" spans="1:13">
      <c r="A644" s="27" t="s">
        <v>6705</v>
      </c>
      <c r="B644" s="142" t="s">
        <v>7986</v>
      </c>
      <c r="C644" s="142" t="s">
        <v>7540</v>
      </c>
      <c r="D644" s="142" t="s">
        <v>7987</v>
      </c>
      <c r="E644" s="145">
        <v>1</v>
      </c>
      <c r="F644" s="143" t="s">
        <v>168</v>
      </c>
      <c r="G644" s="143" t="s">
        <v>7542</v>
      </c>
      <c r="H644" s="143" t="s">
        <v>26</v>
      </c>
      <c r="I644" s="143" t="s">
        <v>176</v>
      </c>
      <c r="J644" s="143" t="s">
        <v>643</v>
      </c>
      <c r="K644" s="144">
        <f>24960*1.58</f>
        <v>39436.800000000003</v>
      </c>
      <c r="L644" s="145" t="s">
        <v>172</v>
      </c>
      <c r="M644" s="143" t="s">
        <v>6709</v>
      </c>
    </row>
    <row r="645" spans="1:13">
      <c r="A645" s="27" t="s">
        <v>6705</v>
      </c>
      <c r="B645" s="142" t="s">
        <v>7988</v>
      </c>
      <c r="C645" s="142" t="s">
        <v>7540</v>
      </c>
      <c r="D645" s="142" t="s">
        <v>7989</v>
      </c>
      <c r="E645" s="145">
        <v>1</v>
      </c>
      <c r="F645" s="143" t="s">
        <v>168</v>
      </c>
      <c r="G645" s="143" t="s">
        <v>7542</v>
      </c>
      <c r="H645" s="143" t="s">
        <v>26</v>
      </c>
      <c r="I645" s="143" t="s">
        <v>176</v>
      </c>
      <c r="J645" s="143" t="s">
        <v>643</v>
      </c>
      <c r="K645" s="144">
        <f>41319+5582</f>
        <v>46901</v>
      </c>
      <c r="L645" s="145" t="s">
        <v>172</v>
      </c>
      <c r="M645" s="143" t="s">
        <v>6709</v>
      </c>
    </row>
    <row r="646" spans="1:13">
      <c r="A646" s="27" t="s">
        <v>6705</v>
      </c>
      <c r="B646" s="142" t="s">
        <v>7990</v>
      </c>
      <c r="C646" s="142" t="s">
        <v>7540</v>
      </c>
      <c r="D646" s="142" t="s">
        <v>7991</v>
      </c>
      <c r="E646" s="145">
        <v>1</v>
      </c>
      <c r="F646" s="143" t="s">
        <v>168</v>
      </c>
      <c r="G646" s="143" t="s">
        <v>7542</v>
      </c>
      <c r="H646" s="143" t="s">
        <v>26</v>
      </c>
      <c r="I646" s="143" t="s">
        <v>176</v>
      </c>
      <c r="J646" s="143" t="s">
        <v>643</v>
      </c>
      <c r="K646" s="144">
        <f>41319*1.37</f>
        <v>56607.030000000006</v>
      </c>
      <c r="L646" s="145" t="s">
        <v>172</v>
      </c>
      <c r="M646" s="143" t="s">
        <v>6709</v>
      </c>
    </row>
    <row r="647" spans="1:13">
      <c r="A647" s="27" t="s">
        <v>6705</v>
      </c>
      <c r="B647" s="142" t="s">
        <v>7992</v>
      </c>
      <c r="C647" s="142" t="s">
        <v>7540</v>
      </c>
      <c r="D647" s="142" t="s">
        <v>7993</v>
      </c>
      <c r="E647" s="145">
        <v>1</v>
      </c>
      <c r="F647" s="143" t="s">
        <v>168</v>
      </c>
      <c r="G647" s="143" t="s">
        <v>7542</v>
      </c>
      <c r="H647" s="143" t="s">
        <v>26</v>
      </c>
      <c r="I647" s="143" t="s">
        <v>176</v>
      </c>
      <c r="J647" s="143" t="s">
        <v>643</v>
      </c>
      <c r="K647" s="144">
        <f>41319*1.48</f>
        <v>61152.12</v>
      </c>
      <c r="L647" s="145" t="s">
        <v>172</v>
      </c>
      <c r="M647" s="143" t="s">
        <v>6709</v>
      </c>
    </row>
    <row r="648" spans="1:13">
      <c r="A648" s="27" t="s">
        <v>6705</v>
      </c>
      <c r="B648" s="142" t="s">
        <v>7994</v>
      </c>
      <c r="C648" s="142" t="s">
        <v>7540</v>
      </c>
      <c r="D648" s="142" t="s">
        <v>7995</v>
      </c>
      <c r="E648" s="145">
        <v>1</v>
      </c>
      <c r="F648" s="143" t="s">
        <v>168</v>
      </c>
      <c r="G648" s="143" t="s">
        <v>7542</v>
      </c>
      <c r="H648" s="143" t="s">
        <v>26</v>
      </c>
      <c r="I648" s="143" t="s">
        <v>176</v>
      </c>
      <c r="J648" s="143" t="s">
        <v>643</v>
      </c>
      <c r="K648" s="144">
        <f>41319*1.58</f>
        <v>65284.020000000004</v>
      </c>
      <c r="L648" s="145" t="s">
        <v>172</v>
      </c>
      <c r="M648" s="143" t="s">
        <v>6709</v>
      </c>
    </row>
    <row r="649" spans="1:13">
      <c r="A649" s="27" t="s">
        <v>6705</v>
      </c>
      <c r="B649" s="142" t="s">
        <v>7996</v>
      </c>
      <c r="C649" s="142" t="s">
        <v>7540</v>
      </c>
      <c r="D649" s="142" t="s">
        <v>7997</v>
      </c>
      <c r="E649" s="145">
        <v>1</v>
      </c>
      <c r="F649" s="143" t="s">
        <v>168</v>
      </c>
      <c r="G649" s="143" t="s">
        <v>7542</v>
      </c>
      <c r="H649" s="143" t="s">
        <v>26</v>
      </c>
      <c r="I649" s="143" t="s">
        <v>176</v>
      </c>
      <c r="J649" s="143" t="s">
        <v>643</v>
      </c>
      <c r="K649" s="144">
        <f>69819+9433</f>
        <v>79252</v>
      </c>
      <c r="L649" s="145" t="s">
        <v>172</v>
      </c>
      <c r="M649" s="143" t="s">
        <v>6709</v>
      </c>
    </row>
    <row r="650" spans="1:13">
      <c r="A650" s="27" t="s">
        <v>6705</v>
      </c>
      <c r="B650" s="142" t="s">
        <v>7998</v>
      </c>
      <c r="C650" s="142" t="s">
        <v>7540</v>
      </c>
      <c r="D650" s="142" t="s">
        <v>7999</v>
      </c>
      <c r="E650" s="145">
        <v>1</v>
      </c>
      <c r="F650" s="143" t="s">
        <v>168</v>
      </c>
      <c r="G650" s="143" t="s">
        <v>7542</v>
      </c>
      <c r="H650" s="143" t="s">
        <v>26</v>
      </c>
      <c r="I650" s="143" t="s">
        <v>176</v>
      </c>
      <c r="J650" s="143" t="s">
        <v>643</v>
      </c>
      <c r="K650" s="144">
        <f>69819*1.37</f>
        <v>95652.030000000013</v>
      </c>
      <c r="L650" s="145" t="s">
        <v>172</v>
      </c>
      <c r="M650" s="143" t="s">
        <v>6709</v>
      </c>
    </row>
    <row r="651" spans="1:13">
      <c r="A651" s="27" t="s">
        <v>6705</v>
      </c>
      <c r="B651" s="142" t="s">
        <v>8000</v>
      </c>
      <c r="C651" s="142" t="s">
        <v>7540</v>
      </c>
      <c r="D651" s="142" t="s">
        <v>8001</v>
      </c>
      <c r="E651" s="145">
        <v>1</v>
      </c>
      <c r="F651" s="143" t="s">
        <v>168</v>
      </c>
      <c r="G651" s="143" t="s">
        <v>7542</v>
      </c>
      <c r="H651" s="143" t="s">
        <v>26</v>
      </c>
      <c r="I651" s="143" t="s">
        <v>176</v>
      </c>
      <c r="J651" s="143" t="s">
        <v>643</v>
      </c>
      <c r="K651" s="144">
        <f>69819*1.48</f>
        <v>103332.12</v>
      </c>
      <c r="L651" s="145" t="s">
        <v>172</v>
      </c>
      <c r="M651" s="143" t="s">
        <v>6709</v>
      </c>
    </row>
    <row r="652" spans="1:13">
      <c r="A652" s="27" t="s">
        <v>6705</v>
      </c>
      <c r="B652" s="142" t="s">
        <v>8002</v>
      </c>
      <c r="C652" s="142" t="s">
        <v>7540</v>
      </c>
      <c r="D652" s="142" t="s">
        <v>8003</v>
      </c>
      <c r="E652" s="145">
        <v>1</v>
      </c>
      <c r="F652" s="143" t="s">
        <v>168</v>
      </c>
      <c r="G652" s="143" t="s">
        <v>7542</v>
      </c>
      <c r="H652" s="143" t="s">
        <v>26</v>
      </c>
      <c r="I652" s="143" t="s">
        <v>176</v>
      </c>
      <c r="J652" s="143" t="s">
        <v>643</v>
      </c>
      <c r="K652" s="144">
        <f>69819*1.58</f>
        <v>110314.02</v>
      </c>
      <c r="L652" s="145" t="s">
        <v>172</v>
      </c>
      <c r="M652" s="143" t="s">
        <v>6709</v>
      </c>
    </row>
    <row r="653" spans="1:13">
      <c r="A653" s="27" t="s">
        <v>6705</v>
      </c>
      <c r="B653" s="142" t="s">
        <v>8004</v>
      </c>
      <c r="C653" s="142" t="s">
        <v>7540</v>
      </c>
      <c r="D653" s="142" t="s">
        <v>8005</v>
      </c>
      <c r="E653" s="145">
        <v>1</v>
      </c>
      <c r="F653" s="143" t="s">
        <v>168</v>
      </c>
      <c r="G653" s="143" t="s">
        <v>7542</v>
      </c>
      <c r="H653" s="143" t="s">
        <v>26</v>
      </c>
      <c r="I653" s="143" t="s">
        <v>176</v>
      </c>
      <c r="J653" s="143" t="s">
        <v>643</v>
      </c>
      <c r="K653" s="144">
        <f>9684+1311</f>
        <v>10995</v>
      </c>
      <c r="L653" s="145" t="s">
        <v>172</v>
      </c>
      <c r="M653" s="143" t="s">
        <v>6709</v>
      </c>
    </row>
    <row r="654" spans="1:13">
      <c r="A654" s="27" t="s">
        <v>6705</v>
      </c>
      <c r="B654" s="142" t="s">
        <v>8006</v>
      </c>
      <c r="C654" s="142" t="s">
        <v>7540</v>
      </c>
      <c r="D654" s="142" t="s">
        <v>8007</v>
      </c>
      <c r="E654" s="145">
        <v>1</v>
      </c>
      <c r="F654" s="143" t="s">
        <v>168</v>
      </c>
      <c r="G654" s="143" t="s">
        <v>7542</v>
      </c>
      <c r="H654" s="143" t="s">
        <v>26</v>
      </c>
      <c r="I654" s="143" t="s">
        <v>176</v>
      </c>
      <c r="J654" s="143" t="s">
        <v>643</v>
      </c>
      <c r="K654" s="144">
        <f>9684*1.37</f>
        <v>13267.080000000002</v>
      </c>
      <c r="L654" s="145" t="s">
        <v>172</v>
      </c>
      <c r="M654" s="143" t="s">
        <v>6709</v>
      </c>
    </row>
    <row r="655" spans="1:13">
      <c r="A655" s="27" t="s">
        <v>6705</v>
      </c>
      <c r="B655" s="142" t="s">
        <v>8008</v>
      </c>
      <c r="C655" s="142" t="s">
        <v>7540</v>
      </c>
      <c r="D655" s="142" t="s">
        <v>8009</v>
      </c>
      <c r="E655" s="145">
        <v>1</v>
      </c>
      <c r="F655" s="143" t="s">
        <v>168</v>
      </c>
      <c r="G655" s="143" t="s">
        <v>7542</v>
      </c>
      <c r="H655" s="143" t="s">
        <v>26</v>
      </c>
      <c r="I655" s="143" t="s">
        <v>176</v>
      </c>
      <c r="J655" s="143" t="s">
        <v>643</v>
      </c>
      <c r="K655" s="144">
        <f>9684*1.48</f>
        <v>14332.32</v>
      </c>
      <c r="L655" s="145" t="s">
        <v>172</v>
      </c>
      <c r="M655" s="143" t="s">
        <v>6709</v>
      </c>
    </row>
    <row r="656" spans="1:13">
      <c r="A656" s="27" t="s">
        <v>6705</v>
      </c>
      <c r="B656" s="142" t="s">
        <v>8010</v>
      </c>
      <c r="C656" s="142" t="s">
        <v>7540</v>
      </c>
      <c r="D656" s="142" t="s">
        <v>8011</v>
      </c>
      <c r="E656" s="145">
        <v>1</v>
      </c>
      <c r="F656" s="143" t="s">
        <v>168</v>
      </c>
      <c r="G656" s="143" t="s">
        <v>7542</v>
      </c>
      <c r="H656" s="143" t="s">
        <v>26</v>
      </c>
      <c r="I656" s="143" t="s">
        <v>176</v>
      </c>
      <c r="J656" s="143" t="s">
        <v>643</v>
      </c>
      <c r="K656" s="144">
        <f>9684*1.58</f>
        <v>15300.720000000001</v>
      </c>
      <c r="L656" s="145" t="s">
        <v>172</v>
      </c>
      <c r="M656" s="143" t="s">
        <v>6709</v>
      </c>
    </row>
    <row r="657" spans="1:13">
      <c r="A657" s="27" t="s">
        <v>6705</v>
      </c>
      <c r="B657" s="142" t="s">
        <v>8012</v>
      </c>
      <c r="C657" s="142" t="s">
        <v>7540</v>
      </c>
      <c r="D657" s="142" t="s">
        <v>8013</v>
      </c>
      <c r="E657" s="145">
        <v>1</v>
      </c>
      <c r="F657" s="143" t="s">
        <v>168</v>
      </c>
      <c r="G657" s="143" t="s">
        <v>7542</v>
      </c>
      <c r="H657" s="143" t="s">
        <v>26</v>
      </c>
      <c r="I657" s="143" t="s">
        <v>176</v>
      </c>
      <c r="J657" s="143" t="s">
        <v>643</v>
      </c>
      <c r="K657" s="144">
        <f>17813+2406</f>
        <v>20219</v>
      </c>
      <c r="L657" s="145" t="s">
        <v>172</v>
      </c>
      <c r="M657" s="143" t="s">
        <v>6709</v>
      </c>
    </row>
    <row r="658" spans="1:13">
      <c r="A658" s="27" t="s">
        <v>6705</v>
      </c>
      <c r="B658" s="142" t="s">
        <v>8014</v>
      </c>
      <c r="C658" s="142" t="s">
        <v>7540</v>
      </c>
      <c r="D658" s="142" t="s">
        <v>8015</v>
      </c>
      <c r="E658" s="145">
        <v>1</v>
      </c>
      <c r="F658" s="143" t="s">
        <v>168</v>
      </c>
      <c r="G658" s="143" t="s">
        <v>7542</v>
      </c>
      <c r="H658" s="143" t="s">
        <v>26</v>
      </c>
      <c r="I658" s="143" t="s">
        <v>176</v>
      </c>
      <c r="J658" s="143" t="s">
        <v>643</v>
      </c>
      <c r="K658" s="144">
        <f>17813*1.37</f>
        <v>24403.81</v>
      </c>
      <c r="L658" s="145" t="s">
        <v>172</v>
      </c>
      <c r="M658" s="143" t="s">
        <v>6709</v>
      </c>
    </row>
    <row r="659" spans="1:13">
      <c r="A659" s="27" t="s">
        <v>6705</v>
      </c>
      <c r="B659" s="142" t="s">
        <v>8016</v>
      </c>
      <c r="C659" s="142" t="s">
        <v>7540</v>
      </c>
      <c r="D659" s="142" t="s">
        <v>8017</v>
      </c>
      <c r="E659" s="145">
        <v>1</v>
      </c>
      <c r="F659" s="143" t="s">
        <v>168</v>
      </c>
      <c r="G659" s="143" t="s">
        <v>7542</v>
      </c>
      <c r="H659" s="143" t="s">
        <v>26</v>
      </c>
      <c r="I659" s="143" t="s">
        <v>176</v>
      </c>
      <c r="J659" s="143" t="s">
        <v>643</v>
      </c>
      <c r="K659" s="144">
        <f>17813*1.48</f>
        <v>26363.239999999998</v>
      </c>
      <c r="L659" s="145" t="s">
        <v>172</v>
      </c>
      <c r="M659" s="143" t="s">
        <v>6709</v>
      </c>
    </row>
    <row r="660" spans="1:13">
      <c r="A660" s="27" t="s">
        <v>6705</v>
      </c>
      <c r="B660" s="142" t="s">
        <v>8018</v>
      </c>
      <c r="C660" s="142" t="s">
        <v>7540</v>
      </c>
      <c r="D660" s="142" t="s">
        <v>8019</v>
      </c>
      <c r="E660" s="145">
        <v>1</v>
      </c>
      <c r="F660" s="143" t="s">
        <v>168</v>
      </c>
      <c r="G660" s="143" t="s">
        <v>7542</v>
      </c>
      <c r="H660" s="143" t="s">
        <v>26</v>
      </c>
      <c r="I660" s="143" t="s">
        <v>176</v>
      </c>
      <c r="J660" s="143" t="s">
        <v>643</v>
      </c>
      <c r="K660" s="144">
        <f>17813*1.58</f>
        <v>28144.54</v>
      </c>
      <c r="L660" s="145" t="s">
        <v>172</v>
      </c>
      <c r="M660" s="143" t="s">
        <v>6709</v>
      </c>
    </row>
    <row r="661" spans="1:13">
      <c r="A661" s="27" t="s">
        <v>6705</v>
      </c>
      <c r="B661" s="142" t="s">
        <v>8020</v>
      </c>
      <c r="C661" s="142" t="s">
        <v>7540</v>
      </c>
      <c r="D661" s="142" t="s">
        <v>8021</v>
      </c>
      <c r="E661" s="145">
        <v>1</v>
      </c>
      <c r="F661" s="143" t="s">
        <v>168</v>
      </c>
      <c r="G661" s="143" t="s">
        <v>7542</v>
      </c>
      <c r="H661" s="143" t="s">
        <v>26</v>
      </c>
      <c r="I661" s="143" t="s">
        <v>176</v>
      </c>
      <c r="J661" s="143" t="s">
        <v>643</v>
      </c>
      <c r="K661" s="144">
        <f>35619+4812</f>
        <v>40431</v>
      </c>
      <c r="L661" s="145" t="s">
        <v>172</v>
      </c>
      <c r="M661" s="143" t="s">
        <v>6709</v>
      </c>
    </row>
    <row r="662" spans="1:13">
      <c r="A662" s="27" t="s">
        <v>6705</v>
      </c>
      <c r="B662" s="142" t="s">
        <v>8022</v>
      </c>
      <c r="C662" s="142" t="s">
        <v>7540</v>
      </c>
      <c r="D662" s="142" t="s">
        <v>8023</v>
      </c>
      <c r="E662" s="145">
        <v>1</v>
      </c>
      <c r="F662" s="143" t="s">
        <v>168</v>
      </c>
      <c r="G662" s="143" t="s">
        <v>7542</v>
      </c>
      <c r="H662" s="143" t="s">
        <v>26</v>
      </c>
      <c r="I662" s="143" t="s">
        <v>176</v>
      </c>
      <c r="J662" s="143" t="s">
        <v>643</v>
      </c>
      <c r="K662" s="144">
        <f>35619*1.37</f>
        <v>48798.030000000006</v>
      </c>
      <c r="L662" s="145" t="s">
        <v>172</v>
      </c>
      <c r="M662" s="143" t="s">
        <v>6709</v>
      </c>
    </row>
    <row r="663" spans="1:13">
      <c r="A663" s="27" t="s">
        <v>6705</v>
      </c>
      <c r="B663" s="142" t="s">
        <v>8024</v>
      </c>
      <c r="C663" s="142" t="s">
        <v>7540</v>
      </c>
      <c r="D663" s="142" t="s">
        <v>8025</v>
      </c>
      <c r="E663" s="145">
        <v>1</v>
      </c>
      <c r="F663" s="143" t="s">
        <v>168</v>
      </c>
      <c r="G663" s="143" t="s">
        <v>7542</v>
      </c>
      <c r="H663" s="143" t="s">
        <v>26</v>
      </c>
      <c r="I663" s="143" t="s">
        <v>176</v>
      </c>
      <c r="J663" s="143" t="s">
        <v>643</v>
      </c>
      <c r="K663" s="144">
        <f>35619*1.48</f>
        <v>52716.12</v>
      </c>
      <c r="L663" s="145" t="s">
        <v>172</v>
      </c>
      <c r="M663" s="143" t="s">
        <v>6709</v>
      </c>
    </row>
    <row r="664" spans="1:13">
      <c r="A664" s="27" t="s">
        <v>6705</v>
      </c>
      <c r="B664" s="142" t="s">
        <v>8026</v>
      </c>
      <c r="C664" s="142" t="s">
        <v>7540</v>
      </c>
      <c r="D664" s="142" t="s">
        <v>8027</v>
      </c>
      <c r="E664" s="145">
        <v>1</v>
      </c>
      <c r="F664" s="143" t="s">
        <v>168</v>
      </c>
      <c r="G664" s="143" t="s">
        <v>7542</v>
      </c>
      <c r="H664" s="143" t="s">
        <v>26</v>
      </c>
      <c r="I664" s="143" t="s">
        <v>176</v>
      </c>
      <c r="J664" s="143" t="s">
        <v>643</v>
      </c>
      <c r="K664" s="144">
        <f>35619*1.58</f>
        <v>56278.020000000004</v>
      </c>
      <c r="L664" s="145" t="s">
        <v>172</v>
      </c>
      <c r="M664" s="143" t="s">
        <v>6709</v>
      </c>
    </row>
    <row r="665" spans="1:13">
      <c r="A665" s="27" t="s">
        <v>6705</v>
      </c>
      <c r="B665" s="142" t="s">
        <v>8028</v>
      </c>
      <c r="C665" s="142" t="s">
        <v>7540</v>
      </c>
      <c r="D665" s="142" t="s">
        <v>8029</v>
      </c>
      <c r="E665" s="145">
        <v>1</v>
      </c>
      <c r="F665" s="143" t="s">
        <v>168</v>
      </c>
      <c r="G665" s="143" t="s">
        <v>7542</v>
      </c>
      <c r="H665" s="143" t="s">
        <v>26</v>
      </c>
      <c r="I665" s="143" t="s">
        <v>176</v>
      </c>
      <c r="J665" s="143" t="s">
        <v>643</v>
      </c>
      <c r="K665" s="144">
        <f>2844+381</f>
        <v>3225</v>
      </c>
      <c r="L665" s="145" t="s">
        <v>172</v>
      </c>
      <c r="M665" s="143" t="s">
        <v>6709</v>
      </c>
    </row>
    <row r="666" spans="1:13">
      <c r="A666" s="27" t="s">
        <v>6705</v>
      </c>
      <c r="B666" s="142" t="s">
        <v>8030</v>
      </c>
      <c r="C666" s="142" t="s">
        <v>7540</v>
      </c>
      <c r="D666" s="142" t="s">
        <v>8031</v>
      </c>
      <c r="E666" s="145">
        <v>1</v>
      </c>
      <c r="F666" s="143" t="s">
        <v>168</v>
      </c>
      <c r="G666" s="143" t="s">
        <v>7542</v>
      </c>
      <c r="H666" s="143" t="s">
        <v>26</v>
      </c>
      <c r="I666" s="143" t="s">
        <v>176</v>
      </c>
      <c r="J666" s="143" t="s">
        <v>643</v>
      </c>
      <c r="K666" s="144">
        <f>2844*1.37</f>
        <v>3896.28</v>
      </c>
      <c r="L666" s="145" t="s">
        <v>172</v>
      </c>
      <c r="M666" s="143" t="s">
        <v>6709</v>
      </c>
    </row>
    <row r="667" spans="1:13">
      <c r="A667" s="27" t="s">
        <v>6705</v>
      </c>
      <c r="B667" s="142" t="s">
        <v>8032</v>
      </c>
      <c r="C667" s="142" t="s">
        <v>7540</v>
      </c>
      <c r="D667" s="142" t="s">
        <v>8033</v>
      </c>
      <c r="E667" s="145">
        <v>1</v>
      </c>
      <c r="F667" s="143" t="s">
        <v>168</v>
      </c>
      <c r="G667" s="143" t="s">
        <v>7542</v>
      </c>
      <c r="H667" s="143" t="s">
        <v>26</v>
      </c>
      <c r="I667" s="143" t="s">
        <v>176</v>
      </c>
      <c r="J667" s="143" t="s">
        <v>643</v>
      </c>
      <c r="K667" s="144">
        <f>2844*1.48</f>
        <v>4209.12</v>
      </c>
      <c r="L667" s="145" t="s">
        <v>172</v>
      </c>
      <c r="M667" s="143" t="s">
        <v>6709</v>
      </c>
    </row>
    <row r="668" spans="1:13">
      <c r="A668" s="27" t="s">
        <v>6705</v>
      </c>
      <c r="B668" s="142" t="s">
        <v>8034</v>
      </c>
      <c r="C668" s="142" t="s">
        <v>7540</v>
      </c>
      <c r="D668" s="142" t="s">
        <v>8035</v>
      </c>
      <c r="E668" s="145">
        <v>1</v>
      </c>
      <c r="F668" s="143" t="s">
        <v>168</v>
      </c>
      <c r="G668" s="143" t="s">
        <v>7542</v>
      </c>
      <c r="H668" s="143" t="s">
        <v>26</v>
      </c>
      <c r="I668" s="143" t="s">
        <v>176</v>
      </c>
      <c r="J668" s="143" t="s">
        <v>643</v>
      </c>
      <c r="K668" s="144">
        <f>2844*1.58</f>
        <v>4493.5200000000004</v>
      </c>
      <c r="L668" s="145" t="s">
        <v>172</v>
      </c>
      <c r="M668" s="143" t="s">
        <v>6709</v>
      </c>
    </row>
    <row r="669" spans="1:13">
      <c r="A669" s="27" t="s">
        <v>6705</v>
      </c>
      <c r="B669" s="142" t="s">
        <v>8036</v>
      </c>
      <c r="C669" s="142" t="s">
        <v>7540</v>
      </c>
      <c r="D669" s="142" t="s">
        <v>8037</v>
      </c>
      <c r="E669" s="145">
        <v>1</v>
      </c>
      <c r="F669" s="143" t="s">
        <v>168</v>
      </c>
      <c r="G669" s="143" t="s">
        <v>7542</v>
      </c>
      <c r="H669" s="143" t="s">
        <v>26</v>
      </c>
      <c r="I669" s="143" t="s">
        <v>176</v>
      </c>
      <c r="J669" s="143" t="s">
        <v>643</v>
      </c>
      <c r="K669" s="144">
        <f>322+4000</f>
        <v>4322</v>
      </c>
      <c r="L669" s="145" t="s">
        <v>172</v>
      </c>
      <c r="M669" s="143" t="s">
        <v>6709</v>
      </c>
    </row>
    <row r="670" spans="1:13">
      <c r="A670" s="27" t="s">
        <v>6705</v>
      </c>
      <c r="B670" s="142" t="s">
        <v>8038</v>
      </c>
      <c r="C670" s="142" t="s">
        <v>7540</v>
      </c>
      <c r="D670" s="142" t="s">
        <v>8039</v>
      </c>
      <c r="E670" s="145">
        <v>1</v>
      </c>
      <c r="F670" s="143" t="s">
        <v>168</v>
      </c>
      <c r="G670" s="143" t="s">
        <v>7542</v>
      </c>
      <c r="H670" s="143" t="s">
        <v>26</v>
      </c>
      <c r="I670" s="143" t="s">
        <v>176</v>
      </c>
      <c r="J670" s="143" t="s">
        <v>643</v>
      </c>
      <c r="K670" s="144">
        <f>869+4000</f>
        <v>4869</v>
      </c>
      <c r="L670" s="145" t="s">
        <v>172</v>
      </c>
      <c r="M670" s="143" t="s">
        <v>6709</v>
      </c>
    </row>
    <row r="671" spans="1:13">
      <c r="A671" s="27" t="s">
        <v>6705</v>
      </c>
      <c r="B671" s="142" t="s">
        <v>8040</v>
      </c>
      <c r="C671" s="142" t="s">
        <v>7540</v>
      </c>
      <c r="D671" s="142" t="s">
        <v>8041</v>
      </c>
      <c r="E671" s="145">
        <v>1</v>
      </c>
      <c r="F671" s="143" t="s">
        <v>168</v>
      </c>
      <c r="G671" s="143" t="s">
        <v>7542</v>
      </c>
      <c r="H671" s="143" t="s">
        <v>26</v>
      </c>
      <c r="I671" s="143" t="s">
        <v>176</v>
      </c>
      <c r="J671" s="143" t="s">
        <v>643</v>
      </c>
      <c r="K671" s="144">
        <f>1092+4000</f>
        <v>5092</v>
      </c>
      <c r="L671" s="145" t="s">
        <v>172</v>
      </c>
      <c r="M671" s="143" t="s">
        <v>6709</v>
      </c>
    </row>
    <row r="672" spans="1:13">
      <c r="A672" s="27" t="s">
        <v>6705</v>
      </c>
      <c r="B672" s="142" t="s">
        <v>8042</v>
      </c>
      <c r="C672" s="142" t="s">
        <v>7540</v>
      </c>
      <c r="D672" s="142" t="s">
        <v>8043</v>
      </c>
      <c r="E672" s="145">
        <v>1</v>
      </c>
      <c r="F672" s="143" t="s">
        <v>168</v>
      </c>
      <c r="G672" s="143" t="s">
        <v>7542</v>
      </c>
      <c r="H672" s="143" t="s">
        <v>26</v>
      </c>
      <c r="I672" s="143" t="s">
        <v>176</v>
      </c>
      <c r="J672" s="143" t="s">
        <v>643</v>
      </c>
      <c r="K672" s="144">
        <f>1327+4000</f>
        <v>5327</v>
      </c>
      <c r="L672" s="145" t="s">
        <v>172</v>
      </c>
      <c r="M672" s="143" t="s">
        <v>6709</v>
      </c>
    </row>
    <row r="673" spans="1:13">
      <c r="A673" s="27" t="s">
        <v>6705</v>
      </c>
      <c r="B673" s="142" t="s">
        <v>8044</v>
      </c>
      <c r="C673" s="142" t="s">
        <v>7540</v>
      </c>
      <c r="D673" s="142" t="s">
        <v>8045</v>
      </c>
      <c r="E673" s="145">
        <v>1</v>
      </c>
      <c r="F673" s="143" t="s">
        <v>168</v>
      </c>
      <c r="G673" s="143" t="s">
        <v>7542</v>
      </c>
      <c r="H673" s="143" t="s">
        <v>26</v>
      </c>
      <c r="I673" s="143" t="s">
        <v>176</v>
      </c>
      <c r="J673" s="143" t="s">
        <v>643</v>
      </c>
      <c r="K673" s="144">
        <f>279+3500</f>
        <v>3779</v>
      </c>
      <c r="L673" s="145" t="s">
        <v>172</v>
      </c>
      <c r="M673" s="143" t="s">
        <v>6709</v>
      </c>
    </row>
    <row r="674" spans="1:13">
      <c r="A674" s="27" t="s">
        <v>6705</v>
      </c>
      <c r="B674" s="142" t="s">
        <v>8046</v>
      </c>
      <c r="C674" s="142" t="s">
        <v>7540</v>
      </c>
      <c r="D674" s="142" t="s">
        <v>8047</v>
      </c>
      <c r="E674" s="145">
        <v>1</v>
      </c>
      <c r="F674" s="143" t="s">
        <v>168</v>
      </c>
      <c r="G674" s="143" t="s">
        <v>7542</v>
      </c>
      <c r="H674" s="143" t="s">
        <v>26</v>
      </c>
      <c r="I674" s="143" t="s">
        <v>176</v>
      </c>
      <c r="J674" s="143" t="s">
        <v>643</v>
      </c>
      <c r="K674" s="144">
        <f>1.22*3500</f>
        <v>4270</v>
      </c>
      <c r="L674" s="145" t="s">
        <v>172</v>
      </c>
      <c r="M674" s="143" t="s">
        <v>6709</v>
      </c>
    </row>
    <row r="675" spans="1:13">
      <c r="A675" s="27" t="s">
        <v>6705</v>
      </c>
      <c r="B675" s="142" t="s">
        <v>8048</v>
      </c>
      <c r="C675" s="142" t="s">
        <v>7540</v>
      </c>
      <c r="D675" s="142" t="s">
        <v>8049</v>
      </c>
      <c r="E675" s="145">
        <v>1</v>
      </c>
      <c r="F675" s="143" t="s">
        <v>168</v>
      </c>
      <c r="G675" s="143" t="s">
        <v>7542</v>
      </c>
      <c r="H675" s="143" t="s">
        <v>26</v>
      </c>
      <c r="I675" s="143" t="s">
        <v>176</v>
      </c>
      <c r="J675" s="143" t="s">
        <v>643</v>
      </c>
      <c r="K675" s="144">
        <f>1.27*3500</f>
        <v>4445</v>
      </c>
      <c r="L675" s="145" t="s">
        <v>172</v>
      </c>
      <c r="M675" s="143" t="s">
        <v>6709</v>
      </c>
    </row>
    <row r="676" spans="1:13">
      <c r="A676" s="27" t="s">
        <v>6705</v>
      </c>
      <c r="B676" s="142" t="s">
        <v>8050</v>
      </c>
      <c r="C676" s="142" t="s">
        <v>7540</v>
      </c>
      <c r="D676" s="142" t="s">
        <v>8051</v>
      </c>
      <c r="E676" s="145">
        <v>1</v>
      </c>
      <c r="F676" s="143" t="s">
        <v>168</v>
      </c>
      <c r="G676" s="143" t="s">
        <v>7542</v>
      </c>
      <c r="H676" s="143" t="s">
        <v>26</v>
      </c>
      <c r="I676" s="143" t="s">
        <v>176</v>
      </c>
      <c r="J676" s="143" t="s">
        <v>643</v>
      </c>
      <c r="K676" s="144">
        <f>1.33*3500</f>
        <v>4655</v>
      </c>
      <c r="L676" s="145" t="s">
        <v>172</v>
      </c>
      <c r="M676" s="143" t="s">
        <v>6709</v>
      </c>
    </row>
    <row r="677" spans="1:13">
      <c r="A677" s="27" t="s">
        <v>6705</v>
      </c>
      <c r="B677" s="142" t="s">
        <v>8052</v>
      </c>
      <c r="C677" s="142" t="s">
        <v>7540</v>
      </c>
      <c r="D677" s="142" t="s">
        <v>8053</v>
      </c>
      <c r="E677" s="145">
        <v>1</v>
      </c>
      <c r="F677" s="143" t="s">
        <v>168</v>
      </c>
      <c r="G677" s="143" t="s">
        <v>7542</v>
      </c>
      <c r="H677" s="143" t="s">
        <v>26</v>
      </c>
      <c r="I677" s="143" t="s">
        <v>176</v>
      </c>
      <c r="J677" s="143" t="s">
        <v>643</v>
      </c>
      <c r="K677" s="144">
        <f>1040+13000</f>
        <v>14040</v>
      </c>
      <c r="L677" s="145" t="s">
        <v>172</v>
      </c>
      <c r="M677" s="143" t="s">
        <v>6709</v>
      </c>
    </row>
    <row r="678" spans="1:13">
      <c r="A678" s="27" t="s">
        <v>6705</v>
      </c>
      <c r="B678" s="142" t="s">
        <v>8054</v>
      </c>
      <c r="C678" s="142" t="s">
        <v>7540</v>
      </c>
      <c r="D678" s="142" t="s">
        <v>8055</v>
      </c>
      <c r="E678" s="145">
        <v>1</v>
      </c>
      <c r="F678" s="143" t="s">
        <v>168</v>
      </c>
      <c r="G678" s="143" t="s">
        <v>7542</v>
      </c>
      <c r="H678" s="143" t="s">
        <v>26</v>
      </c>
      <c r="I678" s="143" t="s">
        <v>176</v>
      </c>
      <c r="J678" s="143" t="s">
        <v>643</v>
      </c>
      <c r="K678" s="144">
        <f>1.22*13000</f>
        <v>15860</v>
      </c>
      <c r="L678" s="145" t="s">
        <v>172</v>
      </c>
      <c r="M678" s="143" t="s">
        <v>6709</v>
      </c>
    </row>
    <row r="679" spans="1:13">
      <c r="A679" s="27" t="s">
        <v>6705</v>
      </c>
      <c r="B679" s="142" t="s">
        <v>8056</v>
      </c>
      <c r="C679" s="142" t="s">
        <v>7540</v>
      </c>
      <c r="D679" s="142" t="s">
        <v>8057</v>
      </c>
      <c r="E679" s="145">
        <v>1</v>
      </c>
      <c r="F679" s="143" t="s">
        <v>168</v>
      </c>
      <c r="G679" s="143" t="s">
        <v>7542</v>
      </c>
      <c r="H679" s="143" t="s">
        <v>26</v>
      </c>
      <c r="I679" s="143" t="s">
        <v>176</v>
      </c>
      <c r="J679" s="143" t="s">
        <v>643</v>
      </c>
      <c r="K679" s="144">
        <f>1.27*13000</f>
        <v>16510</v>
      </c>
      <c r="L679" s="145" t="s">
        <v>172</v>
      </c>
      <c r="M679" s="143" t="s">
        <v>6709</v>
      </c>
    </row>
    <row r="680" spans="1:13">
      <c r="A680" s="27" t="s">
        <v>6705</v>
      </c>
      <c r="B680" s="142" t="s">
        <v>8058</v>
      </c>
      <c r="C680" s="142" t="s">
        <v>7540</v>
      </c>
      <c r="D680" s="142" t="s">
        <v>8059</v>
      </c>
      <c r="E680" s="145">
        <v>1</v>
      </c>
      <c r="F680" s="143" t="s">
        <v>168</v>
      </c>
      <c r="G680" s="143" t="s">
        <v>7542</v>
      </c>
      <c r="H680" s="143" t="s">
        <v>26</v>
      </c>
      <c r="I680" s="143" t="s">
        <v>176</v>
      </c>
      <c r="J680" s="143" t="s">
        <v>643</v>
      </c>
      <c r="K680" s="144">
        <f>1.33*13000</f>
        <v>17290</v>
      </c>
      <c r="L680" s="145" t="s">
        <v>172</v>
      </c>
      <c r="M680" s="143" t="s">
        <v>6709</v>
      </c>
    </row>
    <row r="681" spans="1:13">
      <c r="A681" s="27" t="s">
        <v>6705</v>
      </c>
      <c r="B681" s="142" t="s">
        <v>8060</v>
      </c>
      <c r="C681" s="142" t="s">
        <v>7540</v>
      </c>
      <c r="D681" s="142" t="s">
        <v>8061</v>
      </c>
      <c r="E681" s="145">
        <v>1</v>
      </c>
      <c r="F681" s="143" t="s">
        <v>168</v>
      </c>
      <c r="G681" s="143" t="s">
        <v>7542</v>
      </c>
      <c r="H681" s="143" t="s">
        <v>26</v>
      </c>
      <c r="I681" s="143" t="s">
        <v>176</v>
      </c>
      <c r="J681" s="143" t="s">
        <v>643</v>
      </c>
      <c r="K681" s="144">
        <f>1680+21000</f>
        <v>22680</v>
      </c>
      <c r="L681" s="145" t="s">
        <v>172</v>
      </c>
      <c r="M681" s="143" t="s">
        <v>6709</v>
      </c>
    </row>
    <row r="682" spans="1:13">
      <c r="A682" s="27" t="s">
        <v>6705</v>
      </c>
      <c r="B682" s="142" t="s">
        <v>8062</v>
      </c>
      <c r="C682" s="142" t="s">
        <v>7540</v>
      </c>
      <c r="D682" s="142" t="s">
        <v>8063</v>
      </c>
      <c r="E682" s="145">
        <v>1</v>
      </c>
      <c r="F682" s="143" t="s">
        <v>168</v>
      </c>
      <c r="G682" s="143" t="s">
        <v>7542</v>
      </c>
      <c r="H682" s="143" t="s">
        <v>26</v>
      </c>
      <c r="I682" s="143" t="s">
        <v>176</v>
      </c>
      <c r="J682" s="143" t="s">
        <v>643</v>
      </c>
      <c r="K682" s="144">
        <f>1.22*21000</f>
        <v>25620</v>
      </c>
      <c r="L682" s="145" t="s">
        <v>172</v>
      </c>
      <c r="M682" s="143" t="s">
        <v>6709</v>
      </c>
    </row>
    <row r="683" spans="1:13">
      <c r="A683" s="27" t="s">
        <v>6705</v>
      </c>
      <c r="B683" s="142" t="s">
        <v>8064</v>
      </c>
      <c r="C683" s="142" t="s">
        <v>7540</v>
      </c>
      <c r="D683" s="142" t="s">
        <v>8065</v>
      </c>
      <c r="E683" s="145">
        <v>1</v>
      </c>
      <c r="F683" s="143" t="s">
        <v>168</v>
      </c>
      <c r="G683" s="143" t="s">
        <v>7542</v>
      </c>
      <c r="H683" s="143" t="s">
        <v>26</v>
      </c>
      <c r="I683" s="143" t="s">
        <v>176</v>
      </c>
      <c r="J683" s="143" t="s">
        <v>643</v>
      </c>
      <c r="K683" s="144">
        <f>1.27*21000</f>
        <v>26670</v>
      </c>
      <c r="L683" s="145" t="s">
        <v>172</v>
      </c>
      <c r="M683" s="143" t="s">
        <v>6709</v>
      </c>
    </row>
    <row r="684" spans="1:13">
      <c r="A684" s="27" t="s">
        <v>6705</v>
      </c>
      <c r="B684" s="142" t="s">
        <v>8066</v>
      </c>
      <c r="C684" s="142" t="s">
        <v>7540</v>
      </c>
      <c r="D684" s="142" t="s">
        <v>8067</v>
      </c>
      <c r="E684" s="145">
        <v>1</v>
      </c>
      <c r="F684" s="143" t="s">
        <v>168</v>
      </c>
      <c r="G684" s="143" t="s">
        <v>7542</v>
      </c>
      <c r="H684" s="143" t="s">
        <v>26</v>
      </c>
      <c r="I684" s="143" t="s">
        <v>176</v>
      </c>
      <c r="J684" s="143" t="s">
        <v>643</v>
      </c>
      <c r="K684" s="144">
        <f>1.33*21000</f>
        <v>27930</v>
      </c>
      <c r="L684" s="145" t="s">
        <v>172</v>
      </c>
      <c r="M684" s="143" t="s">
        <v>6709</v>
      </c>
    </row>
    <row r="685" spans="1:13">
      <c r="A685" s="27" t="s">
        <v>6705</v>
      </c>
      <c r="B685" s="142" t="s">
        <v>8068</v>
      </c>
      <c r="C685" s="142" t="s">
        <v>7540</v>
      </c>
      <c r="D685" s="142" t="s">
        <v>8069</v>
      </c>
      <c r="E685" s="145">
        <v>1</v>
      </c>
      <c r="F685" s="143" t="s">
        <v>168</v>
      </c>
      <c r="G685" s="143" t="s">
        <v>7542</v>
      </c>
      <c r="H685" s="143" t="s">
        <v>26</v>
      </c>
      <c r="I685" s="143" t="s">
        <v>176</v>
      </c>
      <c r="J685" s="143" t="s">
        <v>643</v>
      </c>
      <c r="K685" s="144">
        <f>3603+45000</f>
        <v>48603</v>
      </c>
      <c r="L685" s="145" t="s">
        <v>172</v>
      </c>
      <c r="M685" s="143" t="s">
        <v>6709</v>
      </c>
    </row>
    <row r="686" spans="1:13">
      <c r="A686" s="27" t="s">
        <v>6705</v>
      </c>
      <c r="B686" s="142" t="s">
        <v>8070</v>
      </c>
      <c r="C686" s="142" t="s">
        <v>7540</v>
      </c>
      <c r="D686" s="142" t="s">
        <v>8071</v>
      </c>
      <c r="E686" s="145">
        <v>1</v>
      </c>
      <c r="F686" s="143" t="s">
        <v>168</v>
      </c>
      <c r="G686" s="143" t="s">
        <v>7542</v>
      </c>
      <c r="H686" s="143" t="s">
        <v>26</v>
      </c>
      <c r="I686" s="143" t="s">
        <v>176</v>
      </c>
      <c r="J686" s="143" t="s">
        <v>643</v>
      </c>
      <c r="K686" s="144">
        <f>1.22*45000</f>
        <v>54900</v>
      </c>
      <c r="L686" s="145" t="s">
        <v>172</v>
      </c>
      <c r="M686" s="143" t="s">
        <v>6709</v>
      </c>
    </row>
    <row r="687" spans="1:13">
      <c r="A687" s="27" t="s">
        <v>6705</v>
      </c>
      <c r="B687" s="142" t="s">
        <v>8072</v>
      </c>
      <c r="C687" s="142" t="s">
        <v>7540</v>
      </c>
      <c r="D687" s="142" t="s">
        <v>8073</v>
      </c>
      <c r="E687" s="145">
        <v>1</v>
      </c>
      <c r="F687" s="143" t="s">
        <v>168</v>
      </c>
      <c r="G687" s="143" t="s">
        <v>7542</v>
      </c>
      <c r="H687" s="143" t="s">
        <v>26</v>
      </c>
      <c r="I687" s="143" t="s">
        <v>176</v>
      </c>
      <c r="J687" s="143" t="s">
        <v>643</v>
      </c>
      <c r="K687" s="144">
        <f>1.27*45000</f>
        <v>57150</v>
      </c>
      <c r="L687" s="145" t="s">
        <v>172</v>
      </c>
      <c r="M687" s="143" t="s">
        <v>6709</v>
      </c>
    </row>
    <row r="688" spans="1:13">
      <c r="A688" s="27" t="s">
        <v>6705</v>
      </c>
      <c r="B688" s="142" t="s">
        <v>8074</v>
      </c>
      <c r="C688" s="142" t="s">
        <v>7540</v>
      </c>
      <c r="D688" s="142" t="s">
        <v>8075</v>
      </c>
      <c r="E688" s="145">
        <v>1</v>
      </c>
      <c r="F688" s="143" t="s">
        <v>168</v>
      </c>
      <c r="G688" s="143" t="s">
        <v>7542</v>
      </c>
      <c r="H688" s="143" t="s">
        <v>26</v>
      </c>
      <c r="I688" s="143" t="s">
        <v>176</v>
      </c>
      <c r="J688" s="143" t="s">
        <v>643</v>
      </c>
      <c r="K688" s="144">
        <f>1.33*45000</f>
        <v>59850</v>
      </c>
      <c r="L688" s="145" t="s">
        <v>172</v>
      </c>
      <c r="M688" s="143" t="s">
        <v>6709</v>
      </c>
    </row>
    <row r="689" spans="1:13">
      <c r="A689" s="27" t="s">
        <v>6705</v>
      </c>
      <c r="B689" s="142" t="s">
        <v>8076</v>
      </c>
      <c r="C689" s="142" t="s">
        <v>7540</v>
      </c>
      <c r="D689" s="142" t="s">
        <v>8077</v>
      </c>
      <c r="E689" s="145">
        <v>1</v>
      </c>
      <c r="F689" s="143" t="s">
        <v>168</v>
      </c>
      <c r="G689" s="143" t="s">
        <v>7542</v>
      </c>
      <c r="H689" s="143" t="s">
        <v>26</v>
      </c>
      <c r="I689" s="143" t="s">
        <v>176</v>
      </c>
      <c r="J689" s="143" t="s">
        <v>643</v>
      </c>
      <c r="K689" s="144">
        <f>5598+70000</f>
        <v>75598</v>
      </c>
      <c r="L689" s="145" t="s">
        <v>172</v>
      </c>
      <c r="M689" s="143" t="s">
        <v>6709</v>
      </c>
    </row>
    <row r="690" spans="1:13">
      <c r="A690" s="27" t="s">
        <v>6705</v>
      </c>
      <c r="B690" s="142" t="s">
        <v>8078</v>
      </c>
      <c r="C690" s="142" t="s">
        <v>7540</v>
      </c>
      <c r="D690" s="142" t="s">
        <v>8079</v>
      </c>
      <c r="E690" s="145">
        <v>1</v>
      </c>
      <c r="F690" s="143" t="s">
        <v>168</v>
      </c>
      <c r="G690" s="143" t="s">
        <v>7542</v>
      </c>
      <c r="H690" s="143" t="s">
        <v>26</v>
      </c>
      <c r="I690" s="143" t="s">
        <v>176</v>
      </c>
      <c r="J690" s="143" t="s">
        <v>643</v>
      </c>
      <c r="K690" s="144">
        <f>1.22*70000</f>
        <v>85400</v>
      </c>
      <c r="L690" s="145" t="s">
        <v>172</v>
      </c>
      <c r="M690" s="143" t="s">
        <v>6709</v>
      </c>
    </row>
    <row r="691" spans="1:13">
      <c r="A691" s="27" t="s">
        <v>6705</v>
      </c>
      <c r="B691" s="142" t="s">
        <v>8080</v>
      </c>
      <c r="C691" s="142" t="s">
        <v>7540</v>
      </c>
      <c r="D691" s="142" t="s">
        <v>8081</v>
      </c>
      <c r="E691" s="145">
        <v>1</v>
      </c>
      <c r="F691" s="143" t="s">
        <v>168</v>
      </c>
      <c r="G691" s="143" t="s">
        <v>7542</v>
      </c>
      <c r="H691" s="143" t="s">
        <v>26</v>
      </c>
      <c r="I691" s="143" t="s">
        <v>176</v>
      </c>
      <c r="J691" s="143" t="s">
        <v>643</v>
      </c>
      <c r="K691" s="144">
        <f>1.27*70000</f>
        <v>88900</v>
      </c>
      <c r="L691" s="145" t="s">
        <v>172</v>
      </c>
      <c r="M691" s="143" t="s">
        <v>6709</v>
      </c>
    </row>
    <row r="692" spans="1:13">
      <c r="A692" s="27" t="s">
        <v>6705</v>
      </c>
      <c r="B692" s="142" t="s">
        <v>8082</v>
      </c>
      <c r="C692" s="142" t="s">
        <v>7540</v>
      </c>
      <c r="D692" s="142" t="s">
        <v>8083</v>
      </c>
      <c r="E692" s="145">
        <v>1</v>
      </c>
      <c r="F692" s="143" t="s">
        <v>168</v>
      </c>
      <c r="G692" s="143" t="s">
        <v>7542</v>
      </c>
      <c r="H692" s="143" t="s">
        <v>26</v>
      </c>
      <c r="I692" s="143" t="s">
        <v>176</v>
      </c>
      <c r="J692" s="143" t="s">
        <v>643</v>
      </c>
      <c r="K692" s="144">
        <f>1.33*70000</f>
        <v>93100</v>
      </c>
      <c r="L692" s="145" t="s">
        <v>172</v>
      </c>
      <c r="M692" s="143" t="s">
        <v>6709</v>
      </c>
    </row>
    <row r="693" spans="1:13">
      <c r="A693" s="27" t="s">
        <v>6705</v>
      </c>
      <c r="B693" s="142" t="s">
        <v>8084</v>
      </c>
      <c r="C693" s="142" t="s">
        <v>7540</v>
      </c>
      <c r="D693" s="142" t="s">
        <v>8085</v>
      </c>
      <c r="E693" s="145">
        <v>1</v>
      </c>
      <c r="F693" s="143" t="s">
        <v>168</v>
      </c>
      <c r="G693" s="143" t="s">
        <v>7542</v>
      </c>
      <c r="H693" s="143" t="s">
        <v>26</v>
      </c>
      <c r="I693" s="143" t="s">
        <v>176</v>
      </c>
      <c r="J693" s="143" t="s">
        <v>643</v>
      </c>
      <c r="K693" s="144">
        <f>8805+110000</f>
        <v>118805</v>
      </c>
      <c r="L693" s="145" t="s">
        <v>172</v>
      </c>
      <c r="M693" s="143" t="s">
        <v>6709</v>
      </c>
    </row>
    <row r="694" spans="1:13">
      <c r="A694" s="27" t="s">
        <v>6705</v>
      </c>
      <c r="B694" s="142" t="s">
        <v>8086</v>
      </c>
      <c r="C694" s="142" t="s">
        <v>7540</v>
      </c>
      <c r="D694" s="142" t="s">
        <v>8087</v>
      </c>
      <c r="E694" s="145">
        <v>1</v>
      </c>
      <c r="F694" s="143" t="s">
        <v>168</v>
      </c>
      <c r="G694" s="143" t="s">
        <v>7542</v>
      </c>
      <c r="H694" s="143" t="s">
        <v>26</v>
      </c>
      <c r="I694" s="143" t="s">
        <v>176</v>
      </c>
      <c r="J694" s="143" t="s">
        <v>643</v>
      </c>
      <c r="K694" s="144">
        <f>1.22*110000</f>
        <v>134200</v>
      </c>
      <c r="L694" s="145" t="s">
        <v>172</v>
      </c>
      <c r="M694" s="143" t="s">
        <v>6709</v>
      </c>
    </row>
    <row r="695" spans="1:13">
      <c r="A695" s="27" t="s">
        <v>6705</v>
      </c>
      <c r="B695" s="142" t="s">
        <v>8088</v>
      </c>
      <c r="C695" s="142" t="s">
        <v>7540</v>
      </c>
      <c r="D695" s="142" t="s">
        <v>8089</v>
      </c>
      <c r="E695" s="145">
        <v>1</v>
      </c>
      <c r="F695" s="143" t="s">
        <v>168</v>
      </c>
      <c r="G695" s="143" t="s">
        <v>7542</v>
      </c>
      <c r="H695" s="143" t="s">
        <v>26</v>
      </c>
      <c r="I695" s="143" t="s">
        <v>176</v>
      </c>
      <c r="J695" s="143" t="s">
        <v>643</v>
      </c>
      <c r="K695" s="144">
        <f>1.27*110000</f>
        <v>139700</v>
      </c>
      <c r="L695" s="145" t="s">
        <v>172</v>
      </c>
      <c r="M695" s="143" t="s">
        <v>6709</v>
      </c>
    </row>
    <row r="696" spans="1:13">
      <c r="A696" s="27" t="s">
        <v>6705</v>
      </c>
      <c r="B696" s="142" t="s">
        <v>8090</v>
      </c>
      <c r="C696" s="142" t="s">
        <v>7540</v>
      </c>
      <c r="D696" s="142" t="s">
        <v>8091</v>
      </c>
      <c r="E696" s="145">
        <v>1</v>
      </c>
      <c r="F696" s="143" t="s">
        <v>168</v>
      </c>
      <c r="G696" s="143" t="s">
        <v>7542</v>
      </c>
      <c r="H696" s="143" t="s">
        <v>26</v>
      </c>
      <c r="I696" s="143" t="s">
        <v>176</v>
      </c>
      <c r="J696" s="143" t="s">
        <v>643</v>
      </c>
      <c r="K696" s="144">
        <f>1.33*110000</f>
        <v>146300</v>
      </c>
      <c r="L696" s="145" t="s">
        <v>172</v>
      </c>
      <c r="M696" s="143" t="s">
        <v>6709</v>
      </c>
    </row>
    <row r="697" spans="1:13">
      <c r="A697" s="27" t="s">
        <v>6705</v>
      </c>
      <c r="B697" s="142" t="s">
        <v>8092</v>
      </c>
      <c r="C697" s="142" t="s">
        <v>7540</v>
      </c>
      <c r="D697" s="142" t="s">
        <v>8093</v>
      </c>
      <c r="E697" s="145">
        <v>1</v>
      </c>
      <c r="F697" s="143" t="s">
        <v>168</v>
      </c>
      <c r="G697" s="143" t="s">
        <v>7542</v>
      </c>
      <c r="H697" s="143" t="s">
        <v>26</v>
      </c>
      <c r="I697" s="143" t="s">
        <v>176</v>
      </c>
      <c r="J697" s="143" t="s">
        <v>643</v>
      </c>
      <c r="K697" s="144">
        <f>18002+225000</f>
        <v>243002</v>
      </c>
      <c r="L697" s="145" t="s">
        <v>172</v>
      </c>
      <c r="M697" s="143" t="s">
        <v>6709</v>
      </c>
    </row>
    <row r="698" spans="1:13">
      <c r="A698" s="27" t="s">
        <v>6705</v>
      </c>
      <c r="B698" s="142" t="s">
        <v>8094</v>
      </c>
      <c r="C698" s="142" t="s">
        <v>7540</v>
      </c>
      <c r="D698" s="142" t="s">
        <v>8095</v>
      </c>
      <c r="E698" s="145">
        <v>1</v>
      </c>
      <c r="F698" s="143" t="s">
        <v>168</v>
      </c>
      <c r="G698" s="143" t="s">
        <v>7542</v>
      </c>
      <c r="H698" s="143" t="s">
        <v>26</v>
      </c>
      <c r="I698" s="143" t="s">
        <v>176</v>
      </c>
      <c r="J698" s="143" t="s">
        <v>643</v>
      </c>
      <c r="K698" s="144">
        <f>1.22*225000</f>
        <v>274500</v>
      </c>
      <c r="L698" s="145" t="s">
        <v>172</v>
      </c>
      <c r="M698" s="143" t="s">
        <v>6709</v>
      </c>
    </row>
    <row r="699" spans="1:13">
      <c r="A699" s="27" t="s">
        <v>6705</v>
      </c>
      <c r="B699" s="142" t="s">
        <v>8096</v>
      </c>
      <c r="C699" s="142" t="s">
        <v>7540</v>
      </c>
      <c r="D699" s="142" t="s">
        <v>8097</v>
      </c>
      <c r="E699" s="145">
        <v>1</v>
      </c>
      <c r="F699" s="143" t="s">
        <v>168</v>
      </c>
      <c r="G699" s="143" t="s">
        <v>7542</v>
      </c>
      <c r="H699" s="143" t="s">
        <v>26</v>
      </c>
      <c r="I699" s="143" t="s">
        <v>176</v>
      </c>
      <c r="J699" s="143" t="s">
        <v>643</v>
      </c>
      <c r="K699" s="144">
        <f>1.27*225000</f>
        <v>285750</v>
      </c>
      <c r="L699" s="145" t="s">
        <v>172</v>
      </c>
      <c r="M699" s="143" t="s">
        <v>6709</v>
      </c>
    </row>
    <row r="700" spans="1:13">
      <c r="A700" s="27" t="s">
        <v>6705</v>
      </c>
      <c r="B700" s="142" t="s">
        <v>8098</v>
      </c>
      <c r="C700" s="142" t="s">
        <v>7540</v>
      </c>
      <c r="D700" s="142" t="s">
        <v>8099</v>
      </c>
      <c r="E700" s="145">
        <v>1</v>
      </c>
      <c r="F700" s="143" t="s">
        <v>168</v>
      </c>
      <c r="G700" s="143" t="s">
        <v>7542</v>
      </c>
      <c r="H700" s="143" t="s">
        <v>26</v>
      </c>
      <c r="I700" s="143" t="s">
        <v>176</v>
      </c>
      <c r="J700" s="143" t="s">
        <v>643</v>
      </c>
      <c r="K700" s="144">
        <f>1.33*225000</f>
        <v>299250</v>
      </c>
      <c r="L700" s="145" t="s">
        <v>172</v>
      </c>
      <c r="M700" s="143" t="s">
        <v>6709</v>
      </c>
    </row>
    <row r="701" spans="1:13">
      <c r="A701" s="27" t="s">
        <v>6705</v>
      </c>
      <c r="B701" s="142" t="s">
        <v>8100</v>
      </c>
      <c r="C701" s="142" t="s">
        <v>7540</v>
      </c>
      <c r="D701" s="142" t="s">
        <v>8101</v>
      </c>
      <c r="E701" s="145">
        <v>1</v>
      </c>
      <c r="F701" s="143" t="s">
        <v>168</v>
      </c>
      <c r="G701" s="143" t="s">
        <v>7542</v>
      </c>
      <c r="H701" s="143" t="s">
        <v>26</v>
      </c>
      <c r="I701" s="143" t="s">
        <v>176</v>
      </c>
      <c r="J701" s="143" t="s">
        <v>643</v>
      </c>
      <c r="K701" s="144">
        <f>32004+400000</f>
        <v>432004</v>
      </c>
      <c r="L701" s="145" t="s">
        <v>172</v>
      </c>
      <c r="M701" s="143" t="s">
        <v>6709</v>
      </c>
    </row>
    <row r="702" spans="1:13">
      <c r="A702" s="27" t="s">
        <v>6705</v>
      </c>
      <c r="B702" s="142" t="s">
        <v>8102</v>
      </c>
      <c r="C702" s="142" t="s">
        <v>7540</v>
      </c>
      <c r="D702" s="142" t="s">
        <v>8103</v>
      </c>
      <c r="E702" s="145">
        <v>1</v>
      </c>
      <c r="F702" s="143" t="s">
        <v>168</v>
      </c>
      <c r="G702" s="143" t="s">
        <v>7542</v>
      </c>
      <c r="H702" s="143" t="s">
        <v>26</v>
      </c>
      <c r="I702" s="143" t="s">
        <v>176</v>
      </c>
      <c r="J702" s="143" t="s">
        <v>643</v>
      </c>
      <c r="K702" s="144">
        <f>1.22*400000</f>
        <v>488000</v>
      </c>
      <c r="L702" s="145" t="s">
        <v>172</v>
      </c>
      <c r="M702" s="143" t="s">
        <v>6709</v>
      </c>
    </row>
    <row r="703" spans="1:13">
      <c r="A703" s="27" t="s">
        <v>6705</v>
      </c>
      <c r="B703" s="142" t="s">
        <v>8104</v>
      </c>
      <c r="C703" s="142" t="s">
        <v>7540</v>
      </c>
      <c r="D703" s="142" t="s">
        <v>8105</v>
      </c>
      <c r="E703" s="145">
        <v>1</v>
      </c>
      <c r="F703" s="143" t="s">
        <v>168</v>
      </c>
      <c r="G703" s="143" t="s">
        <v>7542</v>
      </c>
      <c r="H703" s="143" t="s">
        <v>26</v>
      </c>
      <c r="I703" s="143" t="s">
        <v>176</v>
      </c>
      <c r="J703" s="143" t="s">
        <v>643</v>
      </c>
      <c r="K703" s="144">
        <f>1.27*400000</f>
        <v>508000</v>
      </c>
      <c r="L703" s="145" t="s">
        <v>172</v>
      </c>
      <c r="M703" s="143" t="s">
        <v>6709</v>
      </c>
    </row>
    <row r="704" spans="1:13">
      <c r="A704" s="27" t="s">
        <v>6705</v>
      </c>
      <c r="B704" s="142" t="s">
        <v>8106</v>
      </c>
      <c r="C704" s="142" t="s">
        <v>7540</v>
      </c>
      <c r="D704" s="142" t="s">
        <v>8107</v>
      </c>
      <c r="E704" s="145">
        <v>1</v>
      </c>
      <c r="F704" s="143" t="s">
        <v>168</v>
      </c>
      <c r="G704" s="143" t="s">
        <v>7542</v>
      </c>
      <c r="H704" s="143" t="s">
        <v>26</v>
      </c>
      <c r="I704" s="143" t="s">
        <v>176</v>
      </c>
      <c r="J704" s="143" t="s">
        <v>643</v>
      </c>
      <c r="K704" s="144">
        <f>1.33*400000</f>
        <v>532000</v>
      </c>
      <c r="L704" s="145" t="s">
        <v>172</v>
      </c>
      <c r="M704" s="143" t="s">
        <v>6709</v>
      </c>
    </row>
    <row r="705" spans="1:13">
      <c r="A705" s="27" t="s">
        <v>6705</v>
      </c>
      <c r="B705" s="142" t="s">
        <v>8108</v>
      </c>
      <c r="C705" s="142" t="s">
        <v>7540</v>
      </c>
      <c r="D705" s="142" t="s">
        <v>8109</v>
      </c>
      <c r="E705" s="145">
        <v>1</v>
      </c>
      <c r="F705" s="143" t="s">
        <v>168</v>
      </c>
      <c r="G705" s="143" t="s">
        <v>7542</v>
      </c>
      <c r="H705" s="143" t="s">
        <v>26</v>
      </c>
      <c r="I705" s="143" t="s">
        <v>176</v>
      </c>
      <c r="J705" s="143" t="s">
        <v>643</v>
      </c>
      <c r="K705" s="144">
        <f>56003+700000</f>
        <v>756003</v>
      </c>
      <c r="L705" s="145" t="s">
        <v>172</v>
      </c>
      <c r="M705" s="143" t="s">
        <v>6709</v>
      </c>
    </row>
    <row r="706" spans="1:13">
      <c r="A706" s="27" t="s">
        <v>6705</v>
      </c>
      <c r="B706" s="142" t="s">
        <v>8110</v>
      </c>
      <c r="C706" s="142" t="s">
        <v>7540</v>
      </c>
      <c r="D706" s="142" t="s">
        <v>8111</v>
      </c>
      <c r="E706" s="145">
        <v>1</v>
      </c>
      <c r="F706" s="143" t="s">
        <v>168</v>
      </c>
      <c r="G706" s="143" t="s">
        <v>7542</v>
      </c>
      <c r="H706" s="143" t="s">
        <v>26</v>
      </c>
      <c r="I706" s="143" t="s">
        <v>176</v>
      </c>
      <c r="J706" s="143" t="s">
        <v>643</v>
      </c>
      <c r="K706" s="144">
        <f>1.22*700000</f>
        <v>854000</v>
      </c>
      <c r="L706" s="145" t="s">
        <v>172</v>
      </c>
      <c r="M706" s="143" t="s">
        <v>6709</v>
      </c>
    </row>
    <row r="707" spans="1:13">
      <c r="A707" s="27" t="s">
        <v>6705</v>
      </c>
      <c r="B707" s="142" t="s">
        <v>8112</v>
      </c>
      <c r="C707" s="142" t="s">
        <v>7540</v>
      </c>
      <c r="D707" s="142" t="s">
        <v>8113</v>
      </c>
      <c r="E707" s="145">
        <v>1</v>
      </c>
      <c r="F707" s="143" t="s">
        <v>168</v>
      </c>
      <c r="G707" s="143" t="s">
        <v>7542</v>
      </c>
      <c r="H707" s="143" t="s">
        <v>26</v>
      </c>
      <c r="I707" s="143" t="s">
        <v>176</v>
      </c>
      <c r="J707" s="143" t="s">
        <v>643</v>
      </c>
      <c r="K707" s="144">
        <f>1.27*700000</f>
        <v>889000</v>
      </c>
      <c r="L707" s="145" t="s">
        <v>172</v>
      </c>
      <c r="M707" s="143" t="s">
        <v>6709</v>
      </c>
    </row>
    <row r="708" spans="1:13">
      <c r="A708" s="27" t="s">
        <v>6705</v>
      </c>
      <c r="B708" s="142" t="s">
        <v>8114</v>
      </c>
      <c r="C708" s="142" t="s">
        <v>7540</v>
      </c>
      <c r="D708" s="142" t="s">
        <v>8115</v>
      </c>
      <c r="E708" s="145">
        <v>1</v>
      </c>
      <c r="F708" s="143" t="s">
        <v>168</v>
      </c>
      <c r="G708" s="143" t="s">
        <v>7542</v>
      </c>
      <c r="H708" s="143" t="s">
        <v>26</v>
      </c>
      <c r="I708" s="143" t="s">
        <v>176</v>
      </c>
      <c r="J708" s="143" t="s">
        <v>643</v>
      </c>
      <c r="K708" s="144">
        <f>1.33*700000</f>
        <v>931000</v>
      </c>
      <c r="L708" s="145" t="s">
        <v>172</v>
      </c>
      <c r="M708" s="143" t="s">
        <v>6709</v>
      </c>
    </row>
    <row r="709" spans="1:13">
      <c r="A709" s="27" t="s">
        <v>6705</v>
      </c>
      <c r="B709" s="142" t="s">
        <v>8116</v>
      </c>
      <c r="C709" s="142" t="s">
        <v>7540</v>
      </c>
      <c r="D709" s="142" t="s">
        <v>8117</v>
      </c>
      <c r="E709" s="145">
        <v>1</v>
      </c>
      <c r="F709" s="143" t="s">
        <v>168</v>
      </c>
      <c r="G709" s="143" t="s">
        <v>7542</v>
      </c>
      <c r="H709" s="143" t="s">
        <v>26</v>
      </c>
      <c r="I709" s="143" t="s">
        <v>176</v>
      </c>
      <c r="J709" s="143" t="s">
        <v>643</v>
      </c>
      <c r="K709" s="144">
        <v>2450</v>
      </c>
      <c r="L709" s="145" t="s">
        <v>172</v>
      </c>
      <c r="M709" s="143" t="s">
        <v>6709</v>
      </c>
    </row>
    <row r="710" spans="1:13">
      <c r="A710" s="27" t="s">
        <v>6705</v>
      </c>
      <c r="B710" s="142" t="s">
        <v>8118</v>
      </c>
      <c r="C710" s="142" t="s">
        <v>7540</v>
      </c>
      <c r="D710" s="142" t="s">
        <v>8119</v>
      </c>
      <c r="E710" s="145">
        <v>1</v>
      </c>
      <c r="F710" s="143" t="s">
        <v>168</v>
      </c>
      <c r="G710" s="143" t="s">
        <v>7542</v>
      </c>
      <c r="H710" s="143" t="s">
        <v>26</v>
      </c>
      <c r="I710" s="143" t="s">
        <v>176</v>
      </c>
      <c r="J710" s="143" t="s">
        <v>643</v>
      </c>
      <c r="K710" s="144">
        <v>9100</v>
      </c>
      <c r="L710" s="145" t="s">
        <v>172</v>
      </c>
      <c r="M710" s="143" t="s">
        <v>6709</v>
      </c>
    </row>
    <row r="711" spans="1:13">
      <c r="A711" s="27" t="s">
        <v>6705</v>
      </c>
      <c r="B711" s="150" t="s">
        <v>8120</v>
      </c>
      <c r="C711" s="150" t="s">
        <v>7540</v>
      </c>
      <c r="D711" s="142" t="s">
        <v>8121</v>
      </c>
      <c r="E711" s="145">
        <v>1</v>
      </c>
      <c r="F711" s="143" t="s">
        <v>168</v>
      </c>
      <c r="G711" s="143" t="s">
        <v>7542</v>
      </c>
      <c r="H711" s="143" t="s">
        <v>26</v>
      </c>
      <c r="I711" s="143" t="s">
        <v>176</v>
      </c>
      <c r="J711" s="143" t="s">
        <v>643</v>
      </c>
      <c r="K711" s="144">
        <v>14700</v>
      </c>
      <c r="L711" s="145" t="s">
        <v>172</v>
      </c>
      <c r="M711" s="143" t="s">
        <v>6709</v>
      </c>
    </row>
    <row r="712" spans="1:13">
      <c r="A712" s="27" t="s">
        <v>6705</v>
      </c>
      <c r="B712" s="150" t="s">
        <v>8122</v>
      </c>
      <c r="C712" s="150" t="s">
        <v>7540</v>
      </c>
      <c r="D712" s="142" t="s">
        <v>8123</v>
      </c>
      <c r="E712" s="145">
        <v>1</v>
      </c>
      <c r="F712" s="143" t="s">
        <v>168</v>
      </c>
      <c r="G712" s="143" t="s">
        <v>7542</v>
      </c>
      <c r="H712" s="143" t="s">
        <v>26</v>
      </c>
      <c r="I712" s="143" t="s">
        <v>176</v>
      </c>
      <c r="J712" s="143" t="s">
        <v>643</v>
      </c>
      <c r="K712" s="144">
        <v>31500</v>
      </c>
      <c r="L712" s="145" t="s">
        <v>172</v>
      </c>
      <c r="M712" s="143" t="s">
        <v>6709</v>
      </c>
    </row>
    <row r="713" spans="1:13">
      <c r="A713" s="27" t="s">
        <v>6705</v>
      </c>
      <c r="B713" s="150" t="s">
        <v>8124</v>
      </c>
      <c r="C713" s="150" t="s">
        <v>7540</v>
      </c>
      <c r="D713" s="142" t="s">
        <v>8125</v>
      </c>
      <c r="E713" s="145">
        <v>1</v>
      </c>
      <c r="F713" s="143" t="s">
        <v>168</v>
      </c>
      <c r="G713" s="143" t="s">
        <v>7542</v>
      </c>
      <c r="H713" s="143" t="s">
        <v>26</v>
      </c>
      <c r="I713" s="143" t="s">
        <v>176</v>
      </c>
      <c r="J713" s="143" t="s">
        <v>643</v>
      </c>
      <c r="K713" s="144">
        <v>49000</v>
      </c>
      <c r="L713" s="145" t="s">
        <v>172</v>
      </c>
      <c r="M713" s="143" t="s">
        <v>6709</v>
      </c>
    </row>
    <row r="714" spans="1:13">
      <c r="A714" s="27" t="s">
        <v>6705</v>
      </c>
      <c r="B714" s="150" t="s">
        <v>8126</v>
      </c>
      <c r="C714" s="150" t="s">
        <v>7540</v>
      </c>
      <c r="D714" s="142" t="s">
        <v>8127</v>
      </c>
      <c r="E714" s="145">
        <v>1</v>
      </c>
      <c r="F714" s="143" t="s">
        <v>168</v>
      </c>
      <c r="G714" s="143" t="s">
        <v>7542</v>
      </c>
      <c r="H714" s="143" t="s">
        <v>26</v>
      </c>
      <c r="I714" s="143" t="s">
        <v>176</v>
      </c>
      <c r="J714" s="143" t="s">
        <v>643</v>
      </c>
      <c r="K714" s="144">
        <v>77000</v>
      </c>
      <c r="L714" s="145" t="s">
        <v>172</v>
      </c>
      <c r="M714" s="143" t="s">
        <v>6709</v>
      </c>
    </row>
    <row r="715" spans="1:13">
      <c r="A715" s="27" t="s">
        <v>6705</v>
      </c>
      <c r="B715" s="150" t="s">
        <v>8128</v>
      </c>
      <c r="C715" s="150" t="s">
        <v>7540</v>
      </c>
      <c r="D715" s="142" t="s">
        <v>8129</v>
      </c>
      <c r="E715" s="145">
        <v>1</v>
      </c>
      <c r="F715" s="143" t="s">
        <v>168</v>
      </c>
      <c r="G715" s="143" t="s">
        <v>7542</v>
      </c>
      <c r="H715" s="143" t="s">
        <v>26</v>
      </c>
      <c r="I715" s="143" t="s">
        <v>176</v>
      </c>
      <c r="J715" s="143" t="s">
        <v>643</v>
      </c>
      <c r="K715" s="144">
        <v>157500</v>
      </c>
      <c r="L715" s="145" t="s">
        <v>172</v>
      </c>
      <c r="M715" s="143" t="s">
        <v>6709</v>
      </c>
    </row>
    <row r="716" spans="1:13">
      <c r="A716" s="27" t="s">
        <v>6705</v>
      </c>
      <c r="B716" s="150" t="s">
        <v>8130</v>
      </c>
      <c r="C716" s="150" t="s">
        <v>7540</v>
      </c>
      <c r="D716" s="142" t="s">
        <v>8131</v>
      </c>
      <c r="E716" s="145">
        <v>1</v>
      </c>
      <c r="F716" s="143" t="s">
        <v>168</v>
      </c>
      <c r="G716" s="143" t="s">
        <v>7542</v>
      </c>
      <c r="H716" s="143" t="s">
        <v>26</v>
      </c>
      <c r="I716" s="143" t="s">
        <v>176</v>
      </c>
      <c r="J716" s="143" t="s">
        <v>643</v>
      </c>
      <c r="K716" s="144">
        <v>280000</v>
      </c>
      <c r="L716" s="145" t="s">
        <v>172</v>
      </c>
      <c r="M716" s="143" t="s">
        <v>6709</v>
      </c>
    </row>
    <row r="717" spans="1:13">
      <c r="A717" s="27" t="s">
        <v>6705</v>
      </c>
      <c r="B717" s="150" t="s">
        <v>8132</v>
      </c>
      <c r="C717" s="150" t="s">
        <v>7540</v>
      </c>
      <c r="D717" s="142" t="s">
        <v>8133</v>
      </c>
      <c r="E717" s="145">
        <v>1</v>
      </c>
      <c r="F717" s="143" t="s">
        <v>168</v>
      </c>
      <c r="G717" s="143" t="s">
        <v>7542</v>
      </c>
      <c r="H717" s="143" t="s">
        <v>26</v>
      </c>
      <c r="I717" s="143" t="s">
        <v>176</v>
      </c>
      <c r="J717" s="143" t="s">
        <v>643</v>
      </c>
      <c r="K717" s="144">
        <v>490000</v>
      </c>
      <c r="L717" s="145" t="s">
        <v>172</v>
      </c>
      <c r="M717" s="143" t="s">
        <v>6709</v>
      </c>
    </row>
    <row r="718" spans="1:13">
      <c r="A718" s="27" t="s">
        <v>6705</v>
      </c>
      <c r="B718" s="150" t="s">
        <v>8134</v>
      </c>
      <c r="C718" s="150" t="s">
        <v>7540</v>
      </c>
      <c r="D718" s="142" t="s">
        <v>8135</v>
      </c>
      <c r="E718" s="145">
        <v>1</v>
      </c>
      <c r="F718" s="143" t="s">
        <v>168</v>
      </c>
      <c r="G718" s="143" t="s">
        <v>7542</v>
      </c>
      <c r="H718" s="143" t="s">
        <v>26</v>
      </c>
      <c r="I718" s="143" t="s">
        <v>176</v>
      </c>
      <c r="J718" s="143" t="s">
        <v>643</v>
      </c>
      <c r="K718" s="144">
        <v>6125</v>
      </c>
      <c r="L718" s="145" t="s">
        <v>172</v>
      </c>
      <c r="M718" s="143" t="s">
        <v>6709</v>
      </c>
    </row>
    <row r="719" spans="1:13">
      <c r="A719" s="27" t="s">
        <v>6705</v>
      </c>
      <c r="B719" s="150" t="s">
        <v>8136</v>
      </c>
      <c r="C719" s="150" t="s">
        <v>7540</v>
      </c>
      <c r="D719" s="142" t="s">
        <v>8137</v>
      </c>
      <c r="E719" s="145">
        <v>1</v>
      </c>
      <c r="F719" s="143" t="s">
        <v>168</v>
      </c>
      <c r="G719" s="143" t="s">
        <v>7542</v>
      </c>
      <c r="H719" s="143" t="s">
        <v>26</v>
      </c>
      <c r="I719" s="143" t="s">
        <v>176</v>
      </c>
      <c r="J719" s="143" t="s">
        <v>643</v>
      </c>
      <c r="K719" s="144">
        <v>22750</v>
      </c>
      <c r="L719" s="145" t="s">
        <v>172</v>
      </c>
      <c r="M719" s="143" t="s">
        <v>6709</v>
      </c>
    </row>
    <row r="720" spans="1:13">
      <c r="A720" s="27" t="s">
        <v>6705</v>
      </c>
      <c r="B720" s="150" t="s">
        <v>8138</v>
      </c>
      <c r="C720" s="150" t="s">
        <v>7540</v>
      </c>
      <c r="D720" s="142" t="s">
        <v>8139</v>
      </c>
      <c r="E720" s="145">
        <v>1</v>
      </c>
      <c r="F720" s="143" t="s">
        <v>168</v>
      </c>
      <c r="G720" s="143" t="s">
        <v>7542</v>
      </c>
      <c r="H720" s="143" t="s">
        <v>26</v>
      </c>
      <c r="I720" s="143" t="s">
        <v>176</v>
      </c>
      <c r="J720" s="143" t="s">
        <v>643</v>
      </c>
      <c r="K720" s="144">
        <v>36750</v>
      </c>
      <c r="L720" s="145" t="s">
        <v>172</v>
      </c>
      <c r="M720" s="143" t="s">
        <v>6709</v>
      </c>
    </row>
    <row r="721" spans="1:13">
      <c r="A721" s="27" t="s">
        <v>6705</v>
      </c>
      <c r="B721" s="150" t="s">
        <v>8140</v>
      </c>
      <c r="C721" s="150" t="s">
        <v>7540</v>
      </c>
      <c r="D721" s="142" t="s">
        <v>8141</v>
      </c>
      <c r="E721" s="145">
        <v>1</v>
      </c>
      <c r="F721" s="143" t="s">
        <v>168</v>
      </c>
      <c r="G721" s="143" t="s">
        <v>7542</v>
      </c>
      <c r="H721" s="143" t="s">
        <v>26</v>
      </c>
      <c r="I721" s="143" t="s">
        <v>176</v>
      </c>
      <c r="J721" s="143" t="s">
        <v>643</v>
      </c>
      <c r="K721" s="144">
        <v>78750</v>
      </c>
      <c r="L721" s="145" t="s">
        <v>172</v>
      </c>
      <c r="M721" s="143" t="s">
        <v>6709</v>
      </c>
    </row>
    <row r="722" spans="1:13">
      <c r="A722" s="27" t="s">
        <v>6705</v>
      </c>
      <c r="B722" s="150" t="s">
        <v>8142</v>
      </c>
      <c r="C722" s="150" t="s">
        <v>7540</v>
      </c>
      <c r="D722" s="142" t="s">
        <v>8143</v>
      </c>
      <c r="E722" s="145">
        <v>1</v>
      </c>
      <c r="F722" s="143" t="s">
        <v>168</v>
      </c>
      <c r="G722" s="143" t="s">
        <v>7542</v>
      </c>
      <c r="H722" s="143" t="s">
        <v>26</v>
      </c>
      <c r="I722" s="143" t="s">
        <v>176</v>
      </c>
      <c r="J722" s="143" t="s">
        <v>643</v>
      </c>
      <c r="K722" s="144">
        <v>122500</v>
      </c>
      <c r="L722" s="145" t="s">
        <v>172</v>
      </c>
      <c r="M722" s="143" t="s">
        <v>6709</v>
      </c>
    </row>
    <row r="723" spans="1:13">
      <c r="A723" s="27" t="s">
        <v>6705</v>
      </c>
      <c r="B723" s="150" t="s">
        <v>8144</v>
      </c>
      <c r="C723" s="150" t="s">
        <v>7540</v>
      </c>
      <c r="D723" s="142" t="s">
        <v>8145</v>
      </c>
      <c r="E723" s="145">
        <v>1</v>
      </c>
      <c r="F723" s="143" t="s">
        <v>168</v>
      </c>
      <c r="G723" s="143" t="s">
        <v>7542</v>
      </c>
      <c r="H723" s="143" t="s">
        <v>26</v>
      </c>
      <c r="I723" s="143" t="s">
        <v>176</v>
      </c>
      <c r="J723" s="143" t="s">
        <v>643</v>
      </c>
      <c r="K723" s="144">
        <v>192500</v>
      </c>
      <c r="L723" s="145" t="s">
        <v>172</v>
      </c>
      <c r="M723" s="143" t="s">
        <v>6709</v>
      </c>
    </row>
    <row r="724" spans="1:13">
      <c r="A724" s="27" t="s">
        <v>6705</v>
      </c>
      <c r="B724" s="150" t="s">
        <v>8146</v>
      </c>
      <c r="C724" s="150" t="s">
        <v>7540</v>
      </c>
      <c r="D724" s="142" t="s">
        <v>8147</v>
      </c>
      <c r="E724" s="145">
        <v>1</v>
      </c>
      <c r="F724" s="143" t="s">
        <v>168</v>
      </c>
      <c r="G724" s="143" t="s">
        <v>7542</v>
      </c>
      <c r="H724" s="143" t="s">
        <v>26</v>
      </c>
      <c r="I724" s="143" t="s">
        <v>176</v>
      </c>
      <c r="J724" s="143" t="s">
        <v>643</v>
      </c>
      <c r="K724" s="144">
        <v>393750</v>
      </c>
      <c r="L724" s="145" t="s">
        <v>172</v>
      </c>
      <c r="M724" s="143" t="s">
        <v>6709</v>
      </c>
    </row>
    <row r="725" spans="1:13">
      <c r="A725" s="27" t="s">
        <v>6705</v>
      </c>
      <c r="B725" s="150" t="s">
        <v>8148</v>
      </c>
      <c r="C725" s="150" t="s">
        <v>7540</v>
      </c>
      <c r="D725" s="142" t="s">
        <v>8149</v>
      </c>
      <c r="E725" s="145">
        <v>1</v>
      </c>
      <c r="F725" s="143" t="s">
        <v>168</v>
      </c>
      <c r="G725" s="143" t="s">
        <v>7542</v>
      </c>
      <c r="H725" s="143" t="s">
        <v>26</v>
      </c>
      <c r="I725" s="143" t="s">
        <v>176</v>
      </c>
      <c r="J725" s="143" t="s">
        <v>643</v>
      </c>
      <c r="K725" s="144">
        <v>700000</v>
      </c>
      <c r="L725" s="145" t="s">
        <v>172</v>
      </c>
      <c r="M725" s="143" t="s">
        <v>6709</v>
      </c>
    </row>
    <row r="726" spans="1:13">
      <c r="A726" s="27" t="s">
        <v>6705</v>
      </c>
      <c r="B726" s="150" t="s">
        <v>8150</v>
      </c>
      <c r="C726" s="150" t="s">
        <v>7540</v>
      </c>
      <c r="D726" s="142" t="s">
        <v>8151</v>
      </c>
      <c r="E726" s="145">
        <v>1</v>
      </c>
      <c r="F726" s="143" t="s">
        <v>168</v>
      </c>
      <c r="G726" s="143" t="s">
        <v>7542</v>
      </c>
      <c r="H726" s="143" t="s">
        <v>26</v>
      </c>
      <c r="I726" s="143" t="s">
        <v>176</v>
      </c>
      <c r="J726" s="143" t="s">
        <v>643</v>
      </c>
      <c r="K726" s="144">
        <v>1225000</v>
      </c>
      <c r="L726" s="145" t="s">
        <v>172</v>
      </c>
      <c r="M726" s="143" t="s">
        <v>6709</v>
      </c>
    </row>
    <row r="727" spans="1:13">
      <c r="A727" s="27" t="s">
        <v>6705</v>
      </c>
      <c r="B727" s="150" t="s">
        <v>8152</v>
      </c>
      <c r="C727" s="150" t="s">
        <v>7540</v>
      </c>
      <c r="D727" s="142" t="s">
        <v>8153</v>
      </c>
      <c r="E727" s="145">
        <v>1</v>
      </c>
      <c r="F727" s="143" t="s">
        <v>168</v>
      </c>
      <c r="G727" s="143" t="s">
        <v>7542</v>
      </c>
      <c r="H727" s="143" t="s">
        <v>26</v>
      </c>
      <c r="I727" s="143" t="s">
        <v>176</v>
      </c>
      <c r="J727" s="143" t="s">
        <v>643</v>
      </c>
      <c r="K727" s="144">
        <v>9800</v>
      </c>
      <c r="L727" s="145" t="s">
        <v>172</v>
      </c>
      <c r="M727" s="143" t="s">
        <v>6709</v>
      </c>
    </row>
    <row r="728" spans="1:13">
      <c r="A728" s="27" t="s">
        <v>6705</v>
      </c>
      <c r="B728" s="150" t="s">
        <v>8154</v>
      </c>
      <c r="C728" s="150" t="s">
        <v>7540</v>
      </c>
      <c r="D728" s="142" t="s">
        <v>8155</v>
      </c>
      <c r="E728" s="145">
        <v>1</v>
      </c>
      <c r="F728" s="143" t="s">
        <v>168</v>
      </c>
      <c r="G728" s="143" t="s">
        <v>7542</v>
      </c>
      <c r="H728" s="143" t="s">
        <v>26</v>
      </c>
      <c r="I728" s="143" t="s">
        <v>176</v>
      </c>
      <c r="J728" s="143" t="s">
        <v>643</v>
      </c>
      <c r="K728" s="144">
        <v>36400</v>
      </c>
      <c r="L728" s="145" t="s">
        <v>172</v>
      </c>
      <c r="M728" s="143" t="s">
        <v>6709</v>
      </c>
    </row>
    <row r="729" spans="1:13">
      <c r="A729" s="27" t="s">
        <v>6705</v>
      </c>
      <c r="B729" s="150" t="s">
        <v>8156</v>
      </c>
      <c r="C729" s="150" t="s">
        <v>7540</v>
      </c>
      <c r="D729" s="142" t="s">
        <v>8157</v>
      </c>
      <c r="E729" s="145">
        <v>1</v>
      </c>
      <c r="F729" s="143" t="s">
        <v>168</v>
      </c>
      <c r="G729" s="143" t="s">
        <v>7542</v>
      </c>
      <c r="H729" s="143" t="s">
        <v>26</v>
      </c>
      <c r="I729" s="143" t="s">
        <v>176</v>
      </c>
      <c r="J729" s="143" t="s">
        <v>643</v>
      </c>
      <c r="K729" s="144">
        <v>58800</v>
      </c>
      <c r="L729" s="145" t="s">
        <v>172</v>
      </c>
      <c r="M729" s="143" t="s">
        <v>6709</v>
      </c>
    </row>
    <row r="730" spans="1:13">
      <c r="A730" s="27" t="s">
        <v>6705</v>
      </c>
      <c r="B730" s="150" t="s">
        <v>8158</v>
      </c>
      <c r="C730" s="150" t="s">
        <v>7540</v>
      </c>
      <c r="D730" s="142" t="s">
        <v>8159</v>
      </c>
      <c r="E730" s="145">
        <v>1</v>
      </c>
      <c r="F730" s="143" t="s">
        <v>168</v>
      </c>
      <c r="G730" s="143" t="s">
        <v>7542</v>
      </c>
      <c r="H730" s="143" t="s">
        <v>26</v>
      </c>
      <c r="I730" s="143" t="s">
        <v>176</v>
      </c>
      <c r="J730" s="143" t="s">
        <v>643</v>
      </c>
      <c r="K730" s="144">
        <v>126000</v>
      </c>
      <c r="L730" s="145" t="s">
        <v>172</v>
      </c>
      <c r="M730" s="143" t="s">
        <v>6709</v>
      </c>
    </row>
    <row r="731" spans="1:13">
      <c r="A731" s="27" t="s">
        <v>6705</v>
      </c>
      <c r="B731" s="150" t="s">
        <v>8160</v>
      </c>
      <c r="C731" s="150" t="s">
        <v>7540</v>
      </c>
      <c r="D731" s="142" t="s">
        <v>8161</v>
      </c>
      <c r="E731" s="145">
        <v>1</v>
      </c>
      <c r="F731" s="143" t="s">
        <v>168</v>
      </c>
      <c r="G731" s="143" t="s">
        <v>7542</v>
      </c>
      <c r="H731" s="143" t="s">
        <v>26</v>
      </c>
      <c r="I731" s="143" t="s">
        <v>176</v>
      </c>
      <c r="J731" s="143" t="s">
        <v>643</v>
      </c>
      <c r="K731" s="144">
        <v>196000</v>
      </c>
      <c r="L731" s="145" t="s">
        <v>172</v>
      </c>
      <c r="M731" s="143" t="s">
        <v>6709</v>
      </c>
    </row>
    <row r="732" spans="1:13">
      <c r="A732" s="27" t="s">
        <v>6705</v>
      </c>
      <c r="B732" s="150" t="s">
        <v>8162</v>
      </c>
      <c r="C732" s="150" t="s">
        <v>7540</v>
      </c>
      <c r="D732" s="142" t="s">
        <v>8163</v>
      </c>
      <c r="E732" s="145">
        <v>1</v>
      </c>
      <c r="F732" s="143" t="s">
        <v>168</v>
      </c>
      <c r="G732" s="143" t="s">
        <v>7542</v>
      </c>
      <c r="H732" s="143" t="s">
        <v>26</v>
      </c>
      <c r="I732" s="143" t="s">
        <v>176</v>
      </c>
      <c r="J732" s="143" t="s">
        <v>643</v>
      </c>
      <c r="K732" s="144">
        <v>308000</v>
      </c>
      <c r="L732" s="145" t="s">
        <v>172</v>
      </c>
      <c r="M732" s="143" t="s">
        <v>6709</v>
      </c>
    </row>
    <row r="733" spans="1:13">
      <c r="A733" s="27" t="s">
        <v>6705</v>
      </c>
      <c r="B733" s="150" t="s">
        <v>8164</v>
      </c>
      <c r="C733" s="150" t="s">
        <v>7540</v>
      </c>
      <c r="D733" s="142" t="s">
        <v>8165</v>
      </c>
      <c r="E733" s="145">
        <v>1</v>
      </c>
      <c r="F733" s="143" t="s">
        <v>168</v>
      </c>
      <c r="G733" s="143" t="s">
        <v>7542</v>
      </c>
      <c r="H733" s="143" t="s">
        <v>26</v>
      </c>
      <c r="I733" s="143" t="s">
        <v>176</v>
      </c>
      <c r="J733" s="143" t="s">
        <v>643</v>
      </c>
      <c r="K733" s="144">
        <v>630000</v>
      </c>
      <c r="L733" s="145" t="s">
        <v>172</v>
      </c>
      <c r="M733" s="143" t="s">
        <v>6709</v>
      </c>
    </row>
    <row r="734" spans="1:13">
      <c r="A734" s="27" t="s">
        <v>6705</v>
      </c>
      <c r="B734" s="150" t="s">
        <v>8166</v>
      </c>
      <c r="C734" s="150" t="s">
        <v>7540</v>
      </c>
      <c r="D734" s="142" t="s">
        <v>8167</v>
      </c>
      <c r="E734" s="145">
        <v>1</v>
      </c>
      <c r="F734" s="143" t="s">
        <v>168</v>
      </c>
      <c r="G734" s="143" t="s">
        <v>7542</v>
      </c>
      <c r="H734" s="143" t="s">
        <v>26</v>
      </c>
      <c r="I734" s="143" t="s">
        <v>176</v>
      </c>
      <c r="J734" s="143" t="s">
        <v>643</v>
      </c>
      <c r="K734" s="144">
        <v>1120000</v>
      </c>
      <c r="L734" s="145" t="s">
        <v>172</v>
      </c>
      <c r="M734" s="143" t="s">
        <v>6709</v>
      </c>
    </row>
    <row r="735" spans="1:13">
      <c r="A735" s="27" t="s">
        <v>6705</v>
      </c>
      <c r="B735" s="150" t="s">
        <v>8168</v>
      </c>
      <c r="C735" s="150" t="s">
        <v>7540</v>
      </c>
      <c r="D735" s="142" t="s">
        <v>8169</v>
      </c>
      <c r="E735" s="145">
        <v>1</v>
      </c>
      <c r="F735" s="143" t="s">
        <v>168</v>
      </c>
      <c r="G735" s="143" t="s">
        <v>7542</v>
      </c>
      <c r="H735" s="143" t="s">
        <v>26</v>
      </c>
      <c r="I735" s="143" t="s">
        <v>176</v>
      </c>
      <c r="J735" s="143" t="s">
        <v>643</v>
      </c>
      <c r="K735" s="144">
        <v>1960000</v>
      </c>
      <c r="L735" s="145" t="s">
        <v>172</v>
      </c>
      <c r="M735" s="143" t="s">
        <v>6709</v>
      </c>
    </row>
    <row r="736" spans="1:13">
      <c r="A736" s="27" t="s">
        <v>6705</v>
      </c>
      <c r="B736" s="150" t="s">
        <v>8170</v>
      </c>
      <c r="C736" s="150" t="s">
        <v>7540</v>
      </c>
      <c r="D736" s="142" t="s">
        <v>8171</v>
      </c>
      <c r="E736" s="145">
        <v>1</v>
      </c>
      <c r="F736" s="143" t="s">
        <v>168</v>
      </c>
      <c r="G736" s="143" t="s">
        <v>7542</v>
      </c>
      <c r="H736" s="143" t="s">
        <v>26</v>
      </c>
      <c r="I736" s="143" t="s">
        <v>176</v>
      </c>
      <c r="J736" s="143" t="s">
        <v>643</v>
      </c>
      <c r="K736" s="144">
        <f>279+3500</f>
        <v>3779</v>
      </c>
      <c r="L736" s="145" t="s">
        <v>172</v>
      </c>
      <c r="M736" s="143" t="s">
        <v>6709</v>
      </c>
    </row>
    <row r="737" spans="1:13">
      <c r="A737" s="27" t="s">
        <v>6705</v>
      </c>
      <c r="B737" s="150" t="s">
        <v>8172</v>
      </c>
      <c r="C737" s="150" t="s">
        <v>7540</v>
      </c>
      <c r="D737" s="142" t="s">
        <v>8173</v>
      </c>
      <c r="E737" s="145">
        <v>1</v>
      </c>
      <c r="F737" s="143" t="s">
        <v>168</v>
      </c>
      <c r="G737" s="143" t="s">
        <v>7542</v>
      </c>
      <c r="H737" s="143" t="s">
        <v>26</v>
      </c>
      <c r="I737" s="143" t="s">
        <v>176</v>
      </c>
      <c r="J737" s="143" t="s">
        <v>643</v>
      </c>
      <c r="K737" s="144">
        <f>1.22*3500</f>
        <v>4270</v>
      </c>
      <c r="L737" s="145" t="s">
        <v>172</v>
      </c>
      <c r="M737" s="143" t="s">
        <v>6709</v>
      </c>
    </row>
    <row r="738" spans="1:13">
      <c r="A738" s="27" t="s">
        <v>6705</v>
      </c>
      <c r="B738" s="150" t="s">
        <v>8174</v>
      </c>
      <c r="C738" s="150" t="s">
        <v>7540</v>
      </c>
      <c r="D738" s="142" t="s">
        <v>8175</v>
      </c>
      <c r="E738" s="145">
        <v>1</v>
      </c>
      <c r="F738" s="143" t="s">
        <v>168</v>
      </c>
      <c r="G738" s="143" t="s">
        <v>7542</v>
      </c>
      <c r="H738" s="143" t="s">
        <v>26</v>
      </c>
      <c r="I738" s="143" t="s">
        <v>176</v>
      </c>
      <c r="J738" s="143" t="s">
        <v>643</v>
      </c>
      <c r="K738" s="144">
        <f>1.27*3500</f>
        <v>4445</v>
      </c>
      <c r="L738" s="145" t="s">
        <v>172</v>
      </c>
      <c r="M738" s="143" t="s">
        <v>6709</v>
      </c>
    </row>
    <row r="739" spans="1:13">
      <c r="A739" s="27" t="s">
        <v>6705</v>
      </c>
      <c r="B739" s="150" t="s">
        <v>8176</v>
      </c>
      <c r="C739" s="150" t="s">
        <v>7540</v>
      </c>
      <c r="D739" s="142" t="s">
        <v>8177</v>
      </c>
      <c r="E739" s="145">
        <v>1</v>
      </c>
      <c r="F739" s="143" t="s">
        <v>168</v>
      </c>
      <c r="G739" s="143" t="s">
        <v>7542</v>
      </c>
      <c r="H739" s="143" t="s">
        <v>26</v>
      </c>
      <c r="I739" s="143" t="s">
        <v>176</v>
      </c>
      <c r="J739" s="143" t="s">
        <v>643</v>
      </c>
      <c r="K739" s="144">
        <f>1.33*3500</f>
        <v>4655</v>
      </c>
      <c r="L739" s="145" t="s">
        <v>172</v>
      </c>
      <c r="M739" s="143" t="s">
        <v>6709</v>
      </c>
    </row>
    <row r="740" spans="1:13">
      <c r="A740" s="27" t="s">
        <v>6705</v>
      </c>
      <c r="B740" s="150" t="s">
        <v>8178</v>
      </c>
      <c r="C740" s="150" t="s">
        <v>7540</v>
      </c>
      <c r="D740" s="142" t="s">
        <v>8179</v>
      </c>
      <c r="E740" s="145">
        <v>1</v>
      </c>
      <c r="F740" s="143" t="s">
        <v>168</v>
      </c>
      <c r="G740" s="143" t="s">
        <v>7542</v>
      </c>
      <c r="H740" s="143" t="s">
        <v>26</v>
      </c>
      <c r="I740" s="143" t="s">
        <v>176</v>
      </c>
      <c r="J740" s="143" t="s">
        <v>643</v>
      </c>
      <c r="K740" s="144">
        <f>1370+17000</f>
        <v>18370</v>
      </c>
      <c r="L740" s="145" t="s">
        <v>172</v>
      </c>
      <c r="M740" s="143" t="s">
        <v>6709</v>
      </c>
    </row>
    <row r="741" spans="1:13">
      <c r="A741" s="27" t="s">
        <v>6705</v>
      </c>
      <c r="B741" s="150" t="s">
        <v>8180</v>
      </c>
      <c r="C741" s="150" t="s">
        <v>7540</v>
      </c>
      <c r="D741" s="142" t="s">
        <v>8181</v>
      </c>
      <c r="E741" s="145">
        <v>1</v>
      </c>
      <c r="F741" s="143" t="s">
        <v>168</v>
      </c>
      <c r="G741" s="143" t="s">
        <v>7542</v>
      </c>
      <c r="H741" s="143" t="s">
        <v>26</v>
      </c>
      <c r="I741" s="143" t="s">
        <v>176</v>
      </c>
      <c r="J741" s="143" t="s">
        <v>643</v>
      </c>
      <c r="K741" s="144">
        <f>1.22*17000</f>
        <v>20740</v>
      </c>
      <c r="L741" s="145" t="s">
        <v>172</v>
      </c>
      <c r="M741" s="143" t="s">
        <v>6709</v>
      </c>
    </row>
    <row r="742" spans="1:13">
      <c r="A742" s="27" t="s">
        <v>6705</v>
      </c>
      <c r="B742" s="150" t="s">
        <v>8182</v>
      </c>
      <c r="C742" s="150" t="s">
        <v>7540</v>
      </c>
      <c r="D742" s="142" t="s">
        <v>8183</v>
      </c>
      <c r="E742" s="145">
        <v>1</v>
      </c>
      <c r="F742" s="143" t="s">
        <v>168</v>
      </c>
      <c r="G742" s="143" t="s">
        <v>7542</v>
      </c>
      <c r="H742" s="143" t="s">
        <v>26</v>
      </c>
      <c r="I742" s="143" t="s">
        <v>176</v>
      </c>
      <c r="J742" s="143" t="s">
        <v>643</v>
      </c>
      <c r="K742" s="144">
        <f>1.27*17000</f>
        <v>21590</v>
      </c>
      <c r="L742" s="145" t="s">
        <v>172</v>
      </c>
      <c r="M742" s="143" t="s">
        <v>6709</v>
      </c>
    </row>
    <row r="743" spans="1:13">
      <c r="A743" s="27" t="s">
        <v>6705</v>
      </c>
      <c r="B743" s="150" t="s">
        <v>8184</v>
      </c>
      <c r="C743" s="150" t="s">
        <v>7540</v>
      </c>
      <c r="D743" s="142" t="s">
        <v>8185</v>
      </c>
      <c r="E743" s="145">
        <v>1</v>
      </c>
      <c r="F743" s="143" t="s">
        <v>168</v>
      </c>
      <c r="G743" s="143" t="s">
        <v>7542</v>
      </c>
      <c r="H743" s="143" t="s">
        <v>26</v>
      </c>
      <c r="I743" s="143" t="s">
        <v>176</v>
      </c>
      <c r="J743" s="143" t="s">
        <v>643</v>
      </c>
      <c r="K743" s="144">
        <f>1.33*17000</f>
        <v>22610</v>
      </c>
      <c r="L743" s="145" t="s">
        <v>172</v>
      </c>
      <c r="M743" s="143" t="s">
        <v>6709</v>
      </c>
    </row>
    <row r="744" spans="1:13">
      <c r="A744" s="27" t="s">
        <v>6705</v>
      </c>
      <c r="B744" s="150" t="s">
        <v>8186</v>
      </c>
      <c r="C744" s="150" t="s">
        <v>7540</v>
      </c>
      <c r="D744" s="142" t="s">
        <v>8187</v>
      </c>
      <c r="E744" s="145">
        <v>1</v>
      </c>
      <c r="F744" s="143" t="s">
        <v>168</v>
      </c>
      <c r="G744" s="143" t="s">
        <v>7542</v>
      </c>
      <c r="H744" s="143" t="s">
        <v>26</v>
      </c>
      <c r="I744" s="143" t="s">
        <v>176</v>
      </c>
      <c r="J744" s="143" t="s">
        <v>643</v>
      </c>
      <c r="K744" s="144">
        <f>2379+29750</f>
        <v>32129</v>
      </c>
      <c r="L744" s="145" t="s">
        <v>172</v>
      </c>
      <c r="M744" s="143" t="s">
        <v>6709</v>
      </c>
    </row>
    <row r="745" spans="1:13">
      <c r="A745" s="27" t="s">
        <v>6705</v>
      </c>
      <c r="B745" s="150" t="s">
        <v>8188</v>
      </c>
      <c r="C745" s="150" t="s">
        <v>7540</v>
      </c>
      <c r="D745" s="142" t="s">
        <v>8189</v>
      </c>
      <c r="E745" s="145">
        <v>1</v>
      </c>
      <c r="F745" s="143" t="s">
        <v>168</v>
      </c>
      <c r="G745" s="143" t="s">
        <v>7542</v>
      </c>
      <c r="H745" s="143" t="s">
        <v>26</v>
      </c>
      <c r="I745" s="143" t="s">
        <v>176</v>
      </c>
      <c r="J745" s="143" t="s">
        <v>643</v>
      </c>
      <c r="K745" s="144">
        <f>1.22*29750</f>
        <v>36295</v>
      </c>
      <c r="L745" s="145" t="s">
        <v>172</v>
      </c>
      <c r="M745" s="143" t="s">
        <v>6709</v>
      </c>
    </row>
    <row r="746" spans="1:13">
      <c r="A746" s="27" t="s">
        <v>6705</v>
      </c>
      <c r="B746" s="150" t="s">
        <v>8190</v>
      </c>
      <c r="C746" s="150" t="s">
        <v>7540</v>
      </c>
      <c r="D746" s="142" t="s">
        <v>8191</v>
      </c>
      <c r="E746" s="145">
        <v>1</v>
      </c>
      <c r="F746" s="143" t="s">
        <v>168</v>
      </c>
      <c r="G746" s="143" t="s">
        <v>7542</v>
      </c>
      <c r="H746" s="143" t="s">
        <v>26</v>
      </c>
      <c r="I746" s="143" t="s">
        <v>176</v>
      </c>
      <c r="J746" s="143" t="s">
        <v>643</v>
      </c>
      <c r="K746" s="144">
        <f>1.27*29750</f>
        <v>37782.5</v>
      </c>
      <c r="L746" s="145" t="s">
        <v>172</v>
      </c>
      <c r="M746" s="143" t="s">
        <v>6709</v>
      </c>
    </row>
    <row r="747" spans="1:13">
      <c r="A747" s="27" t="s">
        <v>6705</v>
      </c>
      <c r="B747" s="150" t="s">
        <v>8192</v>
      </c>
      <c r="C747" s="150" t="s">
        <v>7540</v>
      </c>
      <c r="D747" s="142" t="s">
        <v>8193</v>
      </c>
      <c r="E747" s="145">
        <v>1</v>
      </c>
      <c r="F747" s="143" t="s">
        <v>168</v>
      </c>
      <c r="G747" s="143" t="s">
        <v>7542</v>
      </c>
      <c r="H747" s="143" t="s">
        <v>26</v>
      </c>
      <c r="I747" s="143" t="s">
        <v>176</v>
      </c>
      <c r="J747" s="143" t="s">
        <v>643</v>
      </c>
      <c r="K747" s="144">
        <f>1.33*29750</f>
        <v>39567.5</v>
      </c>
      <c r="L747" s="145" t="s">
        <v>172</v>
      </c>
      <c r="M747" s="143" t="s">
        <v>6709</v>
      </c>
    </row>
    <row r="748" spans="1:13">
      <c r="A748" s="27" t="s">
        <v>6705</v>
      </c>
      <c r="B748" s="150" t="s">
        <v>8194</v>
      </c>
      <c r="C748" s="150" t="s">
        <v>7540</v>
      </c>
      <c r="D748" s="142" t="s">
        <v>8195</v>
      </c>
      <c r="E748" s="145">
        <v>1</v>
      </c>
      <c r="F748" s="143" t="s">
        <v>168</v>
      </c>
      <c r="G748" s="143" t="s">
        <v>7542</v>
      </c>
      <c r="H748" s="143" t="s">
        <v>26</v>
      </c>
      <c r="I748" s="143" t="s">
        <v>176</v>
      </c>
      <c r="J748" s="143" t="s">
        <v>643</v>
      </c>
      <c r="K748" s="144">
        <f>4318+54000</f>
        <v>58318</v>
      </c>
      <c r="L748" s="145" t="s">
        <v>172</v>
      </c>
      <c r="M748" s="143" t="s">
        <v>6709</v>
      </c>
    </row>
    <row r="749" spans="1:13">
      <c r="A749" s="27" t="s">
        <v>6705</v>
      </c>
      <c r="B749" s="150" t="s">
        <v>8196</v>
      </c>
      <c r="C749" s="150" t="s">
        <v>7540</v>
      </c>
      <c r="D749" s="142" t="s">
        <v>8197</v>
      </c>
      <c r="E749" s="145">
        <v>1</v>
      </c>
      <c r="F749" s="143" t="s">
        <v>168</v>
      </c>
      <c r="G749" s="143" t="s">
        <v>7542</v>
      </c>
      <c r="H749" s="143" t="s">
        <v>26</v>
      </c>
      <c r="I749" s="143" t="s">
        <v>176</v>
      </c>
      <c r="J749" s="143" t="s">
        <v>643</v>
      </c>
      <c r="K749" s="144">
        <f>1.22*54000</f>
        <v>65880</v>
      </c>
      <c r="L749" s="145" t="s">
        <v>172</v>
      </c>
      <c r="M749" s="143" t="s">
        <v>6709</v>
      </c>
    </row>
    <row r="750" spans="1:13">
      <c r="A750" s="27" t="s">
        <v>6705</v>
      </c>
      <c r="B750" s="150" t="s">
        <v>8198</v>
      </c>
      <c r="C750" s="150" t="s">
        <v>7540</v>
      </c>
      <c r="D750" s="142" t="s">
        <v>8199</v>
      </c>
      <c r="E750" s="145">
        <v>1</v>
      </c>
      <c r="F750" s="143" t="s">
        <v>168</v>
      </c>
      <c r="G750" s="143" t="s">
        <v>7542</v>
      </c>
      <c r="H750" s="143" t="s">
        <v>26</v>
      </c>
      <c r="I750" s="143" t="s">
        <v>176</v>
      </c>
      <c r="J750" s="143" t="s">
        <v>643</v>
      </c>
      <c r="K750" s="144">
        <f>1.27*54000</f>
        <v>68580</v>
      </c>
      <c r="L750" s="145" t="s">
        <v>172</v>
      </c>
      <c r="M750" s="143" t="s">
        <v>6709</v>
      </c>
    </row>
    <row r="751" spans="1:13">
      <c r="A751" s="27" t="s">
        <v>6705</v>
      </c>
      <c r="B751" s="150" t="s">
        <v>8200</v>
      </c>
      <c r="C751" s="150" t="s">
        <v>7540</v>
      </c>
      <c r="D751" s="142" t="s">
        <v>8201</v>
      </c>
      <c r="E751" s="145">
        <v>1</v>
      </c>
      <c r="F751" s="143" t="s">
        <v>168</v>
      </c>
      <c r="G751" s="143" t="s">
        <v>7542</v>
      </c>
      <c r="H751" s="143" t="s">
        <v>26</v>
      </c>
      <c r="I751" s="143" t="s">
        <v>176</v>
      </c>
      <c r="J751" s="143" t="s">
        <v>643</v>
      </c>
      <c r="K751" s="144">
        <f>1.33*54000</f>
        <v>71820</v>
      </c>
      <c r="L751" s="145" t="s">
        <v>172</v>
      </c>
      <c r="M751" s="143" t="s">
        <v>6709</v>
      </c>
    </row>
    <row r="752" spans="1:13">
      <c r="A752" s="27" t="s">
        <v>6705</v>
      </c>
      <c r="B752" s="150" t="s">
        <v>8202</v>
      </c>
      <c r="C752" s="150" t="s">
        <v>7540</v>
      </c>
      <c r="D752" s="142" t="s">
        <v>8203</v>
      </c>
      <c r="E752" s="145">
        <v>1</v>
      </c>
      <c r="F752" s="143" t="s">
        <v>168</v>
      </c>
      <c r="G752" s="143" t="s">
        <v>7542</v>
      </c>
      <c r="H752" s="143" t="s">
        <v>26</v>
      </c>
      <c r="I752" s="143" t="s">
        <v>176</v>
      </c>
      <c r="J752" s="143" t="s">
        <v>643</v>
      </c>
      <c r="K752" s="144">
        <f>6881+86000</f>
        <v>92881</v>
      </c>
      <c r="L752" s="145" t="s">
        <v>172</v>
      </c>
      <c r="M752" s="143" t="s">
        <v>6709</v>
      </c>
    </row>
    <row r="753" spans="1:13">
      <c r="A753" s="27" t="s">
        <v>6705</v>
      </c>
      <c r="B753" s="150" t="s">
        <v>8204</v>
      </c>
      <c r="C753" s="150" t="s">
        <v>7540</v>
      </c>
      <c r="D753" s="142" t="s">
        <v>8205</v>
      </c>
      <c r="E753" s="145">
        <v>1</v>
      </c>
      <c r="F753" s="143" t="s">
        <v>168</v>
      </c>
      <c r="G753" s="143" t="s">
        <v>7542</v>
      </c>
      <c r="H753" s="143" t="s">
        <v>26</v>
      </c>
      <c r="I753" s="143" t="s">
        <v>176</v>
      </c>
      <c r="J753" s="143" t="s">
        <v>643</v>
      </c>
      <c r="K753" s="144">
        <f>1.22*86000</f>
        <v>104920</v>
      </c>
      <c r="L753" s="145" t="s">
        <v>172</v>
      </c>
      <c r="M753" s="143" t="s">
        <v>6709</v>
      </c>
    </row>
    <row r="754" spans="1:13">
      <c r="A754" s="27" t="s">
        <v>6705</v>
      </c>
      <c r="B754" s="150" t="s">
        <v>8206</v>
      </c>
      <c r="C754" s="150" t="s">
        <v>7540</v>
      </c>
      <c r="D754" s="142" t="s">
        <v>8207</v>
      </c>
      <c r="E754" s="145">
        <v>1</v>
      </c>
      <c r="F754" s="143" t="s">
        <v>168</v>
      </c>
      <c r="G754" s="143" t="s">
        <v>7542</v>
      </c>
      <c r="H754" s="143" t="s">
        <v>26</v>
      </c>
      <c r="I754" s="143" t="s">
        <v>176</v>
      </c>
      <c r="J754" s="143" t="s">
        <v>643</v>
      </c>
      <c r="K754" s="144">
        <f>1.27*86000</f>
        <v>109220</v>
      </c>
      <c r="L754" s="145" t="s">
        <v>172</v>
      </c>
      <c r="M754" s="143" t="s">
        <v>6709</v>
      </c>
    </row>
    <row r="755" spans="1:13">
      <c r="A755" s="27" t="s">
        <v>6705</v>
      </c>
      <c r="B755" s="150" t="s">
        <v>8208</v>
      </c>
      <c r="C755" s="150" t="s">
        <v>7540</v>
      </c>
      <c r="D755" s="142" t="s">
        <v>8209</v>
      </c>
      <c r="E755" s="145">
        <v>1</v>
      </c>
      <c r="F755" s="143" t="s">
        <v>168</v>
      </c>
      <c r="G755" s="143" t="s">
        <v>7542</v>
      </c>
      <c r="H755" s="143" t="s">
        <v>26</v>
      </c>
      <c r="I755" s="143" t="s">
        <v>176</v>
      </c>
      <c r="J755" s="143" t="s">
        <v>643</v>
      </c>
      <c r="K755" s="144">
        <f>1.33*86000</f>
        <v>114380</v>
      </c>
      <c r="L755" s="145" t="s">
        <v>172</v>
      </c>
      <c r="M755" s="143" t="s">
        <v>6709</v>
      </c>
    </row>
    <row r="756" spans="1:13">
      <c r="A756" s="27" t="s">
        <v>6705</v>
      </c>
      <c r="B756" s="150" t="s">
        <v>8210</v>
      </c>
      <c r="C756" s="150" t="s">
        <v>7540</v>
      </c>
      <c r="D756" s="142" t="s">
        <v>8211</v>
      </c>
      <c r="E756" s="145">
        <v>1</v>
      </c>
      <c r="F756" s="143" t="s">
        <v>168</v>
      </c>
      <c r="G756" s="143" t="s">
        <v>7542</v>
      </c>
      <c r="H756" s="143" t="s">
        <v>26</v>
      </c>
      <c r="I756" s="143" t="s">
        <v>176</v>
      </c>
      <c r="J756" s="143" t="s">
        <v>643</v>
      </c>
      <c r="K756" s="144">
        <f>13605+170000</f>
        <v>183605</v>
      </c>
      <c r="L756" s="145" t="s">
        <v>172</v>
      </c>
      <c r="M756" s="143" t="s">
        <v>6709</v>
      </c>
    </row>
    <row r="757" spans="1:13">
      <c r="A757" s="27" t="s">
        <v>6705</v>
      </c>
      <c r="B757" s="150" t="s">
        <v>8212</v>
      </c>
      <c r="C757" s="150" t="s">
        <v>7540</v>
      </c>
      <c r="D757" s="142" t="s">
        <v>8213</v>
      </c>
      <c r="E757" s="145">
        <v>1</v>
      </c>
      <c r="F757" s="143" t="s">
        <v>168</v>
      </c>
      <c r="G757" s="143" t="s">
        <v>7542</v>
      </c>
      <c r="H757" s="143" t="s">
        <v>26</v>
      </c>
      <c r="I757" s="143" t="s">
        <v>176</v>
      </c>
      <c r="J757" s="143" t="s">
        <v>643</v>
      </c>
      <c r="K757" s="144">
        <f>1.22*170000</f>
        <v>207400</v>
      </c>
      <c r="L757" s="145" t="s">
        <v>172</v>
      </c>
      <c r="M757" s="143" t="s">
        <v>6709</v>
      </c>
    </row>
    <row r="758" spans="1:13">
      <c r="A758" s="27" t="s">
        <v>6705</v>
      </c>
      <c r="B758" s="150" t="s">
        <v>8214</v>
      </c>
      <c r="C758" s="150" t="s">
        <v>7540</v>
      </c>
      <c r="D758" s="142" t="s">
        <v>8215</v>
      </c>
      <c r="E758" s="145">
        <v>1</v>
      </c>
      <c r="F758" s="143" t="s">
        <v>168</v>
      </c>
      <c r="G758" s="143" t="s">
        <v>7542</v>
      </c>
      <c r="H758" s="143" t="s">
        <v>26</v>
      </c>
      <c r="I758" s="143" t="s">
        <v>176</v>
      </c>
      <c r="J758" s="143" t="s">
        <v>643</v>
      </c>
      <c r="K758" s="144">
        <f>1.27*170000</f>
        <v>215900</v>
      </c>
      <c r="L758" s="145" t="s">
        <v>172</v>
      </c>
      <c r="M758" s="143" t="s">
        <v>6709</v>
      </c>
    </row>
    <row r="759" spans="1:13">
      <c r="A759" s="27" t="s">
        <v>6705</v>
      </c>
      <c r="B759" s="150" t="s">
        <v>8216</v>
      </c>
      <c r="C759" s="150" t="s">
        <v>7540</v>
      </c>
      <c r="D759" s="142" t="s">
        <v>8217</v>
      </c>
      <c r="E759" s="145">
        <v>1</v>
      </c>
      <c r="F759" s="143" t="s">
        <v>168</v>
      </c>
      <c r="G759" s="143" t="s">
        <v>7542</v>
      </c>
      <c r="H759" s="143" t="s">
        <v>26</v>
      </c>
      <c r="I759" s="143" t="s">
        <v>176</v>
      </c>
      <c r="J759" s="143" t="s">
        <v>643</v>
      </c>
      <c r="K759" s="144">
        <f>1.33*170000</f>
        <v>226100</v>
      </c>
      <c r="L759" s="145" t="s">
        <v>172</v>
      </c>
      <c r="M759" s="143" t="s">
        <v>6709</v>
      </c>
    </row>
    <row r="760" spans="1:13">
      <c r="A760" s="27" t="s">
        <v>6705</v>
      </c>
      <c r="B760" s="150" t="s">
        <v>8218</v>
      </c>
      <c r="C760" s="150" t="s">
        <v>7540</v>
      </c>
      <c r="D760" s="142" t="s">
        <v>8219</v>
      </c>
      <c r="E760" s="145">
        <v>1</v>
      </c>
      <c r="F760" s="143" t="s">
        <v>168</v>
      </c>
      <c r="G760" s="143" t="s">
        <v>7542</v>
      </c>
      <c r="H760" s="143" t="s">
        <v>26</v>
      </c>
      <c r="I760" s="143" t="s">
        <v>176</v>
      </c>
      <c r="J760" s="143" t="s">
        <v>643</v>
      </c>
      <c r="K760" s="144">
        <f>30646+383000</f>
        <v>413646</v>
      </c>
      <c r="L760" s="145" t="s">
        <v>172</v>
      </c>
      <c r="M760" s="143" t="s">
        <v>6709</v>
      </c>
    </row>
    <row r="761" spans="1:13">
      <c r="A761" s="27" t="s">
        <v>6705</v>
      </c>
      <c r="B761" s="150" t="s">
        <v>8220</v>
      </c>
      <c r="C761" s="150" t="s">
        <v>7540</v>
      </c>
      <c r="D761" s="142" t="s">
        <v>8221</v>
      </c>
      <c r="E761" s="145">
        <v>1</v>
      </c>
      <c r="F761" s="143" t="s">
        <v>168</v>
      </c>
      <c r="G761" s="143" t="s">
        <v>7542</v>
      </c>
      <c r="H761" s="143" t="s">
        <v>26</v>
      </c>
      <c r="I761" s="143" t="s">
        <v>176</v>
      </c>
      <c r="J761" s="143" t="s">
        <v>643</v>
      </c>
      <c r="K761" s="144">
        <f>1.22*383000</f>
        <v>467260</v>
      </c>
      <c r="L761" s="145" t="s">
        <v>172</v>
      </c>
      <c r="M761" s="143" t="s">
        <v>6709</v>
      </c>
    </row>
    <row r="762" spans="1:13">
      <c r="A762" s="27" t="s">
        <v>6705</v>
      </c>
      <c r="B762" s="150" t="s">
        <v>8222</v>
      </c>
      <c r="C762" s="150" t="s">
        <v>7540</v>
      </c>
      <c r="D762" s="142" t="s">
        <v>8223</v>
      </c>
      <c r="E762" s="145">
        <v>1</v>
      </c>
      <c r="F762" s="143" t="s">
        <v>168</v>
      </c>
      <c r="G762" s="143" t="s">
        <v>7542</v>
      </c>
      <c r="H762" s="143" t="s">
        <v>26</v>
      </c>
      <c r="I762" s="143" t="s">
        <v>176</v>
      </c>
      <c r="J762" s="143" t="s">
        <v>643</v>
      </c>
      <c r="K762" s="144">
        <f>1.27*383000</f>
        <v>486410</v>
      </c>
      <c r="L762" s="145" t="s">
        <v>172</v>
      </c>
      <c r="M762" s="143" t="s">
        <v>6709</v>
      </c>
    </row>
    <row r="763" spans="1:13">
      <c r="A763" s="27" t="s">
        <v>6705</v>
      </c>
      <c r="B763" s="150" t="s">
        <v>8224</v>
      </c>
      <c r="C763" s="150" t="s">
        <v>7540</v>
      </c>
      <c r="D763" s="142" t="s">
        <v>8225</v>
      </c>
      <c r="E763" s="145">
        <v>1</v>
      </c>
      <c r="F763" s="143" t="s">
        <v>168</v>
      </c>
      <c r="G763" s="143" t="s">
        <v>7542</v>
      </c>
      <c r="H763" s="143" t="s">
        <v>26</v>
      </c>
      <c r="I763" s="143" t="s">
        <v>176</v>
      </c>
      <c r="J763" s="143" t="s">
        <v>643</v>
      </c>
      <c r="K763" s="144">
        <f>1.33*383000</f>
        <v>509390</v>
      </c>
      <c r="L763" s="145" t="s">
        <v>172</v>
      </c>
      <c r="M763" s="143" t="s">
        <v>6709</v>
      </c>
    </row>
    <row r="764" spans="1:13">
      <c r="A764" s="27" t="s">
        <v>6705</v>
      </c>
      <c r="B764" s="150" t="s">
        <v>8226</v>
      </c>
      <c r="C764" s="150" t="s">
        <v>7540</v>
      </c>
      <c r="D764" s="142" t="s">
        <v>8227</v>
      </c>
      <c r="E764" s="145">
        <v>1</v>
      </c>
      <c r="F764" s="143" t="s">
        <v>168</v>
      </c>
      <c r="G764" s="143" t="s">
        <v>7542</v>
      </c>
      <c r="H764" s="143" t="s">
        <v>26</v>
      </c>
      <c r="I764" s="143" t="s">
        <v>176</v>
      </c>
      <c r="J764" s="143" t="s">
        <v>643</v>
      </c>
      <c r="K764" s="144">
        <f>50002+701250</f>
        <v>751252</v>
      </c>
      <c r="L764" s="145" t="s">
        <v>172</v>
      </c>
      <c r="M764" s="143" t="s">
        <v>6709</v>
      </c>
    </row>
    <row r="765" spans="1:13">
      <c r="A765" s="27" t="s">
        <v>6705</v>
      </c>
      <c r="B765" s="150" t="s">
        <v>8228</v>
      </c>
      <c r="C765" s="150" t="s">
        <v>7540</v>
      </c>
      <c r="D765" s="142" t="s">
        <v>8229</v>
      </c>
      <c r="E765" s="145">
        <v>1</v>
      </c>
      <c r="F765" s="143" t="s">
        <v>168</v>
      </c>
      <c r="G765" s="143" t="s">
        <v>7542</v>
      </c>
      <c r="H765" s="143" t="s">
        <v>26</v>
      </c>
      <c r="I765" s="143" t="s">
        <v>176</v>
      </c>
      <c r="J765" s="143" t="s">
        <v>643</v>
      </c>
      <c r="K765" s="144">
        <f>1.22*701250</f>
        <v>855525</v>
      </c>
      <c r="L765" s="145" t="s">
        <v>172</v>
      </c>
      <c r="M765" s="143" t="s">
        <v>6709</v>
      </c>
    </row>
    <row r="766" spans="1:13">
      <c r="A766" s="27" t="s">
        <v>6705</v>
      </c>
      <c r="B766" s="150" t="s">
        <v>8230</v>
      </c>
      <c r="C766" s="150" t="s">
        <v>7540</v>
      </c>
      <c r="D766" s="142" t="s">
        <v>8231</v>
      </c>
      <c r="E766" s="145">
        <v>1</v>
      </c>
      <c r="F766" s="143" t="s">
        <v>168</v>
      </c>
      <c r="G766" s="143" t="s">
        <v>7542</v>
      </c>
      <c r="H766" s="143" t="s">
        <v>26</v>
      </c>
      <c r="I766" s="143" t="s">
        <v>176</v>
      </c>
      <c r="J766" s="143" t="s">
        <v>643</v>
      </c>
      <c r="K766" s="144">
        <f>1.27*701250</f>
        <v>890587.5</v>
      </c>
      <c r="L766" s="145" t="s">
        <v>172</v>
      </c>
      <c r="M766" s="143" t="s">
        <v>6709</v>
      </c>
    </row>
    <row r="767" spans="1:13">
      <c r="A767" s="27" t="s">
        <v>6705</v>
      </c>
      <c r="B767" s="150" t="s">
        <v>8232</v>
      </c>
      <c r="C767" s="150" t="s">
        <v>7540</v>
      </c>
      <c r="D767" s="142" t="s">
        <v>8233</v>
      </c>
      <c r="E767" s="145">
        <v>1</v>
      </c>
      <c r="F767" s="143" t="s">
        <v>168</v>
      </c>
      <c r="G767" s="143" t="s">
        <v>7542</v>
      </c>
      <c r="H767" s="143" t="s">
        <v>26</v>
      </c>
      <c r="I767" s="143" t="s">
        <v>176</v>
      </c>
      <c r="J767" s="143" t="s">
        <v>643</v>
      </c>
      <c r="K767" s="144">
        <f>1.33*701250</f>
        <v>932662.5</v>
      </c>
      <c r="L767" s="145" t="s">
        <v>172</v>
      </c>
      <c r="M767" s="143" t="s">
        <v>6709</v>
      </c>
    </row>
    <row r="768" spans="1:13">
      <c r="A768" s="27" t="s">
        <v>6705</v>
      </c>
      <c r="B768" s="150" t="s">
        <v>8234</v>
      </c>
      <c r="C768" s="150" t="s">
        <v>7540</v>
      </c>
      <c r="D768" s="142" t="s">
        <v>8235</v>
      </c>
      <c r="E768" s="145">
        <v>1</v>
      </c>
      <c r="F768" s="143" t="s">
        <v>168</v>
      </c>
      <c r="G768" s="143" t="s">
        <v>7542</v>
      </c>
      <c r="H768" s="143" t="s">
        <v>26</v>
      </c>
      <c r="I768" s="143" t="s">
        <v>176</v>
      </c>
      <c r="J768" s="143" t="s">
        <v>643</v>
      </c>
      <c r="K768" s="144">
        <f>77999+950000</f>
        <v>1027999</v>
      </c>
      <c r="L768" s="145" t="s">
        <v>172</v>
      </c>
      <c r="M768" s="143" t="s">
        <v>6709</v>
      </c>
    </row>
    <row r="769" spans="1:13">
      <c r="A769" s="27" t="s">
        <v>6705</v>
      </c>
      <c r="B769" s="150" t="s">
        <v>8236</v>
      </c>
      <c r="C769" s="150" t="s">
        <v>7540</v>
      </c>
      <c r="D769" s="142" t="s">
        <v>8237</v>
      </c>
      <c r="E769" s="145">
        <v>1</v>
      </c>
      <c r="F769" s="143" t="s">
        <v>168</v>
      </c>
      <c r="G769" s="143" t="s">
        <v>7542</v>
      </c>
      <c r="H769" s="143" t="s">
        <v>26</v>
      </c>
      <c r="I769" s="143" t="s">
        <v>176</v>
      </c>
      <c r="J769" s="143" t="s">
        <v>643</v>
      </c>
      <c r="K769" s="144">
        <f>1.22*950000</f>
        <v>1159000</v>
      </c>
      <c r="L769" s="145" t="s">
        <v>172</v>
      </c>
      <c r="M769" s="143" t="s">
        <v>6709</v>
      </c>
    </row>
    <row r="770" spans="1:13">
      <c r="A770" s="27" t="s">
        <v>6705</v>
      </c>
      <c r="B770" s="150" t="s">
        <v>8238</v>
      </c>
      <c r="C770" s="150" t="s">
        <v>7540</v>
      </c>
      <c r="D770" s="142" t="s">
        <v>8239</v>
      </c>
      <c r="E770" s="145">
        <v>1</v>
      </c>
      <c r="F770" s="143" t="s">
        <v>168</v>
      </c>
      <c r="G770" s="143" t="s">
        <v>7542</v>
      </c>
      <c r="H770" s="143" t="s">
        <v>26</v>
      </c>
      <c r="I770" s="143" t="s">
        <v>176</v>
      </c>
      <c r="J770" s="143" t="s">
        <v>643</v>
      </c>
      <c r="K770" s="144">
        <f>1.27*950000</f>
        <v>1206500</v>
      </c>
      <c r="L770" s="145" t="s">
        <v>172</v>
      </c>
      <c r="M770" s="143" t="s">
        <v>6709</v>
      </c>
    </row>
    <row r="771" spans="1:13">
      <c r="A771" s="27" t="s">
        <v>6705</v>
      </c>
      <c r="B771" s="150" t="s">
        <v>8240</v>
      </c>
      <c r="C771" s="150" t="s">
        <v>7540</v>
      </c>
      <c r="D771" s="142" t="s">
        <v>8241</v>
      </c>
      <c r="E771" s="145">
        <v>1</v>
      </c>
      <c r="F771" s="143" t="s">
        <v>168</v>
      </c>
      <c r="G771" s="143" t="s">
        <v>7542</v>
      </c>
      <c r="H771" s="143" t="s">
        <v>26</v>
      </c>
      <c r="I771" s="143" t="s">
        <v>176</v>
      </c>
      <c r="J771" s="143" t="s">
        <v>643</v>
      </c>
      <c r="K771" s="144">
        <f>1.33*950000</f>
        <v>1263500</v>
      </c>
      <c r="L771" s="145" t="s">
        <v>172</v>
      </c>
      <c r="M771" s="143" t="s">
        <v>6709</v>
      </c>
    </row>
    <row r="772" spans="1:13">
      <c r="A772" s="27" t="s">
        <v>6705</v>
      </c>
      <c r="B772" s="150" t="s">
        <v>8242</v>
      </c>
      <c r="C772" s="150" t="s">
        <v>7540</v>
      </c>
      <c r="D772" s="142" t="s">
        <v>8243</v>
      </c>
      <c r="E772" s="145">
        <v>1</v>
      </c>
      <c r="F772" s="143" t="s">
        <v>168</v>
      </c>
      <c r="G772" s="143" t="s">
        <v>7542</v>
      </c>
      <c r="H772" s="143" t="s">
        <v>26</v>
      </c>
      <c r="I772" s="143" t="s">
        <v>176</v>
      </c>
      <c r="J772" s="143" t="s">
        <v>643</v>
      </c>
      <c r="K772" s="144">
        <v>2450</v>
      </c>
      <c r="L772" s="145" t="s">
        <v>172</v>
      </c>
      <c r="M772" s="143" t="s">
        <v>6709</v>
      </c>
    </row>
    <row r="773" spans="1:13">
      <c r="A773" s="27" t="s">
        <v>6705</v>
      </c>
      <c r="B773" s="150" t="s">
        <v>8244</v>
      </c>
      <c r="C773" s="150" t="s">
        <v>7540</v>
      </c>
      <c r="D773" s="142" t="s">
        <v>8245</v>
      </c>
      <c r="E773" s="145">
        <v>1</v>
      </c>
      <c r="F773" s="143" t="s">
        <v>168</v>
      </c>
      <c r="G773" s="143" t="s">
        <v>7542</v>
      </c>
      <c r="H773" s="143" t="s">
        <v>26</v>
      </c>
      <c r="I773" s="143" t="s">
        <v>176</v>
      </c>
      <c r="J773" s="143" t="s">
        <v>643</v>
      </c>
      <c r="K773" s="144">
        <v>11900</v>
      </c>
      <c r="L773" s="145" t="s">
        <v>172</v>
      </c>
      <c r="M773" s="143" t="s">
        <v>6709</v>
      </c>
    </row>
    <row r="774" spans="1:13">
      <c r="A774" s="27" t="s">
        <v>6705</v>
      </c>
      <c r="B774" s="150" t="s">
        <v>8246</v>
      </c>
      <c r="C774" s="150" t="s">
        <v>7540</v>
      </c>
      <c r="D774" s="142" t="s">
        <v>8247</v>
      </c>
      <c r="E774" s="145">
        <v>1</v>
      </c>
      <c r="F774" s="143" t="s">
        <v>168</v>
      </c>
      <c r="G774" s="143" t="s">
        <v>7542</v>
      </c>
      <c r="H774" s="143" t="s">
        <v>26</v>
      </c>
      <c r="I774" s="143" t="s">
        <v>176</v>
      </c>
      <c r="J774" s="143" t="s">
        <v>643</v>
      </c>
      <c r="K774" s="144">
        <v>20825</v>
      </c>
      <c r="L774" s="145" t="s">
        <v>172</v>
      </c>
      <c r="M774" s="143" t="s">
        <v>6709</v>
      </c>
    </row>
    <row r="775" spans="1:13">
      <c r="A775" s="27" t="s">
        <v>6705</v>
      </c>
      <c r="B775" s="150" t="s">
        <v>8248</v>
      </c>
      <c r="C775" s="150" t="s">
        <v>7540</v>
      </c>
      <c r="D775" s="142" t="s">
        <v>8249</v>
      </c>
      <c r="E775" s="145">
        <v>1</v>
      </c>
      <c r="F775" s="143" t="s">
        <v>168</v>
      </c>
      <c r="G775" s="143" t="s">
        <v>7542</v>
      </c>
      <c r="H775" s="143" t="s">
        <v>26</v>
      </c>
      <c r="I775" s="143" t="s">
        <v>176</v>
      </c>
      <c r="J775" s="143" t="s">
        <v>643</v>
      </c>
      <c r="K775" s="144">
        <v>37800</v>
      </c>
      <c r="L775" s="145" t="s">
        <v>172</v>
      </c>
      <c r="M775" s="143" t="s">
        <v>6709</v>
      </c>
    </row>
    <row r="776" spans="1:13">
      <c r="A776" s="27" t="s">
        <v>6705</v>
      </c>
      <c r="B776" s="150" t="s">
        <v>8250</v>
      </c>
      <c r="C776" s="150" t="s">
        <v>7540</v>
      </c>
      <c r="D776" s="142" t="s">
        <v>8251</v>
      </c>
      <c r="E776" s="145">
        <v>1</v>
      </c>
      <c r="F776" s="143" t="s">
        <v>168</v>
      </c>
      <c r="G776" s="143" t="s">
        <v>7542</v>
      </c>
      <c r="H776" s="143" t="s">
        <v>26</v>
      </c>
      <c r="I776" s="143" t="s">
        <v>176</v>
      </c>
      <c r="J776" s="143" t="s">
        <v>643</v>
      </c>
      <c r="K776" s="144">
        <v>60200</v>
      </c>
      <c r="L776" s="145" t="s">
        <v>172</v>
      </c>
      <c r="M776" s="143" t="s">
        <v>6709</v>
      </c>
    </row>
    <row r="777" spans="1:13">
      <c r="A777" s="27" t="s">
        <v>6705</v>
      </c>
      <c r="B777" s="150" t="s">
        <v>8252</v>
      </c>
      <c r="C777" s="150" t="s">
        <v>7540</v>
      </c>
      <c r="D777" s="142" t="s">
        <v>8253</v>
      </c>
      <c r="E777" s="145">
        <v>1</v>
      </c>
      <c r="F777" s="143" t="s">
        <v>168</v>
      </c>
      <c r="G777" s="143" t="s">
        <v>7542</v>
      </c>
      <c r="H777" s="143" t="s">
        <v>26</v>
      </c>
      <c r="I777" s="143" t="s">
        <v>176</v>
      </c>
      <c r="J777" s="143" t="s">
        <v>643</v>
      </c>
      <c r="K777" s="144">
        <v>119000</v>
      </c>
      <c r="L777" s="145" t="s">
        <v>172</v>
      </c>
      <c r="M777" s="143" t="s">
        <v>6709</v>
      </c>
    </row>
    <row r="778" spans="1:13">
      <c r="A778" s="27" t="s">
        <v>6705</v>
      </c>
      <c r="B778" s="150" t="s">
        <v>8254</v>
      </c>
      <c r="C778" s="150" t="s">
        <v>7540</v>
      </c>
      <c r="D778" s="142" t="s">
        <v>8255</v>
      </c>
      <c r="E778" s="145">
        <v>1</v>
      </c>
      <c r="F778" s="143" t="s">
        <v>168</v>
      </c>
      <c r="G778" s="143" t="s">
        <v>7542</v>
      </c>
      <c r="H778" s="143" t="s">
        <v>26</v>
      </c>
      <c r="I778" s="143" t="s">
        <v>176</v>
      </c>
      <c r="J778" s="143" t="s">
        <v>643</v>
      </c>
      <c r="K778" s="144">
        <v>268100</v>
      </c>
      <c r="L778" s="145" t="s">
        <v>172</v>
      </c>
      <c r="M778" s="143" t="s">
        <v>6709</v>
      </c>
    </row>
    <row r="779" spans="1:13">
      <c r="A779" s="27" t="s">
        <v>6705</v>
      </c>
      <c r="B779" s="150" t="s">
        <v>8256</v>
      </c>
      <c r="C779" s="150" t="s">
        <v>7540</v>
      </c>
      <c r="D779" s="142" t="s">
        <v>8257</v>
      </c>
      <c r="E779" s="145">
        <v>1</v>
      </c>
      <c r="F779" s="143" t="s">
        <v>168</v>
      </c>
      <c r="G779" s="143" t="s">
        <v>7542</v>
      </c>
      <c r="H779" s="143" t="s">
        <v>26</v>
      </c>
      <c r="I779" s="143" t="s">
        <v>176</v>
      </c>
      <c r="J779" s="143" t="s">
        <v>643</v>
      </c>
      <c r="K779" s="144">
        <v>446250</v>
      </c>
      <c r="L779" s="145" t="s">
        <v>172</v>
      </c>
      <c r="M779" s="143" t="s">
        <v>6709</v>
      </c>
    </row>
    <row r="780" spans="1:13">
      <c r="A780" s="27" t="s">
        <v>6705</v>
      </c>
      <c r="B780" s="150" t="s">
        <v>8258</v>
      </c>
      <c r="C780" s="150" t="s">
        <v>7540</v>
      </c>
      <c r="D780" s="142" t="s">
        <v>8259</v>
      </c>
      <c r="E780" s="145">
        <v>1</v>
      </c>
      <c r="F780" s="143" t="s">
        <v>168</v>
      </c>
      <c r="G780" s="143" t="s">
        <v>7542</v>
      </c>
      <c r="H780" s="143" t="s">
        <v>26</v>
      </c>
      <c r="I780" s="143" t="s">
        <v>176</v>
      </c>
      <c r="J780" s="143" t="s">
        <v>643</v>
      </c>
      <c r="K780" s="144">
        <v>665000</v>
      </c>
      <c r="L780" s="145" t="s">
        <v>172</v>
      </c>
      <c r="M780" s="143" t="s">
        <v>6709</v>
      </c>
    </row>
    <row r="781" spans="1:13">
      <c r="A781" s="27" t="s">
        <v>6705</v>
      </c>
      <c r="B781" s="150" t="s">
        <v>8260</v>
      </c>
      <c r="C781" s="150" t="s">
        <v>7540</v>
      </c>
      <c r="D781" s="142" t="s">
        <v>8261</v>
      </c>
      <c r="E781" s="145">
        <v>1</v>
      </c>
      <c r="F781" s="143" t="s">
        <v>168</v>
      </c>
      <c r="G781" s="143" t="s">
        <v>7542</v>
      </c>
      <c r="H781" s="143" t="s">
        <v>26</v>
      </c>
      <c r="I781" s="143" t="s">
        <v>176</v>
      </c>
      <c r="J781" s="143" t="s">
        <v>643</v>
      </c>
      <c r="K781" s="144">
        <v>6125</v>
      </c>
      <c r="L781" s="145" t="s">
        <v>172</v>
      </c>
      <c r="M781" s="143" t="s">
        <v>6709</v>
      </c>
    </row>
    <row r="782" spans="1:13">
      <c r="A782" s="27" t="s">
        <v>6705</v>
      </c>
      <c r="B782" s="150" t="s">
        <v>8262</v>
      </c>
      <c r="C782" s="150" t="s">
        <v>7540</v>
      </c>
      <c r="D782" s="142" t="s">
        <v>8263</v>
      </c>
      <c r="E782" s="145">
        <v>1</v>
      </c>
      <c r="F782" s="143" t="s">
        <v>168</v>
      </c>
      <c r="G782" s="143" t="s">
        <v>7542</v>
      </c>
      <c r="H782" s="143" t="s">
        <v>26</v>
      </c>
      <c r="I782" s="143" t="s">
        <v>176</v>
      </c>
      <c r="J782" s="143" t="s">
        <v>643</v>
      </c>
      <c r="K782" s="144">
        <v>29750</v>
      </c>
      <c r="L782" s="145" t="s">
        <v>172</v>
      </c>
      <c r="M782" s="143" t="s">
        <v>6709</v>
      </c>
    </row>
    <row r="783" spans="1:13">
      <c r="A783" s="27" t="s">
        <v>6705</v>
      </c>
      <c r="B783" s="150" t="s">
        <v>8264</v>
      </c>
      <c r="C783" s="150" t="s">
        <v>7540</v>
      </c>
      <c r="D783" s="142" t="s">
        <v>8265</v>
      </c>
      <c r="E783" s="145">
        <v>1</v>
      </c>
      <c r="F783" s="143" t="s">
        <v>168</v>
      </c>
      <c r="G783" s="143" t="s">
        <v>7542</v>
      </c>
      <c r="H783" s="143" t="s">
        <v>26</v>
      </c>
      <c r="I783" s="143" t="s">
        <v>176</v>
      </c>
      <c r="J783" s="143" t="s">
        <v>643</v>
      </c>
      <c r="K783" s="144">
        <v>52062.5</v>
      </c>
      <c r="L783" s="145" t="s">
        <v>172</v>
      </c>
      <c r="M783" s="143" t="s">
        <v>6709</v>
      </c>
    </row>
    <row r="784" spans="1:13">
      <c r="A784" s="27" t="s">
        <v>6705</v>
      </c>
      <c r="B784" s="150" t="s">
        <v>8266</v>
      </c>
      <c r="C784" s="150" t="s">
        <v>7540</v>
      </c>
      <c r="D784" s="142" t="s">
        <v>8267</v>
      </c>
      <c r="E784" s="145">
        <v>1</v>
      </c>
      <c r="F784" s="143" t="s">
        <v>168</v>
      </c>
      <c r="G784" s="143" t="s">
        <v>7542</v>
      </c>
      <c r="H784" s="143" t="s">
        <v>26</v>
      </c>
      <c r="I784" s="143" t="s">
        <v>176</v>
      </c>
      <c r="J784" s="143" t="s">
        <v>643</v>
      </c>
      <c r="K784" s="144">
        <v>94500</v>
      </c>
      <c r="L784" s="145" t="s">
        <v>172</v>
      </c>
      <c r="M784" s="143" t="s">
        <v>6709</v>
      </c>
    </row>
    <row r="785" spans="1:13">
      <c r="A785" s="27" t="s">
        <v>6705</v>
      </c>
      <c r="B785" s="150" t="s">
        <v>8268</v>
      </c>
      <c r="C785" s="150" t="s">
        <v>7540</v>
      </c>
      <c r="D785" s="142" t="s">
        <v>8269</v>
      </c>
      <c r="E785" s="145">
        <v>1</v>
      </c>
      <c r="F785" s="143" t="s">
        <v>168</v>
      </c>
      <c r="G785" s="143" t="s">
        <v>7542</v>
      </c>
      <c r="H785" s="143" t="s">
        <v>26</v>
      </c>
      <c r="I785" s="143" t="s">
        <v>176</v>
      </c>
      <c r="J785" s="143" t="s">
        <v>643</v>
      </c>
      <c r="K785" s="144">
        <v>150500</v>
      </c>
      <c r="L785" s="145" t="s">
        <v>172</v>
      </c>
      <c r="M785" s="143" t="s">
        <v>6709</v>
      </c>
    </row>
    <row r="786" spans="1:13">
      <c r="A786" s="27" t="s">
        <v>6705</v>
      </c>
      <c r="B786" s="150" t="s">
        <v>8270</v>
      </c>
      <c r="C786" s="150" t="s">
        <v>7540</v>
      </c>
      <c r="D786" s="142" t="s">
        <v>8271</v>
      </c>
      <c r="E786" s="145">
        <v>1</v>
      </c>
      <c r="F786" s="143" t="s">
        <v>168</v>
      </c>
      <c r="G786" s="143" t="s">
        <v>7542</v>
      </c>
      <c r="H786" s="143" t="s">
        <v>26</v>
      </c>
      <c r="I786" s="143" t="s">
        <v>176</v>
      </c>
      <c r="J786" s="143" t="s">
        <v>643</v>
      </c>
      <c r="K786" s="144">
        <v>297500</v>
      </c>
      <c r="L786" s="145" t="s">
        <v>172</v>
      </c>
      <c r="M786" s="143" t="s">
        <v>6709</v>
      </c>
    </row>
    <row r="787" spans="1:13">
      <c r="A787" s="27" t="s">
        <v>6705</v>
      </c>
      <c r="B787" s="150" t="s">
        <v>8272</v>
      </c>
      <c r="C787" s="150" t="s">
        <v>7540</v>
      </c>
      <c r="D787" s="142" t="s">
        <v>8273</v>
      </c>
      <c r="E787" s="145">
        <v>1</v>
      </c>
      <c r="F787" s="143" t="s">
        <v>168</v>
      </c>
      <c r="G787" s="143" t="s">
        <v>7542</v>
      </c>
      <c r="H787" s="143" t="s">
        <v>26</v>
      </c>
      <c r="I787" s="143" t="s">
        <v>176</v>
      </c>
      <c r="J787" s="143" t="s">
        <v>643</v>
      </c>
      <c r="K787" s="144">
        <v>670250</v>
      </c>
      <c r="L787" s="145" t="s">
        <v>172</v>
      </c>
      <c r="M787" s="143" t="s">
        <v>6709</v>
      </c>
    </row>
    <row r="788" spans="1:13">
      <c r="A788" s="27" t="s">
        <v>6705</v>
      </c>
      <c r="B788" s="150" t="s">
        <v>8274</v>
      </c>
      <c r="C788" s="150" t="s">
        <v>7540</v>
      </c>
      <c r="D788" s="142" t="s">
        <v>8275</v>
      </c>
      <c r="E788" s="145">
        <v>1</v>
      </c>
      <c r="F788" s="143" t="s">
        <v>168</v>
      </c>
      <c r="G788" s="143" t="s">
        <v>7542</v>
      </c>
      <c r="H788" s="143" t="s">
        <v>26</v>
      </c>
      <c r="I788" s="143" t="s">
        <v>176</v>
      </c>
      <c r="J788" s="143" t="s">
        <v>643</v>
      </c>
      <c r="K788" s="144">
        <v>1115625</v>
      </c>
      <c r="L788" s="145" t="s">
        <v>172</v>
      </c>
      <c r="M788" s="143" t="s">
        <v>6709</v>
      </c>
    </row>
    <row r="789" spans="1:13">
      <c r="A789" s="27" t="s">
        <v>6705</v>
      </c>
      <c r="B789" s="150" t="s">
        <v>8276</v>
      </c>
      <c r="C789" s="150" t="s">
        <v>7540</v>
      </c>
      <c r="D789" s="142" t="s">
        <v>8277</v>
      </c>
      <c r="E789" s="145">
        <v>1</v>
      </c>
      <c r="F789" s="143" t="s">
        <v>168</v>
      </c>
      <c r="G789" s="143" t="s">
        <v>7542</v>
      </c>
      <c r="H789" s="143" t="s">
        <v>26</v>
      </c>
      <c r="I789" s="143" t="s">
        <v>176</v>
      </c>
      <c r="J789" s="143" t="s">
        <v>643</v>
      </c>
      <c r="K789" s="144">
        <v>1662500</v>
      </c>
      <c r="L789" s="145" t="s">
        <v>172</v>
      </c>
      <c r="M789" s="143" t="s">
        <v>6709</v>
      </c>
    </row>
    <row r="790" spans="1:13">
      <c r="A790" s="27" t="s">
        <v>6705</v>
      </c>
      <c r="B790" s="150" t="s">
        <v>8278</v>
      </c>
      <c r="C790" s="150" t="s">
        <v>7540</v>
      </c>
      <c r="D790" s="142" t="s">
        <v>8279</v>
      </c>
      <c r="E790" s="145">
        <v>1</v>
      </c>
      <c r="F790" s="143" t="s">
        <v>168</v>
      </c>
      <c r="G790" s="143" t="s">
        <v>7542</v>
      </c>
      <c r="H790" s="143" t="s">
        <v>26</v>
      </c>
      <c r="I790" s="143" t="s">
        <v>176</v>
      </c>
      <c r="J790" s="143" t="s">
        <v>643</v>
      </c>
      <c r="K790" s="144">
        <v>9800</v>
      </c>
      <c r="L790" s="145" t="s">
        <v>172</v>
      </c>
      <c r="M790" s="143" t="s">
        <v>6709</v>
      </c>
    </row>
    <row r="791" spans="1:13">
      <c r="A791" s="27" t="s">
        <v>6705</v>
      </c>
      <c r="B791" s="150" t="s">
        <v>8280</v>
      </c>
      <c r="C791" s="150" t="s">
        <v>7540</v>
      </c>
      <c r="D791" s="142" t="s">
        <v>8281</v>
      </c>
      <c r="E791" s="145">
        <v>1</v>
      </c>
      <c r="F791" s="143" t="s">
        <v>168</v>
      </c>
      <c r="G791" s="143" t="s">
        <v>7542</v>
      </c>
      <c r="H791" s="143" t="s">
        <v>26</v>
      </c>
      <c r="I791" s="143" t="s">
        <v>176</v>
      </c>
      <c r="J791" s="143" t="s">
        <v>643</v>
      </c>
      <c r="K791" s="144">
        <v>47600</v>
      </c>
      <c r="L791" s="145" t="s">
        <v>172</v>
      </c>
      <c r="M791" s="143" t="s">
        <v>6709</v>
      </c>
    </row>
    <row r="792" spans="1:13">
      <c r="A792" s="27" t="s">
        <v>6705</v>
      </c>
      <c r="B792" s="150" t="s">
        <v>8282</v>
      </c>
      <c r="C792" s="150" t="s">
        <v>7540</v>
      </c>
      <c r="D792" s="142" t="s">
        <v>8283</v>
      </c>
      <c r="E792" s="145">
        <v>1</v>
      </c>
      <c r="F792" s="143" t="s">
        <v>168</v>
      </c>
      <c r="G792" s="143" t="s">
        <v>7542</v>
      </c>
      <c r="H792" s="143" t="s">
        <v>26</v>
      </c>
      <c r="I792" s="143" t="s">
        <v>176</v>
      </c>
      <c r="J792" s="143" t="s">
        <v>643</v>
      </c>
      <c r="K792" s="144">
        <v>83300</v>
      </c>
      <c r="L792" s="145" t="s">
        <v>172</v>
      </c>
      <c r="M792" s="143" t="s">
        <v>6709</v>
      </c>
    </row>
    <row r="793" spans="1:13">
      <c r="A793" s="27" t="s">
        <v>6705</v>
      </c>
      <c r="B793" s="150" t="s">
        <v>8284</v>
      </c>
      <c r="C793" s="150" t="s">
        <v>7540</v>
      </c>
      <c r="D793" s="142" t="s">
        <v>8285</v>
      </c>
      <c r="E793" s="145">
        <v>1</v>
      </c>
      <c r="F793" s="143" t="s">
        <v>168</v>
      </c>
      <c r="G793" s="143" t="s">
        <v>7542</v>
      </c>
      <c r="H793" s="143" t="s">
        <v>26</v>
      </c>
      <c r="I793" s="143" t="s">
        <v>176</v>
      </c>
      <c r="J793" s="143" t="s">
        <v>643</v>
      </c>
      <c r="K793" s="144">
        <v>151200</v>
      </c>
      <c r="L793" s="145" t="s">
        <v>172</v>
      </c>
      <c r="M793" s="143" t="s">
        <v>6709</v>
      </c>
    </row>
    <row r="794" spans="1:13">
      <c r="A794" s="27" t="s">
        <v>6705</v>
      </c>
      <c r="B794" s="150" t="s">
        <v>8286</v>
      </c>
      <c r="C794" s="150" t="s">
        <v>7540</v>
      </c>
      <c r="D794" s="142" t="s">
        <v>8287</v>
      </c>
      <c r="E794" s="145">
        <v>1</v>
      </c>
      <c r="F794" s="143" t="s">
        <v>168</v>
      </c>
      <c r="G794" s="143" t="s">
        <v>7542</v>
      </c>
      <c r="H794" s="143" t="s">
        <v>26</v>
      </c>
      <c r="I794" s="143" t="s">
        <v>176</v>
      </c>
      <c r="J794" s="143" t="s">
        <v>643</v>
      </c>
      <c r="K794" s="144">
        <v>240800</v>
      </c>
      <c r="L794" s="145" t="s">
        <v>172</v>
      </c>
      <c r="M794" s="143" t="s">
        <v>6709</v>
      </c>
    </row>
    <row r="795" spans="1:13">
      <c r="A795" s="27" t="s">
        <v>6705</v>
      </c>
      <c r="B795" s="150" t="s">
        <v>8288</v>
      </c>
      <c r="C795" s="150" t="s">
        <v>7540</v>
      </c>
      <c r="D795" s="142" t="s">
        <v>8289</v>
      </c>
      <c r="E795" s="145">
        <v>1</v>
      </c>
      <c r="F795" s="143" t="s">
        <v>168</v>
      </c>
      <c r="G795" s="143" t="s">
        <v>7542</v>
      </c>
      <c r="H795" s="143" t="s">
        <v>26</v>
      </c>
      <c r="I795" s="143" t="s">
        <v>176</v>
      </c>
      <c r="J795" s="143" t="s">
        <v>643</v>
      </c>
      <c r="K795" s="144">
        <v>476000</v>
      </c>
      <c r="L795" s="145" t="s">
        <v>172</v>
      </c>
      <c r="M795" s="143" t="s">
        <v>6709</v>
      </c>
    </row>
    <row r="796" spans="1:13">
      <c r="A796" s="27" t="s">
        <v>6705</v>
      </c>
      <c r="B796" s="150" t="s">
        <v>8290</v>
      </c>
      <c r="C796" s="150" t="s">
        <v>7540</v>
      </c>
      <c r="D796" s="142" t="s">
        <v>8291</v>
      </c>
      <c r="E796" s="145">
        <v>1</v>
      </c>
      <c r="F796" s="143" t="s">
        <v>168</v>
      </c>
      <c r="G796" s="143" t="s">
        <v>7542</v>
      </c>
      <c r="H796" s="143" t="s">
        <v>26</v>
      </c>
      <c r="I796" s="143" t="s">
        <v>176</v>
      </c>
      <c r="J796" s="143" t="s">
        <v>643</v>
      </c>
      <c r="K796" s="144">
        <v>1072400</v>
      </c>
      <c r="L796" s="145" t="s">
        <v>172</v>
      </c>
      <c r="M796" s="143" t="s">
        <v>6709</v>
      </c>
    </row>
    <row r="797" spans="1:13">
      <c r="A797" s="27" t="s">
        <v>6705</v>
      </c>
      <c r="B797" s="150" t="s">
        <v>8292</v>
      </c>
      <c r="C797" s="150" t="s">
        <v>7540</v>
      </c>
      <c r="D797" s="142" t="s">
        <v>8293</v>
      </c>
      <c r="E797" s="145">
        <v>1</v>
      </c>
      <c r="F797" s="143" t="s">
        <v>168</v>
      </c>
      <c r="G797" s="143" t="s">
        <v>7542</v>
      </c>
      <c r="H797" s="143" t="s">
        <v>26</v>
      </c>
      <c r="I797" s="143" t="s">
        <v>176</v>
      </c>
      <c r="J797" s="143" t="s">
        <v>643</v>
      </c>
      <c r="K797" s="144">
        <v>1785000</v>
      </c>
      <c r="L797" s="145" t="s">
        <v>172</v>
      </c>
      <c r="M797" s="143" t="s">
        <v>6709</v>
      </c>
    </row>
    <row r="798" spans="1:13">
      <c r="A798" s="27" t="s">
        <v>6705</v>
      </c>
      <c r="B798" s="150" t="s">
        <v>8294</v>
      </c>
      <c r="C798" s="150" t="s">
        <v>7540</v>
      </c>
      <c r="D798" s="142" t="s">
        <v>8295</v>
      </c>
      <c r="E798" s="145">
        <v>1</v>
      </c>
      <c r="F798" s="143" t="s">
        <v>168</v>
      </c>
      <c r="G798" s="143" t="s">
        <v>7542</v>
      </c>
      <c r="H798" s="143" t="s">
        <v>26</v>
      </c>
      <c r="I798" s="143" t="s">
        <v>176</v>
      </c>
      <c r="J798" s="143" t="s">
        <v>643</v>
      </c>
      <c r="K798" s="144">
        <v>2660000</v>
      </c>
      <c r="L798" s="145" t="s">
        <v>172</v>
      </c>
      <c r="M798" s="143" t="s">
        <v>6709</v>
      </c>
    </row>
    <row r="799" spans="1:13">
      <c r="A799" s="27" t="s">
        <v>6705</v>
      </c>
      <c r="B799" s="150" t="s">
        <v>8296</v>
      </c>
      <c r="C799" s="150" t="s">
        <v>7540</v>
      </c>
      <c r="D799" s="142" t="s">
        <v>8297</v>
      </c>
      <c r="E799" s="145">
        <v>1</v>
      </c>
      <c r="F799" s="143" t="s">
        <v>168</v>
      </c>
      <c r="G799" s="143" t="s">
        <v>7542</v>
      </c>
      <c r="H799" s="143" t="s">
        <v>26</v>
      </c>
      <c r="I799" s="143" t="s">
        <v>176</v>
      </c>
      <c r="J799" s="143" t="s">
        <v>643</v>
      </c>
      <c r="K799" s="144">
        <f>189+2250</f>
        <v>2439</v>
      </c>
      <c r="L799" s="145" t="s">
        <v>172</v>
      </c>
      <c r="M799" s="143" t="s">
        <v>6709</v>
      </c>
    </row>
    <row r="800" spans="1:13">
      <c r="A800" s="27" t="s">
        <v>6705</v>
      </c>
      <c r="B800" s="150" t="s">
        <v>8298</v>
      </c>
      <c r="C800" s="150" t="s">
        <v>7540</v>
      </c>
      <c r="D800" s="142" t="s">
        <v>8299</v>
      </c>
      <c r="E800" s="145">
        <v>1</v>
      </c>
      <c r="F800" s="143" t="s">
        <v>168</v>
      </c>
      <c r="G800" s="143" t="s">
        <v>7542</v>
      </c>
      <c r="H800" s="143" t="s">
        <v>26</v>
      </c>
      <c r="I800" s="143" t="s">
        <v>176</v>
      </c>
      <c r="J800" s="143" t="s">
        <v>643</v>
      </c>
      <c r="K800" s="144">
        <f>1.22*2250</f>
        <v>2745</v>
      </c>
      <c r="L800" s="145" t="s">
        <v>172</v>
      </c>
      <c r="M800" s="143" t="s">
        <v>6709</v>
      </c>
    </row>
    <row r="801" spans="1:13">
      <c r="A801" s="27" t="s">
        <v>6705</v>
      </c>
      <c r="B801" s="150" t="s">
        <v>8300</v>
      </c>
      <c r="C801" s="150" t="s">
        <v>7540</v>
      </c>
      <c r="D801" s="142" t="s">
        <v>8301</v>
      </c>
      <c r="E801" s="145">
        <v>1</v>
      </c>
      <c r="F801" s="143" t="s">
        <v>168</v>
      </c>
      <c r="G801" s="143" t="s">
        <v>7542</v>
      </c>
      <c r="H801" s="143" t="s">
        <v>26</v>
      </c>
      <c r="I801" s="143" t="s">
        <v>176</v>
      </c>
      <c r="J801" s="143" t="s">
        <v>643</v>
      </c>
      <c r="K801" s="144">
        <f>1.27*2250</f>
        <v>2857.5</v>
      </c>
      <c r="L801" s="145" t="s">
        <v>172</v>
      </c>
      <c r="M801" s="143" t="s">
        <v>6709</v>
      </c>
    </row>
    <row r="802" spans="1:13">
      <c r="A802" s="27" t="s">
        <v>6705</v>
      </c>
      <c r="B802" s="150" t="s">
        <v>8302</v>
      </c>
      <c r="C802" s="150" t="s">
        <v>7540</v>
      </c>
      <c r="D802" s="142" t="s">
        <v>8303</v>
      </c>
      <c r="E802" s="145">
        <v>1</v>
      </c>
      <c r="F802" s="143" t="s">
        <v>168</v>
      </c>
      <c r="G802" s="143" t="s">
        <v>7542</v>
      </c>
      <c r="H802" s="143" t="s">
        <v>26</v>
      </c>
      <c r="I802" s="143" t="s">
        <v>176</v>
      </c>
      <c r="J802" s="143" t="s">
        <v>643</v>
      </c>
      <c r="K802" s="144">
        <f>1.33*2250</f>
        <v>2992.5</v>
      </c>
      <c r="L802" s="145" t="s">
        <v>172</v>
      </c>
      <c r="M802" s="143" t="s">
        <v>6709</v>
      </c>
    </row>
    <row r="803" spans="1:13">
      <c r="A803" s="27" t="s">
        <v>6705</v>
      </c>
      <c r="B803" s="150" t="s">
        <v>8304</v>
      </c>
      <c r="C803" s="150" t="s">
        <v>7540</v>
      </c>
      <c r="D803" s="142" t="s">
        <v>8305</v>
      </c>
      <c r="E803" s="145">
        <v>1</v>
      </c>
      <c r="F803" s="143" t="s">
        <v>168</v>
      </c>
      <c r="G803" s="143" t="s">
        <v>7542</v>
      </c>
      <c r="H803" s="143" t="s">
        <v>26</v>
      </c>
      <c r="I803" s="143" t="s">
        <v>176</v>
      </c>
      <c r="J803" s="143" t="s">
        <v>643</v>
      </c>
      <c r="K803" s="144">
        <f>903+11250</f>
        <v>12153</v>
      </c>
      <c r="L803" s="145" t="s">
        <v>172</v>
      </c>
      <c r="M803" s="143" t="s">
        <v>6709</v>
      </c>
    </row>
    <row r="804" spans="1:13">
      <c r="A804" s="27" t="s">
        <v>6705</v>
      </c>
      <c r="B804" s="150" t="s">
        <v>8306</v>
      </c>
      <c r="C804" s="150" t="s">
        <v>7540</v>
      </c>
      <c r="D804" s="142" t="s">
        <v>8307</v>
      </c>
      <c r="E804" s="145">
        <v>1</v>
      </c>
      <c r="F804" s="143" t="s">
        <v>168</v>
      </c>
      <c r="G804" s="143" t="s">
        <v>7542</v>
      </c>
      <c r="H804" s="143" t="s">
        <v>26</v>
      </c>
      <c r="I804" s="143" t="s">
        <v>176</v>
      </c>
      <c r="J804" s="143" t="s">
        <v>643</v>
      </c>
      <c r="K804" s="144">
        <f>1.22*11250</f>
        <v>13725</v>
      </c>
      <c r="L804" s="145" t="s">
        <v>172</v>
      </c>
      <c r="M804" s="143" t="s">
        <v>6709</v>
      </c>
    </row>
    <row r="805" spans="1:13">
      <c r="A805" s="27" t="s">
        <v>6705</v>
      </c>
      <c r="B805" s="150" t="s">
        <v>8308</v>
      </c>
      <c r="C805" s="150" t="s">
        <v>7540</v>
      </c>
      <c r="D805" s="142" t="s">
        <v>8309</v>
      </c>
      <c r="E805" s="145">
        <v>1</v>
      </c>
      <c r="F805" s="143" t="s">
        <v>168</v>
      </c>
      <c r="G805" s="143" t="s">
        <v>7542</v>
      </c>
      <c r="H805" s="143" t="s">
        <v>26</v>
      </c>
      <c r="I805" s="143" t="s">
        <v>176</v>
      </c>
      <c r="J805" s="143" t="s">
        <v>643</v>
      </c>
      <c r="K805" s="144">
        <f>1.27*11250</f>
        <v>14287.5</v>
      </c>
      <c r="L805" s="145" t="s">
        <v>172</v>
      </c>
      <c r="M805" s="143" t="s">
        <v>6709</v>
      </c>
    </row>
    <row r="806" spans="1:13">
      <c r="A806" s="27" t="s">
        <v>6705</v>
      </c>
      <c r="B806" s="150" t="s">
        <v>8310</v>
      </c>
      <c r="C806" s="150" t="s">
        <v>7540</v>
      </c>
      <c r="D806" s="142" t="s">
        <v>8311</v>
      </c>
      <c r="E806" s="145">
        <v>1</v>
      </c>
      <c r="F806" s="143" t="s">
        <v>168</v>
      </c>
      <c r="G806" s="143" t="s">
        <v>7542</v>
      </c>
      <c r="H806" s="143" t="s">
        <v>26</v>
      </c>
      <c r="I806" s="143" t="s">
        <v>176</v>
      </c>
      <c r="J806" s="143" t="s">
        <v>643</v>
      </c>
      <c r="K806" s="144">
        <f>1.33*11250</f>
        <v>14962.5</v>
      </c>
      <c r="L806" s="145" t="s">
        <v>172</v>
      </c>
      <c r="M806" s="143" t="s">
        <v>6709</v>
      </c>
    </row>
    <row r="807" spans="1:13">
      <c r="A807" s="27" t="s">
        <v>6705</v>
      </c>
      <c r="B807" s="150" t="s">
        <v>8312</v>
      </c>
      <c r="C807" s="150" t="s">
        <v>7540</v>
      </c>
      <c r="D807" s="142" t="s">
        <v>8313</v>
      </c>
      <c r="E807" s="145">
        <v>1</v>
      </c>
      <c r="F807" s="143" t="s">
        <v>168</v>
      </c>
      <c r="G807" s="143" t="s">
        <v>7542</v>
      </c>
      <c r="H807" s="143" t="s">
        <v>26</v>
      </c>
      <c r="I807" s="143" t="s">
        <v>176</v>
      </c>
      <c r="J807" s="143" t="s">
        <v>643</v>
      </c>
      <c r="K807" s="144">
        <f>1444+18000</f>
        <v>19444</v>
      </c>
      <c r="L807" s="145" t="s">
        <v>172</v>
      </c>
      <c r="M807" s="143" t="s">
        <v>6709</v>
      </c>
    </row>
    <row r="808" spans="1:13">
      <c r="A808" s="27" t="s">
        <v>6705</v>
      </c>
      <c r="B808" s="150" t="s">
        <v>8314</v>
      </c>
      <c r="C808" s="150" t="s">
        <v>7540</v>
      </c>
      <c r="D808" s="142" t="s">
        <v>8315</v>
      </c>
      <c r="E808" s="145">
        <v>1</v>
      </c>
      <c r="F808" s="143" t="s">
        <v>168</v>
      </c>
      <c r="G808" s="143" t="s">
        <v>7542</v>
      </c>
      <c r="H808" s="143" t="s">
        <v>26</v>
      </c>
      <c r="I808" s="143" t="s">
        <v>176</v>
      </c>
      <c r="J808" s="143" t="s">
        <v>643</v>
      </c>
      <c r="K808" s="144">
        <f>1.22*18000</f>
        <v>21960</v>
      </c>
      <c r="L808" s="145" t="s">
        <v>172</v>
      </c>
      <c r="M808" s="143" t="s">
        <v>6709</v>
      </c>
    </row>
    <row r="809" spans="1:13">
      <c r="A809" s="27" t="s">
        <v>6705</v>
      </c>
      <c r="B809" s="150" t="s">
        <v>8316</v>
      </c>
      <c r="C809" s="150" t="s">
        <v>7540</v>
      </c>
      <c r="D809" s="142" t="s">
        <v>8317</v>
      </c>
      <c r="E809" s="145">
        <v>1</v>
      </c>
      <c r="F809" s="143" t="s">
        <v>168</v>
      </c>
      <c r="G809" s="143" t="s">
        <v>7542</v>
      </c>
      <c r="H809" s="143" t="s">
        <v>26</v>
      </c>
      <c r="I809" s="143" t="s">
        <v>176</v>
      </c>
      <c r="J809" s="143" t="s">
        <v>643</v>
      </c>
      <c r="K809" s="144">
        <f>1.27*18000</f>
        <v>22860</v>
      </c>
      <c r="L809" s="145" t="s">
        <v>172</v>
      </c>
      <c r="M809" s="143" t="s">
        <v>6709</v>
      </c>
    </row>
    <row r="810" spans="1:13">
      <c r="A810" s="27" t="s">
        <v>6705</v>
      </c>
      <c r="B810" s="150" t="s">
        <v>8318</v>
      </c>
      <c r="C810" s="150" t="s">
        <v>7540</v>
      </c>
      <c r="D810" s="142" t="s">
        <v>8319</v>
      </c>
      <c r="E810" s="145">
        <v>1</v>
      </c>
      <c r="F810" s="143" t="s">
        <v>168</v>
      </c>
      <c r="G810" s="143" t="s">
        <v>7542</v>
      </c>
      <c r="H810" s="143" t="s">
        <v>26</v>
      </c>
      <c r="I810" s="143" t="s">
        <v>176</v>
      </c>
      <c r="J810" s="143" t="s">
        <v>643</v>
      </c>
      <c r="K810" s="144">
        <f>1.33*18000</f>
        <v>23940</v>
      </c>
      <c r="L810" s="145" t="s">
        <v>172</v>
      </c>
      <c r="M810" s="143" t="s">
        <v>6709</v>
      </c>
    </row>
    <row r="811" spans="1:13">
      <c r="A811" s="27" t="s">
        <v>6705</v>
      </c>
      <c r="B811" s="150" t="s">
        <v>8320</v>
      </c>
      <c r="C811" s="150" t="s">
        <v>7540</v>
      </c>
      <c r="D811" s="142" t="s">
        <v>8321</v>
      </c>
      <c r="E811" s="145">
        <v>1</v>
      </c>
      <c r="F811" s="143" t="s">
        <v>168</v>
      </c>
      <c r="G811" s="143" t="s">
        <v>7542</v>
      </c>
      <c r="H811" s="143" t="s">
        <v>26</v>
      </c>
      <c r="I811" s="143" t="s">
        <v>176</v>
      </c>
      <c r="J811" s="143" t="s">
        <v>643</v>
      </c>
      <c r="K811" s="144">
        <f>3603+45000</f>
        <v>48603</v>
      </c>
      <c r="L811" s="145" t="s">
        <v>172</v>
      </c>
      <c r="M811" s="143" t="s">
        <v>6709</v>
      </c>
    </row>
    <row r="812" spans="1:13">
      <c r="A812" s="27" t="s">
        <v>6705</v>
      </c>
      <c r="B812" s="150" t="s">
        <v>8322</v>
      </c>
      <c r="C812" s="150" t="s">
        <v>7540</v>
      </c>
      <c r="D812" s="142" t="s">
        <v>8323</v>
      </c>
      <c r="E812" s="145">
        <v>1</v>
      </c>
      <c r="F812" s="143" t="s">
        <v>168</v>
      </c>
      <c r="G812" s="143" t="s">
        <v>7542</v>
      </c>
      <c r="H812" s="143" t="s">
        <v>26</v>
      </c>
      <c r="I812" s="143" t="s">
        <v>176</v>
      </c>
      <c r="J812" s="143" t="s">
        <v>643</v>
      </c>
      <c r="K812" s="144">
        <f>1.22*45000</f>
        <v>54900</v>
      </c>
      <c r="L812" s="145" t="s">
        <v>172</v>
      </c>
      <c r="M812" s="143" t="s">
        <v>6709</v>
      </c>
    </row>
    <row r="813" spans="1:13">
      <c r="A813" s="27" t="s">
        <v>6705</v>
      </c>
      <c r="B813" s="150" t="s">
        <v>8324</v>
      </c>
      <c r="C813" s="150" t="s">
        <v>7540</v>
      </c>
      <c r="D813" s="142" t="s">
        <v>8325</v>
      </c>
      <c r="E813" s="145">
        <v>1</v>
      </c>
      <c r="F813" s="143" t="s">
        <v>168</v>
      </c>
      <c r="G813" s="143" t="s">
        <v>7542</v>
      </c>
      <c r="H813" s="143" t="s">
        <v>26</v>
      </c>
      <c r="I813" s="143" t="s">
        <v>176</v>
      </c>
      <c r="J813" s="143" t="s">
        <v>643</v>
      </c>
      <c r="K813" s="144">
        <f>1.27*45000</f>
        <v>57150</v>
      </c>
      <c r="L813" s="145" t="s">
        <v>172</v>
      </c>
      <c r="M813" s="143" t="s">
        <v>6709</v>
      </c>
    </row>
    <row r="814" spans="1:13">
      <c r="A814" s="27" t="s">
        <v>6705</v>
      </c>
      <c r="B814" s="150" t="s">
        <v>8326</v>
      </c>
      <c r="C814" s="150" t="s">
        <v>7540</v>
      </c>
      <c r="D814" s="142" t="s">
        <v>8327</v>
      </c>
      <c r="E814" s="145">
        <v>1</v>
      </c>
      <c r="F814" s="143" t="s">
        <v>168</v>
      </c>
      <c r="G814" s="143" t="s">
        <v>7542</v>
      </c>
      <c r="H814" s="143" t="s">
        <v>26</v>
      </c>
      <c r="I814" s="143" t="s">
        <v>176</v>
      </c>
      <c r="J814" s="143" t="s">
        <v>643</v>
      </c>
      <c r="K814" s="144">
        <f>1.33*45000</f>
        <v>59850</v>
      </c>
      <c r="L814" s="145" t="s">
        <v>172</v>
      </c>
      <c r="M814" s="143" t="s">
        <v>6709</v>
      </c>
    </row>
    <row r="815" spans="1:13">
      <c r="A815" s="27" t="s">
        <v>6705</v>
      </c>
      <c r="B815" s="150" t="s">
        <v>8328</v>
      </c>
      <c r="C815" s="150" t="s">
        <v>7540</v>
      </c>
      <c r="D815" s="142" t="s">
        <v>8329</v>
      </c>
      <c r="E815" s="145">
        <v>1</v>
      </c>
      <c r="F815" s="143" t="s">
        <v>168</v>
      </c>
      <c r="G815" s="143" t="s">
        <v>7542</v>
      </c>
      <c r="H815" s="143" t="s">
        <v>26</v>
      </c>
      <c r="I815" s="143" t="s">
        <v>176</v>
      </c>
      <c r="J815" s="143" t="s">
        <v>643</v>
      </c>
      <c r="K815" s="144">
        <f>5394+67500</f>
        <v>72894</v>
      </c>
      <c r="L815" s="145" t="s">
        <v>172</v>
      </c>
      <c r="M815" s="143" t="s">
        <v>6709</v>
      </c>
    </row>
    <row r="816" spans="1:13">
      <c r="A816" s="27" t="s">
        <v>6705</v>
      </c>
      <c r="B816" s="150" t="s">
        <v>8330</v>
      </c>
      <c r="C816" s="150" t="s">
        <v>7540</v>
      </c>
      <c r="D816" s="142" t="s">
        <v>8331</v>
      </c>
      <c r="E816" s="145">
        <v>1</v>
      </c>
      <c r="F816" s="143" t="s">
        <v>168</v>
      </c>
      <c r="G816" s="143" t="s">
        <v>7542</v>
      </c>
      <c r="H816" s="143" t="s">
        <v>26</v>
      </c>
      <c r="I816" s="143" t="s">
        <v>176</v>
      </c>
      <c r="J816" s="143" t="s">
        <v>643</v>
      </c>
      <c r="K816" s="144">
        <f>1.22*67500</f>
        <v>82350</v>
      </c>
      <c r="L816" s="145" t="s">
        <v>172</v>
      </c>
      <c r="M816" s="143" t="s">
        <v>6709</v>
      </c>
    </row>
    <row r="817" spans="1:13">
      <c r="A817" s="27" t="s">
        <v>6705</v>
      </c>
      <c r="B817" s="150" t="s">
        <v>8332</v>
      </c>
      <c r="C817" s="150" t="s">
        <v>7540</v>
      </c>
      <c r="D817" s="142" t="s">
        <v>8333</v>
      </c>
      <c r="E817" s="145">
        <v>1</v>
      </c>
      <c r="F817" s="143" t="s">
        <v>168</v>
      </c>
      <c r="G817" s="143" t="s">
        <v>7542</v>
      </c>
      <c r="H817" s="143" t="s">
        <v>26</v>
      </c>
      <c r="I817" s="143" t="s">
        <v>176</v>
      </c>
      <c r="J817" s="143" t="s">
        <v>643</v>
      </c>
      <c r="K817" s="144">
        <f>1.27*67500</f>
        <v>85725</v>
      </c>
      <c r="L817" s="145" t="s">
        <v>172</v>
      </c>
      <c r="M817" s="143" t="s">
        <v>6709</v>
      </c>
    </row>
    <row r="818" spans="1:13">
      <c r="A818" s="27" t="s">
        <v>6705</v>
      </c>
      <c r="B818" s="150" t="s">
        <v>8334</v>
      </c>
      <c r="C818" s="150" t="s">
        <v>7540</v>
      </c>
      <c r="D818" s="142" t="s">
        <v>8335</v>
      </c>
      <c r="E818" s="145">
        <v>1</v>
      </c>
      <c r="F818" s="143" t="s">
        <v>168</v>
      </c>
      <c r="G818" s="143" t="s">
        <v>7542</v>
      </c>
      <c r="H818" s="143" t="s">
        <v>26</v>
      </c>
      <c r="I818" s="143" t="s">
        <v>176</v>
      </c>
      <c r="J818" s="143" t="s">
        <v>643</v>
      </c>
      <c r="K818" s="144">
        <f>1.33*67500</f>
        <v>89775</v>
      </c>
      <c r="L818" s="145" t="s">
        <v>172</v>
      </c>
      <c r="M818" s="143" t="s">
        <v>6709</v>
      </c>
    </row>
    <row r="819" spans="1:13">
      <c r="A819" s="27" t="s">
        <v>6705</v>
      </c>
      <c r="B819" s="150" t="s">
        <v>8336</v>
      </c>
      <c r="C819" s="150" t="s">
        <v>7540</v>
      </c>
      <c r="D819" s="142" t="s">
        <v>8337</v>
      </c>
      <c r="E819" s="145">
        <v>1</v>
      </c>
      <c r="F819" s="143" t="s">
        <v>168</v>
      </c>
      <c r="G819" s="143" t="s">
        <v>7542</v>
      </c>
      <c r="H819" s="143" t="s">
        <v>26</v>
      </c>
      <c r="I819" s="143" t="s">
        <v>176</v>
      </c>
      <c r="J819" s="143" t="s">
        <v>643</v>
      </c>
      <c r="K819" s="144">
        <f>10803+135000</f>
        <v>145803</v>
      </c>
      <c r="L819" s="145" t="s">
        <v>172</v>
      </c>
      <c r="M819" s="143" t="s">
        <v>6709</v>
      </c>
    </row>
    <row r="820" spans="1:13">
      <c r="A820" s="27" t="s">
        <v>6705</v>
      </c>
      <c r="B820" s="150" t="s">
        <v>8338</v>
      </c>
      <c r="C820" s="150" t="s">
        <v>7540</v>
      </c>
      <c r="D820" s="142" t="s">
        <v>8339</v>
      </c>
      <c r="E820" s="145">
        <v>1</v>
      </c>
      <c r="F820" s="143" t="s">
        <v>168</v>
      </c>
      <c r="G820" s="143" t="s">
        <v>7542</v>
      </c>
      <c r="H820" s="143" t="s">
        <v>26</v>
      </c>
      <c r="I820" s="143" t="s">
        <v>176</v>
      </c>
      <c r="J820" s="143" t="s">
        <v>643</v>
      </c>
      <c r="K820" s="144">
        <f>1.22*135000</f>
        <v>164700</v>
      </c>
      <c r="L820" s="145" t="s">
        <v>172</v>
      </c>
      <c r="M820" s="143" t="s">
        <v>6709</v>
      </c>
    </row>
    <row r="821" spans="1:13">
      <c r="A821" s="27" t="s">
        <v>6705</v>
      </c>
      <c r="B821" s="150" t="s">
        <v>8340</v>
      </c>
      <c r="C821" s="150" t="s">
        <v>7540</v>
      </c>
      <c r="D821" s="142" t="s">
        <v>8341</v>
      </c>
      <c r="E821" s="145">
        <v>1</v>
      </c>
      <c r="F821" s="143" t="s">
        <v>168</v>
      </c>
      <c r="G821" s="143" t="s">
        <v>7542</v>
      </c>
      <c r="H821" s="143" t="s">
        <v>26</v>
      </c>
      <c r="I821" s="143" t="s">
        <v>176</v>
      </c>
      <c r="J821" s="143" t="s">
        <v>643</v>
      </c>
      <c r="K821" s="144">
        <f>1.27*135000</f>
        <v>171450</v>
      </c>
      <c r="L821" s="145" t="s">
        <v>172</v>
      </c>
      <c r="M821" s="143" t="s">
        <v>6709</v>
      </c>
    </row>
    <row r="822" spans="1:13">
      <c r="A822" s="27" t="s">
        <v>6705</v>
      </c>
      <c r="B822" s="150" t="s">
        <v>8342</v>
      </c>
      <c r="C822" s="150" t="s">
        <v>7540</v>
      </c>
      <c r="D822" s="142" t="s">
        <v>8343</v>
      </c>
      <c r="E822" s="145">
        <v>1</v>
      </c>
      <c r="F822" s="143" t="s">
        <v>168</v>
      </c>
      <c r="G822" s="143" t="s">
        <v>7542</v>
      </c>
      <c r="H822" s="143" t="s">
        <v>26</v>
      </c>
      <c r="I822" s="143" t="s">
        <v>176</v>
      </c>
      <c r="J822" s="143" t="s">
        <v>643</v>
      </c>
      <c r="K822" s="144">
        <f>1.33*135000</f>
        <v>179550</v>
      </c>
      <c r="L822" s="145" t="s">
        <v>172</v>
      </c>
      <c r="M822" s="143" t="s">
        <v>6709</v>
      </c>
    </row>
    <row r="823" spans="1:13">
      <c r="A823" s="27" t="s">
        <v>6705</v>
      </c>
      <c r="B823" s="150" t="s">
        <v>8344</v>
      </c>
      <c r="C823" s="150" t="s">
        <v>7540</v>
      </c>
      <c r="D823" s="142" t="s">
        <v>8345</v>
      </c>
      <c r="E823" s="145">
        <v>1</v>
      </c>
      <c r="F823" s="143" t="s">
        <v>168</v>
      </c>
      <c r="G823" s="143" t="s">
        <v>7542</v>
      </c>
      <c r="H823" s="143" t="s">
        <v>26</v>
      </c>
      <c r="I823" s="143" t="s">
        <v>176</v>
      </c>
      <c r="J823" s="143" t="s">
        <v>643</v>
      </c>
      <c r="K823" s="144">
        <f>225000*1.08</f>
        <v>243000.00000000003</v>
      </c>
      <c r="L823" s="145" t="s">
        <v>172</v>
      </c>
      <c r="M823" s="143" t="s">
        <v>6709</v>
      </c>
    </row>
    <row r="824" spans="1:13">
      <c r="A824" s="27" t="s">
        <v>6705</v>
      </c>
      <c r="B824" s="150" t="s">
        <v>8346</v>
      </c>
      <c r="C824" s="150" t="s">
        <v>7540</v>
      </c>
      <c r="D824" s="142" t="s">
        <v>8347</v>
      </c>
      <c r="E824" s="145">
        <v>1</v>
      </c>
      <c r="F824" s="143" t="s">
        <v>168</v>
      </c>
      <c r="G824" s="143" t="s">
        <v>7542</v>
      </c>
      <c r="H824" s="143" t="s">
        <v>26</v>
      </c>
      <c r="I824" s="143" t="s">
        <v>176</v>
      </c>
      <c r="J824" s="143" t="s">
        <v>643</v>
      </c>
      <c r="K824" s="144">
        <f>225000*1.22</f>
        <v>274500</v>
      </c>
      <c r="L824" s="145" t="s">
        <v>172</v>
      </c>
      <c r="M824" s="143" t="s">
        <v>6709</v>
      </c>
    </row>
    <row r="825" spans="1:13">
      <c r="A825" s="27" t="s">
        <v>6705</v>
      </c>
      <c r="B825" s="150" t="s">
        <v>8348</v>
      </c>
      <c r="C825" s="150" t="s">
        <v>7540</v>
      </c>
      <c r="D825" s="142" t="s">
        <v>8349</v>
      </c>
      <c r="E825" s="145">
        <v>1</v>
      </c>
      <c r="F825" s="143" t="s">
        <v>168</v>
      </c>
      <c r="G825" s="143" t="s">
        <v>7542</v>
      </c>
      <c r="H825" s="143" t="s">
        <v>26</v>
      </c>
      <c r="I825" s="143" t="s">
        <v>176</v>
      </c>
      <c r="J825" s="143" t="s">
        <v>643</v>
      </c>
      <c r="K825" s="144">
        <f>225000*1.27</f>
        <v>285750</v>
      </c>
      <c r="L825" s="145" t="s">
        <v>172</v>
      </c>
      <c r="M825" s="143" t="s">
        <v>6709</v>
      </c>
    </row>
    <row r="826" spans="1:13">
      <c r="A826" s="27" t="s">
        <v>6705</v>
      </c>
      <c r="B826" s="150" t="s">
        <v>8350</v>
      </c>
      <c r="C826" s="150" t="s">
        <v>7540</v>
      </c>
      <c r="D826" s="142" t="s">
        <v>8351</v>
      </c>
      <c r="E826" s="145">
        <v>1</v>
      </c>
      <c r="F826" s="143" t="s">
        <v>168</v>
      </c>
      <c r="G826" s="143" t="s">
        <v>7542</v>
      </c>
      <c r="H826" s="143" t="s">
        <v>26</v>
      </c>
      <c r="I826" s="143" t="s">
        <v>176</v>
      </c>
      <c r="J826" s="143" t="s">
        <v>643</v>
      </c>
      <c r="K826" s="144">
        <f>225000*1.33</f>
        <v>299250</v>
      </c>
      <c r="L826" s="145" t="s">
        <v>172</v>
      </c>
      <c r="M826" s="143" t="s">
        <v>6709</v>
      </c>
    </row>
    <row r="827" spans="1:13">
      <c r="A827" s="27" t="s">
        <v>6705</v>
      </c>
      <c r="B827" s="150" t="s">
        <v>8352</v>
      </c>
      <c r="C827" s="150" t="s">
        <v>7540</v>
      </c>
      <c r="D827" s="142" t="s">
        <v>8353</v>
      </c>
      <c r="E827" s="145">
        <v>1</v>
      </c>
      <c r="F827" s="143" t="s">
        <v>168</v>
      </c>
      <c r="G827" s="143" t="s">
        <v>7542</v>
      </c>
      <c r="H827" s="143" t="s">
        <v>26</v>
      </c>
      <c r="I827" s="143" t="s">
        <v>176</v>
      </c>
      <c r="J827" s="143" t="s">
        <v>643</v>
      </c>
      <c r="K827" s="144">
        <f>1.08*450000</f>
        <v>486000.00000000006</v>
      </c>
      <c r="L827" s="145" t="s">
        <v>172</v>
      </c>
      <c r="M827" s="143" t="s">
        <v>6709</v>
      </c>
    </row>
    <row r="828" spans="1:13">
      <c r="A828" s="27" t="s">
        <v>6705</v>
      </c>
      <c r="B828" s="150" t="s">
        <v>8354</v>
      </c>
      <c r="C828" s="150" t="s">
        <v>7540</v>
      </c>
      <c r="D828" s="142" t="s">
        <v>8355</v>
      </c>
      <c r="E828" s="145">
        <v>1</v>
      </c>
      <c r="F828" s="143" t="s">
        <v>168</v>
      </c>
      <c r="G828" s="143" t="s">
        <v>7542</v>
      </c>
      <c r="H828" s="143" t="s">
        <v>26</v>
      </c>
      <c r="I828" s="143" t="s">
        <v>176</v>
      </c>
      <c r="J828" s="143" t="s">
        <v>643</v>
      </c>
      <c r="K828" s="144">
        <f>1.22*450000</f>
        <v>549000</v>
      </c>
      <c r="L828" s="145" t="s">
        <v>172</v>
      </c>
      <c r="M828" s="143" t="s">
        <v>6709</v>
      </c>
    </row>
    <row r="829" spans="1:13">
      <c r="A829" s="27" t="s">
        <v>6705</v>
      </c>
      <c r="B829" s="150" t="s">
        <v>8356</v>
      </c>
      <c r="C829" s="150" t="s">
        <v>7540</v>
      </c>
      <c r="D829" s="142" t="s">
        <v>8357</v>
      </c>
      <c r="E829" s="145">
        <v>1</v>
      </c>
      <c r="F829" s="143" t="s">
        <v>168</v>
      </c>
      <c r="G829" s="143" t="s">
        <v>7542</v>
      </c>
      <c r="H829" s="143" t="s">
        <v>26</v>
      </c>
      <c r="I829" s="143" t="s">
        <v>176</v>
      </c>
      <c r="J829" s="143" t="s">
        <v>643</v>
      </c>
      <c r="K829" s="144">
        <f>1.27*450000</f>
        <v>571500</v>
      </c>
      <c r="L829" s="145" t="s">
        <v>172</v>
      </c>
      <c r="M829" s="143" t="s">
        <v>6709</v>
      </c>
    </row>
    <row r="830" spans="1:13">
      <c r="A830" s="27" t="s">
        <v>6705</v>
      </c>
      <c r="B830" s="150" t="s">
        <v>8358</v>
      </c>
      <c r="C830" s="150" t="s">
        <v>7540</v>
      </c>
      <c r="D830" s="142" t="s">
        <v>8359</v>
      </c>
      <c r="E830" s="145">
        <v>1</v>
      </c>
      <c r="F830" s="143" t="s">
        <v>168</v>
      </c>
      <c r="G830" s="143" t="s">
        <v>7542</v>
      </c>
      <c r="H830" s="143" t="s">
        <v>26</v>
      </c>
      <c r="I830" s="143" t="s">
        <v>176</v>
      </c>
      <c r="J830" s="143" t="s">
        <v>643</v>
      </c>
      <c r="K830" s="144">
        <f>1.33*450000</f>
        <v>598500</v>
      </c>
      <c r="L830" s="145" t="s">
        <v>172</v>
      </c>
      <c r="M830" s="143" t="s">
        <v>6709</v>
      </c>
    </row>
    <row r="831" spans="1:13">
      <c r="A831" s="27" t="s">
        <v>6705</v>
      </c>
      <c r="B831" s="150" t="s">
        <v>8360</v>
      </c>
      <c r="C831" s="150" t="s">
        <v>7540</v>
      </c>
      <c r="D831" s="142" t="s">
        <v>8361</v>
      </c>
      <c r="E831" s="145">
        <v>1</v>
      </c>
      <c r="F831" s="143" t="s">
        <v>168</v>
      </c>
      <c r="G831" s="143" t="s">
        <v>7542</v>
      </c>
      <c r="H831" s="143" t="s">
        <v>26</v>
      </c>
      <c r="I831" s="143" t="s">
        <v>176</v>
      </c>
      <c r="J831" s="143" t="s">
        <v>643</v>
      </c>
      <c r="K831" s="144">
        <f>1.08*900000</f>
        <v>972000.00000000012</v>
      </c>
      <c r="L831" s="145" t="s">
        <v>172</v>
      </c>
      <c r="M831" s="143" t="s">
        <v>6709</v>
      </c>
    </row>
    <row r="832" spans="1:13">
      <c r="A832" s="27" t="s">
        <v>6705</v>
      </c>
      <c r="B832" s="150" t="s">
        <v>8362</v>
      </c>
      <c r="C832" s="150" t="s">
        <v>7540</v>
      </c>
      <c r="D832" s="142" t="s">
        <v>8363</v>
      </c>
      <c r="E832" s="145">
        <v>1</v>
      </c>
      <c r="F832" s="143" t="s">
        <v>168</v>
      </c>
      <c r="G832" s="143" t="s">
        <v>7542</v>
      </c>
      <c r="H832" s="143" t="s">
        <v>26</v>
      </c>
      <c r="I832" s="143" t="s">
        <v>176</v>
      </c>
      <c r="J832" s="143" t="s">
        <v>643</v>
      </c>
      <c r="K832" s="144">
        <f>1.22*900000</f>
        <v>1098000</v>
      </c>
      <c r="L832" s="145" t="s">
        <v>172</v>
      </c>
      <c r="M832" s="143" t="s">
        <v>6709</v>
      </c>
    </row>
    <row r="833" spans="1:13">
      <c r="A833" s="27" t="s">
        <v>6705</v>
      </c>
      <c r="B833" s="150" t="s">
        <v>8364</v>
      </c>
      <c r="C833" s="150" t="s">
        <v>7540</v>
      </c>
      <c r="D833" s="142" t="s">
        <v>8365</v>
      </c>
      <c r="E833" s="145">
        <v>1</v>
      </c>
      <c r="F833" s="143" t="s">
        <v>168</v>
      </c>
      <c r="G833" s="143" t="s">
        <v>7542</v>
      </c>
      <c r="H833" s="143" t="s">
        <v>26</v>
      </c>
      <c r="I833" s="143" t="s">
        <v>176</v>
      </c>
      <c r="J833" s="143" t="s">
        <v>643</v>
      </c>
      <c r="K833" s="144">
        <f>1.27*900000</f>
        <v>1143000</v>
      </c>
      <c r="L833" s="145" t="s">
        <v>172</v>
      </c>
      <c r="M833" s="143" t="s">
        <v>6709</v>
      </c>
    </row>
    <row r="834" spans="1:13">
      <c r="A834" s="27" t="s">
        <v>6705</v>
      </c>
      <c r="B834" s="150" t="s">
        <v>8366</v>
      </c>
      <c r="C834" s="150" t="s">
        <v>7540</v>
      </c>
      <c r="D834" s="142" t="s">
        <v>8367</v>
      </c>
      <c r="E834" s="145">
        <v>1</v>
      </c>
      <c r="F834" s="143" t="s">
        <v>168</v>
      </c>
      <c r="G834" s="143" t="s">
        <v>7542</v>
      </c>
      <c r="H834" s="143" t="s">
        <v>26</v>
      </c>
      <c r="I834" s="143" t="s">
        <v>176</v>
      </c>
      <c r="J834" s="143" t="s">
        <v>643</v>
      </c>
      <c r="K834" s="144">
        <f>1.33*900000</f>
        <v>1197000</v>
      </c>
      <c r="L834" s="145" t="s">
        <v>172</v>
      </c>
      <c r="M834" s="143" t="s">
        <v>6709</v>
      </c>
    </row>
    <row r="835" spans="1:13">
      <c r="A835" s="27" t="s">
        <v>6705</v>
      </c>
      <c r="B835" s="150" t="s">
        <v>8368</v>
      </c>
      <c r="C835" s="150" t="s">
        <v>7540</v>
      </c>
      <c r="D835" s="142" t="s">
        <v>8369</v>
      </c>
      <c r="E835" s="145">
        <v>1</v>
      </c>
      <c r="F835" s="143" t="s">
        <v>168</v>
      </c>
      <c r="G835" s="143" t="s">
        <v>7542</v>
      </c>
      <c r="H835" s="143" t="s">
        <v>26</v>
      </c>
      <c r="I835" s="143" t="s">
        <v>176</v>
      </c>
      <c r="J835" s="143" t="s">
        <v>643</v>
      </c>
      <c r="K835" s="144">
        <v>1575</v>
      </c>
      <c r="L835" s="145" t="s">
        <v>172</v>
      </c>
      <c r="M835" s="143" t="s">
        <v>6709</v>
      </c>
    </row>
    <row r="836" spans="1:13">
      <c r="A836" s="27" t="s">
        <v>6705</v>
      </c>
      <c r="B836" s="150" t="s">
        <v>8370</v>
      </c>
      <c r="C836" s="150" t="s">
        <v>7540</v>
      </c>
      <c r="D836" s="142" t="s">
        <v>8371</v>
      </c>
      <c r="E836" s="145">
        <v>1</v>
      </c>
      <c r="F836" s="143" t="s">
        <v>168</v>
      </c>
      <c r="G836" s="143" t="s">
        <v>7542</v>
      </c>
      <c r="H836" s="143" t="s">
        <v>26</v>
      </c>
      <c r="I836" s="143" t="s">
        <v>176</v>
      </c>
      <c r="J836" s="143" t="s">
        <v>643</v>
      </c>
      <c r="K836" s="144">
        <v>7875</v>
      </c>
      <c r="L836" s="145" t="s">
        <v>172</v>
      </c>
      <c r="M836" s="143" t="s">
        <v>6709</v>
      </c>
    </row>
    <row r="837" spans="1:13">
      <c r="A837" s="27" t="s">
        <v>6705</v>
      </c>
      <c r="B837" s="150" t="s">
        <v>8372</v>
      </c>
      <c r="C837" s="150" t="s">
        <v>7540</v>
      </c>
      <c r="D837" s="142" t="s">
        <v>8373</v>
      </c>
      <c r="E837" s="145">
        <v>1</v>
      </c>
      <c r="F837" s="143" t="s">
        <v>168</v>
      </c>
      <c r="G837" s="143" t="s">
        <v>7542</v>
      </c>
      <c r="H837" s="143" t="s">
        <v>26</v>
      </c>
      <c r="I837" s="143" t="s">
        <v>176</v>
      </c>
      <c r="J837" s="143" t="s">
        <v>643</v>
      </c>
      <c r="K837" s="144">
        <v>12600</v>
      </c>
      <c r="L837" s="145" t="s">
        <v>172</v>
      </c>
      <c r="M837" s="143" t="s">
        <v>6709</v>
      </c>
    </row>
    <row r="838" spans="1:13">
      <c r="A838" s="27" t="s">
        <v>6705</v>
      </c>
      <c r="B838" s="150" t="s">
        <v>8374</v>
      </c>
      <c r="C838" s="150" t="s">
        <v>7540</v>
      </c>
      <c r="D838" s="142" t="s">
        <v>8375</v>
      </c>
      <c r="E838" s="145">
        <v>1</v>
      </c>
      <c r="F838" s="143" t="s">
        <v>168</v>
      </c>
      <c r="G838" s="143" t="s">
        <v>7542</v>
      </c>
      <c r="H838" s="143" t="s">
        <v>26</v>
      </c>
      <c r="I838" s="143" t="s">
        <v>176</v>
      </c>
      <c r="J838" s="143" t="s">
        <v>643</v>
      </c>
      <c r="K838" s="144">
        <v>31500</v>
      </c>
      <c r="L838" s="145" t="s">
        <v>172</v>
      </c>
      <c r="M838" s="143" t="s">
        <v>6709</v>
      </c>
    </row>
    <row r="839" spans="1:13">
      <c r="A839" s="27" t="s">
        <v>6705</v>
      </c>
      <c r="B839" s="150" t="s">
        <v>8376</v>
      </c>
      <c r="C839" s="150" t="s">
        <v>7540</v>
      </c>
      <c r="D839" s="142" t="s">
        <v>8377</v>
      </c>
      <c r="E839" s="145">
        <v>1</v>
      </c>
      <c r="F839" s="143" t="s">
        <v>168</v>
      </c>
      <c r="G839" s="143" t="s">
        <v>7542</v>
      </c>
      <c r="H839" s="143" t="s">
        <v>26</v>
      </c>
      <c r="I839" s="143" t="s">
        <v>176</v>
      </c>
      <c r="J839" s="143" t="s">
        <v>643</v>
      </c>
      <c r="K839" s="144">
        <v>47250</v>
      </c>
      <c r="L839" s="145" t="s">
        <v>172</v>
      </c>
      <c r="M839" s="143" t="s">
        <v>6709</v>
      </c>
    </row>
    <row r="840" spans="1:13">
      <c r="A840" s="27" t="s">
        <v>6705</v>
      </c>
      <c r="B840" s="150" t="s">
        <v>8378</v>
      </c>
      <c r="C840" s="150" t="s">
        <v>7540</v>
      </c>
      <c r="D840" s="142" t="s">
        <v>8379</v>
      </c>
      <c r="E840" s="145">
        <v>1</v>
      </c>
      <c r="F840" s="143" t="s">
        <v>168</v>
      </c>
      <c r="G840" s="143" t="s">
        <v>7542</v>
      </c>
      <c r="H840" s="143" t="s">
        <v>26</v>
      </c>
      <c r="I840" s="143" t="s">
        <v>176</v>
      </c>
      <c r="J840" s="143" t="s">
        <v>643</v>
      </c>
      <c r="K840" s="144">
        <v>94500</v>
      </c>
      <c r="L840" s="145" t="s">
        <v>172</v>
      </c>
      <c r="M840" s="143" t="s">
        <v>6709</v>
      </c>
    </row>
    <row r="841" spans="1:13">
      <c r="A841" s="27" t="s">
        <v>6705</v>
      </c>
      <c r="B841" s="150" t="s">
        <v>8380</v>
      </c>
      <c r="C841" s="150" t="s">
        <v>7540</v>
      </c>
      <c r="D841" s="142" t="s">
        <v>8381</v>
      </c>
      <c r="E841" s="145">
        <v>1</v>
      </c>
      <c r="F841" s="143" t="s">
        <v>168</v>
      </c>
      <c r="G841" s="143" t="s">
        <v>7542</v>
      </c>
      <c r="H841" s="143" t="s">
        <v>26</v>
      </c>
      <c r="I841" s="143" t="s">
        <v>176</v>
      </c>
      <c r="J841" s="143" t="s">
        <v>643</v>
      </c>
      <c r="K841" s="144">
        <v>157500</v>
      </c>
      <c r="L841" s="145" t="s">
        <v>172</v>
      </c>
      <c r="M841" s="143" t="s">
        <v>6709</v>
      </c>
    </row>
    <row r="842" spans="1:13">
      <c r="A842" s="27" t="s">
        <v>6705</v>
      </c>
      <c r="B842" s="150" t="s">
        <v>8382</v>
      </c>
      <c r="C842" s="150" t="s">
        <v>7540</v>
      </c>
      <c r="D842" s="142" t="s">
        <v>8383</v>
      </c>
      <c r="E842" s="145">
        <v>1</v>
      </c>
      <c r="F842" s="143" t="s">
        <v>168</v>
      </c>
      <c r="G842" s="143" t="s">
        <v>7542</v>
      </c>
      <c r="H842" s="143" t="s">
        <v>26</v>
      </c>
      <c r="I842" s="143" t="s">
        <v>176</v>
      </c>
      <c r="J842" s="143" t="s">
        <v>643</v>
      </c>
      <c r="K842" s="144">
        <v>315000</v>
      </c>
      <c r="L842" s="145" t="s">
        <v>172</v>
      </c>
      <c r="M842" s="143" t="s">
        <v>6709</v>
      </c>
    </row>
    <row r="843" spans="1:13">
      <c r="A843" s="27" t="s">
        <v>6705</v>
      </c>
      <c r="B843" s="150" t="s">
        <v>8384</v>
      </c>
      <c r="C843" s="150" t="s">
        <v>7540</v>
      </c>
      <c r="D843" s="142" t="s">
        <v>8385</v>
      </c>
      <c r="E843" s="145">
        <v>1</v>
      </c>
      <c r="F843" s="143" t="s">
        <v>168</v>
      </c>
      <c r="G843" s="143" t="s">
        <v>7542</v>
      </c>
      <c r="H843" s="143" t="s">
        <v>26</v>
      </c>
      <c r="I843" s="143" t="s">
        <v>176</v>
      </c>
      <c r="J843" s="143" t="s">
        <v>643</v>
      </c>
      <c r="K843" s="144">
        <v>630000</v>
      </c>
      <c r="L843" s="145" t="s">
        <v>172</v>
      </c>
      <c r="M843" s="143" t="s">
        <v>6709</v>
      </c>
    </row>
    <row r="844" spans="1:13">
      <c r="A844" s="27" t="s">
        <v>6705</v>
      </c>
      <c r="B844" s="150" t="s">
        <v>8386</v>
      </c>
      <c r="C844" s="150" t="s">
        <v>7540</v>
      </c>
      <c r="D844" s="142" t="s">
        <v>8387</v>
      </c>
      <c r="E844" s="145">
        <v>1</v>
      </c>
      <c r="F844" s="143" t="s">
        <v>168</v>
      </c>
      <c r="G844" s="143" t="s">
        <v>7542</v>
      </c>
      <c r="H844" s="143" t="s">
        <v>26</v>
      </c>
      <c r="I844" s="143" t="s">
        <v>176</v>
      </c>
      <c r="J844" s="143" t="s">
        <v>643</v>
      </c>
      <c r="K844" s="144">
        <v>3937.5</v>
      </c>
      <c r="L844" s="145" t="s">
        <v>172</v>
      </c>
      <c r="M844" s="143" t="s">
        <v>6709</v>
      </c>
    </row>
    <row r="845" spans="1:13">
      <c r="A845" s="27" t="s">
        <v>6705</v>
      </c>
      <c r="B845" s="150" t="s">
        <v>8388</v>
      </c>
      <c r="C845" s="150" t="s">
        <v>7540</v>
      </c>
      <c r="D845" s="142" t="s">
        <v>8389</v>
      </c>
      <c r="E845" s="145">
        <v>1</v>
      </c>
      <c r="F845" s="143" t="s">
        <v>168</v>
      </c>
      <c r="G845" s="143" t="s">
        <v>7542</v>
      </c>
      <c r="H845" s="143" t="s">
        <v>26</v>
      </c>
      <c r="I845" s="143" t="s">
        <v>176</v>
      </c>
      <c r="J845" s="143" t="s">
        <v>643</v>
      </c>
      <c r="K845" s="144">
        <v>19687.5</v>
      </c>
      <c r="L845" s="145" t="s">
        <v>172</v>
      </c>
      <c r="M845" s="143" t="s">
        <v>6709</v>
      </c>
    </row>
    <row r="846" spans="1:13">
      <c r="A846" s="27" t="s">
        <v>6705</v>
      </c>
      <c r="B846" s="150" t="s">
        <v>8390</v>
      </c>
      <c r="C846" s="150" t="s">
        <v>7540</v>
      </c>
      <c r="D846" s="142" t="s">
        <v>8391</v>
      </c>
      <c r="E846" s="145">
        <v>1</v>
      </c>
      <c r="F846" s="143" t="s">
        <v>168</v>
      </c>
      <c r="G846" s="143" t="s">
        <v>7542</v>
      </c>
      <c r="H846" s="143" t="s">
        <v>26</v>
      </c>
      <c r="I846" s="143" t="s">
        <v>176</v>
      </c>
      <c r="J846" s="143" t="s">
        <v>643</v>
      </c>
      <c r="K846" s="144">
        <v>31500</v>
      </c>
      <c r="L846" s="145" t="s">
        <v>172</v>
      </c>
      <c r="M846" s="143" t="s">
        <v>6709</v>
      </c>
    </row>
    <row r="847" spans="1:13">
      <c r="A847" s="27" t="s">
        <v>6705</v>
      </c>
      <c r="B847" s="150" t="s">
        <v>8392</v>
      </c>
      <c r="C847" s="150" t="s">
        <v>7540</v>
      </c>
      <c r="D847" s="142" t="s">
        <v>8393</v>
      </c>
      <c r="E847" s="145">
        <v>1</v>
      </c>
      <c r="F847" s="143" t="s">
        <v>168</v>
      </c>
      <c r="G847" s="143" t="s">
        <v>7542</v>
      </c>
      <c r="H847" s="143" t="s">
        <v>26</v>
      </c>
      <c r="I847" s="143" t="s">
        <v>176</v>
      </c>
      <c r="J847" s="143" t="s">
        <v>643</v>
      </c>
      <c r="K847" s="144">
        <v>78750</v>
      </c>
      <c r="L847" s="145" t="s">
        <v>172</v>
      </c>
      <c r="M847" s="143" t="s">
        <v>6709</v>
      </c>
    </row>
    <row r="848" spans="1:13">
      <c r="A848" s="27" t="s">
        <v>6705</v>
      </c>
      <c r="B848" s="150" t="s">
        <v>8394</v>
      </c>
      <c r="C848" s="150" t="s">
        <v>7540</v>
      </c>
      <c r="D848" s="142" t="s">
        <v>8395</v>
      </c>
      <c r="E848" s="145">
        <v>1</v>
      </c>
      <c r="F848" s="143" t="s">
        <v>168</v>
      </c>
      <c r="G848" s="143" t="s">
        <v>7542</v>
      </c>
      <c r="H848" s="143" t="s">
        <v>26</v>
      </c>
      <c r="I848" s="143" t="s">
        <v>176</v>
      </c>
      <c r="J848" s="143" t="s">
        <v>643</v>
      </c>
      <c r="K848" s="144">
        <v>118125</v>
      </c>
      <c r="L848" s="145" t="s">
        <v>172</v>
      </c>
      <c r="M848" s="143" t="s">
        <v>6709</v>
      </c>
    </row>
    <row r="849" spans="1:13">
      <c r="A849" s="27" t="s">
        <v>6705</v>
      </c>
      <c r="B849" s="150" t="s">
        <v>8396</v>
      </c>
      <c r="C849" s="150" t="s">
        <v>7540</v>
      </c>
      <c r="D849" s="142" t="s">
        <v>8397</v>
      </c>
      <c r="E849" s="145">
        <v>1</v>
      </c>
      <c r="F849" s="143" t="s">
        <v>168</v>
      </c>
      <c r="G849" s="143" t="s">
        <v>7542</v>
      </c>
      <c r="H849" s="143" t="s">
        <v>26</v>
      </c>
      <c r="I849" s="143" t="s">
        <v>176</v>
      </c>
      <c r="J849" s="143" t="s">
        <v>643</v>
      </c>
      <c r="K849" s="144">
        <v>236250</v>
      </c>
      <c r="L849" s="145" t="s">
        <v>172</v>
      </c>
      <c r="M849" s="143" t="s">
        <v>6709</v>
      </c>
    </row>
    <row r="850" spans="1:13">
      <c r="A850" s="27" t="s">
        <v>6705</v>
      </c>
      <c r="B850" s="150" t="s">
        <v>8398</v>
      </c>
      <c r="C850" s="150" t="s">
        <v>7540</v>
      </c>
      <c r="D850" s="142" t="s">
        <v>8399</v>
      </c>
      <c r="E850" s="145">
        <v>1</v>
      </c>
      <c r="F850" s="143" t="s">
        <v>168</v>
      </c>
      <c r="G850" s="143" t="s">
        <v>7542</v>
      </c>
      <c r="H850" s="143" t="s">
        <v>26</v>
      </c>
      <c r="I850" s="143" t="s">
        <v>176</v>
      </c>
      <c r="J850" s="143" t="s">
        <v>643</v>
      </c>
      <c r="K850" s="144">
        <v>393750</v>
      </c>
      <c r="L850" s="145" t="s">
        <v>172</v>
      </c>
      <c r="M850" s="143" t="s">
        <v>6709</v>
      </c>
    </row>
    <row r="851" spans="1:13">
      <c r="A851" s="27" t="s">
        <v>6705</v>
      </c>
      <c r="B851" s="150" t="s">
        <v>8400</v>
      </c>
      <c r="C851" s="150" t="s">
        <v>7540</v>
      </c>
      <c r="D851" s="142" t="s">
        <v>8401</v>
      </c>
      <c r="E851" s="145">
        <v>1</v>
      </c>
      <c r="F851" s="143" t="s">
        <v>168</v>
      </c>
      <c r="G851" s="143" t="s">
        <v>7542</v>
      </c>
      <c r="H851" s="143" t="s">
        <v>26</v>
      </c>
      <c r="I851" s="143" t="s">
        <v>176</v>
      </c>
      <c r="J851" s="143" t="s">
        <v>643</v>
      </c>
      <c r="K851" s="144">
        <v>787500</v>
      </c>
      <c r="L851" s="145" t="s">
        <v>172</v>
      </c>
      <c r="M851" s="143" t="s">
        <v>6709</v>
      </c>
    </row>
    <row r="852" spans="1:13">
      <c r="A852" s="27" t="s">
        <v>6705</v>
      </c>
      <c r="B852" s="150" t="s">
        <v>8402</v>
      </c>
      <c r="C852" s="150" t="s">
        <v>7540</v>
      </c>
      <c r="D852" s="142" t="s">
        <v>8403</v>
      </c>
      <c r="E852" s="145">
        <v>1</v>
      </c>
      <c r="F852" s="143" t="s">
        <v>168</v>
      </c>
      <c r="G852" s="143" t="s">
        <v>7542</v>
      </c>
      <c r="H852" s="143" t="s">
        <v>26</v>
      </c>
      <c r="I852" s="143" t="s">
        <v>176</v>
      </c>
      <c r="J852" s="143" t="s">
        <v>643</v>
      </c>
      <c r="K852" s="144">
        <v>1575000</v>
      </c>
      <c r="L852" s="145" t="s">
        <v>172</v>
      </c>
      <c r="M852" s="143" t="s">
        <v>6709</v>
      </c>
    </row>
    <row r="853" spans="1:13">
      <c r="A853" s="27" t="s">
        <v>6705</v>
      </c>
      <c r="B853" s="150" t="s">
        <v>8404</v>
      </c>
      <c r="C853" s="150" t="s">
        <v>7540</v>
      </c>
      <c r="D853" s="142" t="s">
        <v>8405</v>
      </c>
      <c r="E853" s="145">
        <v>1</v>
      </c>
      <c r="F853" s="143" t="s">
        <v>168</v>
      </c>
      <c r="G853" s="143" t="s">
        <v>7542</v>
      </c>
      <c r="H853" s="143" t="s">
        <v>26</v>
      </c>
      <c r="I853" s="143" t="s">
        <v>176</v>
      </c>
      <c r="J853" s="143" t="s">
        <v>643</v>
      </c>
      <c r="K853" s="144">
        <f>1989+267</f>
        <v>2256</v>
      </c>
      <c r="L853" s="145" t="s">
        <v>172</v>
      </c>
      <c r="M853" s="143" t="s">
        <v>6709</v>
      </c>
    </row>
    <row r="854" spans="1:13">
      <c r="A854" s="27" t="s">
        <v>6705</v>
      </c>
      <c r="B854" s="150" t="s">
        <v>8406</v>
      </c>
      <c r="C854" s="150" t="s">
        <v>7540</v>
      </c>
      <c r="D854" s="142" t="s">
        <v>8407</v>
      </c>
      <c r="E854" s="145">
        <v>1</v>
      </c>
      <c r="F854" s="143" t="s">
        <v>168</v>
      </c>
      <c r="G854" s="143" t="s">
        <v>7542</v>
      </c>
      <c r="H854" s="143" t="s">
        <v>26</v>
      </c>
      <c r="I854" s="143" t="s">
        <v>176</v>
      </c>
      <c r="J854" s="143" t="s">
        <v>643</v>
      </c>
      <c r="K854" s="144">
        <f>1989*1.37</f>
        <v>2724.9300000000003</v>
      </c>
      <c r="L854" s="145" t="s">
        <v>172</v>
      </c>
      <c r="M854" s="143" t="s">
        <v>6709</v>
      </c>
    </row>
    <row r="855" spans="1:13">
      <c r="A855" s="27" t="s">
        <v>6705</v>
      </c>
      <c r="B855" s="150" t="s">
        <v>8408</v>
      </c>
      <c r="C855" s="150" t="s">
        <v>7540</v>
      </c>
      <c r="D855" s="142" t="s">
        <v>8409</v>
      </c>
      <c r="E855" s="145">
        <v>1</v>
      </c>
      <c r="F855" s="143" t="s">
        <v>168</v>
      </c>
      <c r="G855" s="143" t="s">
        <v>7542</v>
      </c>
      <c r="H855" s="143" t="s">
        <v>26</v>
      </c>
      <c r="I855" s="143" t="s">
        <v>176</v>
      </c>
      <c r="J855" s="143" t="s">
        <v>643</v>
      </c>
      <c r="K855" s="144">
        <f>1989*1.48</f>
        <v>2943.72</v>
      </c>
      <c r="L855" s="145" t="s">
        <v>172</v>
      </c>
      <c r="M855" s="143" t="s">
        <v>6709</v>
      </c>
    </row>
    <row r="856" spans="1:13">
      <c r="A856" s="27" t="s">
        <v>6705</v>
      </c>
      <c r="B856" s="150" t="s">
        <v>8410</v>
      </c>
      <c r="C856" s="150" t="s">
        <v>7540</v>
      </c>
      <c r="D856" s="142" t="s">
        <v>8411</v>
      </c>
      <c r="E856" s="145">
        <v>1</v>
      </c>
      <c r="F856" s="143" t="s">
        <v>168</v>
      </c>
      <c r="G856" s="143" t="s">
        <v>7542</v>
      </c>
      <c r="H856" s="143" t="s">
        <v>26</v>
      </c>
      <c r="I856" s="143" t="s">
        <v>176</v>
      </c>
      <c r="J856" s="143" t="s">
        <v>643</v>
      </c>
      <c r="K856" s="144">
        <f>1989*1.58</f>
        <v>3142.6200000000003</v>
      </c>
      <c r="L856" s="145" t="s">
        <v>172</v>
      </c>
      <c r="M856" s="143" t="s">
        <v>6709</v>
      </c>
    </row>
    <row r="857" spans="1:13">
      <c r="A857" s="27" t="s">
        <v>6705</v>
      </c>
      <c r="B857" s="150" t="s">
        <v>8412</v>
      </c>
      <c r="C857" s="150" t="s">
        <v>7540</v>
      </c>
      <c r="D857" s="142" t="s">
        <v>8413</v>
      </c>
      <c r="E857" s="145">
        <v>1</v>
      </c>
      <c r="F857" s="143" t="s">
        <v>168</v>
      </c>
      <c r="G857" s="143" t="s">
        <v>7542</v>
      </c>
      <c r="H857" s="143" t="s">
        <v>26</v>
      </c>
      <c r="I857" s="143" t="s">
        <v>176</v>
      </c>
      <c r="J857" s="143" t="s">
        <v>643</v>
      </c>
      <c r="K857" s="144">
        <f>12+86</f>
        <v>98</v>
      </c>
      <c r="L857" s="145" t="s">
        <v>172</v>
      </c>
      <c r="M857" s="143" t="s">
        <v>6709</v>
      </c>
    </row>
    <row r="858" spans="1:13">
      <c r="A858" s="27" t="s">
        <v>6705</v>
      </c>
      <c r="B858" s="150" t="s">
        <v>8414</v>
      </c>
      <c r="C858" s="150" t="s">
        <v>7540</v>
      </c>
      <c r="D858" s="142" t="s">
        <v>8415</v>
      </c>
      <c r="E858" s="145">
        <v>1</v>
      </c>
      <c r="F858" s="143" t="s">
        <v>168</v>
      </c>
      <c r="G858" s="143" t="s">
        <v>7542</v>
      </c>
      <c r="H858" s="143" t="s">
        <v>26</v>
      </c>
      <c r="I858" s="143" t="s">
        <v>176</v>
      </c>
      <c r="J858" s="143" t="s">
        <v>643</v>
      </c>
      <c r="K858" s="144">
        <f>1.37*86</f>
        <v>117.82000000000001</v>
      </c>
      <c r="L858" s="145" t="s">
        <v>172</v>
      </c>
      <c r="M858" s="143" t="s">
        <v>6709</v>
      </c>
    </row>
    <row r="859" spans="1:13">
      <c r="A859" s="27" t="s">
        <v>6705</v>
      </c>
      <c r="B859" s="150" t="s">
        <v>8416</v>
      </c>
      <c r="C859" s="150" t="s">
        <v>7540</v>
      </c>
      <c r="D859" s="142" t="s">
        <v>8417</v>
      </c>
      <c r="E859" s="145">
        <v>1</v>
      </c>
      <c r="F859" s="143" t="s">
        <v>168</v>
      </c>
      <c r="G859" s="143" t="s">
        <v>7542</v>
      </c>
      <c r="H859" s="143" t="s">
        <v>26</v>
      </c>
      <c r="I859" s="143" t="s">
        <v>176</v>
      </c>
      <c r="J859" s="143" t="s">
        <v>643</v>
      </c>
      <c r="K859" s="144">
        <f>1.48*86</f>
        <v>127.28</v>
      </c>
      <c r="L859" s="145" t="s">
        <v>172</v>
      </c>
      <c r="M859" s="143" t="s">
        <v>6709</v>
      </c>
    </row>
    <row r="860" spans="1:13">
      <c r="A860" s="27" t="s">
        <v>6705</v>
      </c>
      <c r="B860" s="150" t="s">
        <v>8418</v>
      </c>
      <c r="C860" s="150" t="s">
        <v>7540</v>
      </c>
      <c r="D860" s="142" t="s">
        <v>8419</v>
      </c>
      <c r="E860" s="145">
        <v>1</v>
      </c>
      <c r="F860" s="143" t="s">
        <v>168</v>
      </c>
      <c r="G860" s="143" t="s">
        <v>7542</v>
      </c>
      <c r="H860" s="143" t="s">
        <v>26</v>
      </c>
      <c r="I860" s="143" t="s">
        <v>176</v>
      </c>
      <c r="J860" s="143" t="s">
        <v>643</v>
      </c>
      <c r="K860" s="144">
        <f>1.58*86</f>
        <v>135.88</v>
      </c>
      <c r="L860" s="145" t="s">
        <v>172</v>
      </c>
      <c r="M860" s="143" t="s">
        <v>6709</v>
      </c>
    </row>
    <row r="861" spans="1:13">
      <c r="A861" s="27" t="s">
        <v>6705</v>
      </c>
      <c r="B861" s="150" t="s">
        <v>8420</v>
      </c>
      <c r="C861" s="150" t="s">
        <v>7540</v>
      </c>
      <c r="D861" s="142" t="s">
        <v>8421</v>
      </c>
      <c r="E861" s="145">
        <v>1</v>
      </c>
      <c r="F861" s="143" t="s">
        <v>168</v>
      </c>
      <c r="G861" s="143" t="s">
        <v>7542</v>
      </c>
      <c r="H861" s="143" t="s">
        <v>26</v>
      </c>
      <c r="I861" s="143" t="s">
        <v>176</v>
      </c>
      <c r="J861" s="143" t="s">
        <v>643</v>
      </c>
      <c r="K861" s="144">
        <f>1591+ 216</f>
        <v>1807</v>
      </c>
      <c r="L861" s="145" t="s">
        <v>172</v>
      </c>
      <c r="M861" s="143" t="s">
        <v>6709</v>
      </c>
    </row>
    <row r="862" spans="1:13">
      <c r="A862" s="27" t="s">
        <v>6705</v>
      </c>
      <c r="B862" s="150" t="s">
        <v>8422</v>
      </c>
      <c r="C862" s="150" t="s">
        <v>7540</v>
      </c>
      <c r="D862" s="142" t="s">
        <v>8423</v>
      </c>
      <c r="E862" s="145">
        <v>1</v>
      </c>
      <c r="F862" s="143" t="s">
        <v>168</v>
      </c>
      <c r="G862" s="143" t="s">
        <v>7542</v>
      </c>
      <c r="H862" s="143" t="s">
        <v>26</v>
      </c>
      <c r="I862" s="143" t="s">
        <v>176</v>
      </c>
      <c r="J862" s="143" t="s">
        <v>643</v>
      </c>
      <c r="K862" s="144">
        <f>1591*1.37</f>
        <v>2179.67</v>
      </c>
      <c r="L862" s="145" t="s">
        <v>172</v>
      </c>
      <c r="M862" s="143" t="s">
        <v>6709</v>
      </c>
    </row>
    <row r="863" spans="1:13">
      <c r="A863" s="27" t="s">
        <v>6705</v>
      </c>
      <c r="B863" s="150" t="s">
        <v>8424</v>
      </c>
      <c r="C863" s="150" t="s">
        <v>7540</v>
      </c>
      <c r="D863" s="142" t="s">
        <v>8425</v>
      </c>
      <c r="E863" s="145">
        <v>1</v>
      </c>
      <c r="F863" s="143" t="s">
        <v>168</v>
      </c>
      <c r="G863" s="143" t="s">
        <v>7542</v>
      </c>
      <c r="H863" s="143" t="s">
        <v>26</v>
      </c>
      <c r="I863" s="143" t="s">
        <v>176</v>
      </c>
      <c r="J863" s="143" t="s">
        <v>643</v>
      </c>
      <c r="K863" s="144">
        <f>1591*1.48</f>
        <v>2354.6799999999998</v>
      </c>
      <c r="L863" s="145" t="s">
        <v>172</v>
      </c>
      <c r="M863" s="143" t="s">
        <v>6709</v>
      </c>
    </row>
    <row r="864" spans="1:13">
      <c r="A864" s="27" t="s">
        <v>6705</v>
      </c>
      <c r="B864" s="150" t="s">
        <v>8426</v>
      </c>
      <c r="C864" s="150" t="s">
        <v>7540</v>
      </c>
      <c r="D864" s="142" t="s">
        <v>8427</v>
      </c>
      <c r="E864" s="145">
        <v>1</v>
      </c>
      <c r="F864" s="143" t="s">
        <v>168</v>
      </c>
      <c r="G864" s="143" t="s">
        <v>7542</v>
      </c>
      <c r="H864" s="143" t="s">
        <v>26</v>
      </c>
      <c r="I864" s="143" t="s">
        <v>176</v>
      </c>
      <c r="J864" s="143" t="s">
        <v>643</v>
      </c>
      <c r="K864" s="144">
        <f>1591*1.58</f>
        <v>2513.7800000000002</v>
      </c>
      <c r="L864" s="145" t="s">
        <v>172</v>
      </c>
      <c r="M864" s="143" t="s">
        <v>6709</v>
      </c>
    </row>
    <row r="865" spans="1:13">
      <c r="A865" s="27" t="s">
        <v>6705</v>
      </c>
      <c r="B865" s="150" t="s">
        <v>8428</v>
      </c>
      <c r="C865" s="150" t="s">
        <v>7540</v>
      </c>
      <c r="D865" s="142" t="s">
        <v>8429</v>
      </c>
      <c r="E865" s="145">
        <v>1</v>
      </c>
      <c r="F865" s="143" t="s">
        <v>168</v>
      </c>
      <c r="G865" s="143" t="s">
        <v>7542</v>
      </c>
      <c r="H865" s="143" t="s">
        <v>26</v>
      </c>
      <c r="I865" s="143" t="s">
        <v>176</v>
      </c>
      <c r="J865" s="143" t="s">
        <v>643</v>
      </c>
      <c r="K865" s="144">
        <v>7469.28</v>
      </c>
      <c r="L865" s="145" t="s">
        <v>172</v>
      </c>
      <c r="M865" s="143" t="s">
        <v>6709</v>
      </c>
    </row>
    <row r="866" spans="1:13">
      <c r="A866" s="27" t="s">
        <v>6705</v>
      </c>
      <c r="B866" s="150" t="s">
        <v>8430</v>
      </c>
      <c r="C866" s="150" t="s">
        <v>7540</v>
      </c>
      <c r="D866" s="142" t="s">
        <v>8431</v>
      </c>
      <c r="E866" s="145">
        <v>1</v>
      </c>
      <c r="F866" s="143" t="s">
        <v>168</v>
      </c>
      <c r="G866" s="143" t="s">
        <v>7542</v>
      </c>
      <c r="H866" s="143" t="s">
        <v>26</v>
      </c>
      <c r="I866" s="143" t="s">
        <v>176</v>
      </c>
      <c r="J866" s="143" t="s">
        <v>643</v>
      </c>
      <c r="K866" s="144">
        <v>11080.8</v>
      </c>
      <c r="L866" s="145" t="s">
        <v>172</v>
      </c>
      <c r="M866" s="143" t="s">
        <v>6709</v>
      </c>
    </row>
    <row r="867" spans="1:13">
      <c r="A867" s="27" t="s">
        <v>6705</v>
      </c>
      <c r="B867" s="150" t="s">
        <v>8432</v>
      </c>
      <c r="C867" s="150" t="s">
        <v>7540</v>
      </c>
      <c r="D867" s="142" t="s">
        <v>8433</v>
      </c>
      <c r="E867" s="145">
        <v>1</v>
      </c>
      <c r="F867" s="143" t="s">
        <v>168</v>
      </c>
      <c r="G867" s="143" t="s">
        <v>7542</v>
      </c>
      <c r="H867" s="143" t="s">
        <v>26</v>
      </c>
      <c r="I867" s="143" t="s">
        <v>176</v>
      </c>
      <c r="J867" s="143" t="s">
        <v>643</v>
      </c>
      <c r="K867" s="144">
        <v>11203.92</v>
      </c>
      <c r="L867" s="145" t="s">
        <v>172</v>
      </c>
      <c r="M867" s="143" t="s">
        <v>6709</v>
      </c>
    </row>
    <row r="868" spans="1:13">
      <c r="A868" s="27" t="s">
        <v>6705</v>
      </c>
      <c r="B868" s="150" t="s">
        <v>8434</v>
      </c>
      <c r="C868" s="150" t="s">
        <v>7540</v>
      </c>
      <c r="D868" s="142" t="s">
        <v>8435</v>
      </c>
      <c r="E868" s="145">
        <v>1</v>
      </c>
      <c r="F868" s="143" t="s">
        <v>168</v>
      </c>
      <c r="G868" s="143" t="s">
        <v>7542</v>
      </c>
      <c r="H868" s="143" t="s">
        <v>26</v>
      </c>
      <c r="I868" s="143" t="s">
        <v>176</v>
      </c>
      <c r="J868" s="143" t="s">
        <v>643</v>
      </c>
      <c r="K868" s="144">
        <v>16621.2</v>
      </c>
      <c r="L868" s="145" t="s">
        <v>172</v>
      </c>
      <c r="M868" s="143" t="s">
        <v>6709</v>
      </c>
    </row>
    <row r="869" spans="1:13">
      <c r="A869" s="27" t="s">
        <v>6705</v>
      </c>
      <c r="B869" s="150" t="s">
        <v>8436</v>
      </c>
      <c r="C869" s="150" t="s">
        <v>7540</v>
      </c>
      <c r="D869" s="142" t="s">
        <v>8437</v>
      </c>
      <c r="E869" s="145">
        <v>1</v>
      </c>
      <c r="F869" s="143" t="s">
        <v>168</v>
      </c>
      <c r="G869" s="143" t="s">
        <v>7542</v>
      </c>
      <c r="H869" s="143" t="s">
        <v>26</v>
      </c>
      <c r="I869" s="143" t="s">
        <v>176</v>
      </c>
      <c r="J869" s="143" t="s">
        <v>643</v>
      </c>
      <c r="K869" s="144">
        <v>2800.98</v>
      </c>
      <c r="L869" s="145" t="s">
        <v>172</v>
      </c>
      <c r="M869" s="143" t="s">
        <v>6709</v>
      </c>
    </row>
    <row r="870" spans="1:13">
      <c r="A870" s="27" t="s">
        <v>6705</v>
      </c>
      <c r="B870" s="150" t="s">
        <v>8438</v>
      </c>
      <c r="C870" s="150" t="s">
        <v>7540</v>
      </c>
      <c r="D870" s="142" t="s">
        <v>8439</v>
      </c>
      <c r="E870" s="145">
        <v>1</v>
      </c>
      <c r="F870" s="143" t="s">
        <v>168</v>
      </c>
      <c r="G870" s="143" t="s">
        <v>7542</v>
      </c>
      <c r="H870" s="143" t="s">
        <v>26</v>
      </c>
      <c r="I870" s="143" t="s">
        <v>176</v>
      </c>
      <c r="J870" s="143" t="s">
        <v>643</v>
      </c>
      <c r="K870" s="144">
        <v>4155.3</v>
      </c>
      <c r="L870" s="145" t="s">
        <v>172</v>
      </c>
      <c r="M870" s="143" t="s">
        <v>6709</v>
      </c>
    </row>
    <row r="871" spans="1:13">
      <c r="A871" s="27" t="s">
        <v>6705</v>
      </c>
      <c r="B871" s="150" t="s">
        <v>8440</v>
      </c>
      <c r="C871" s="150" t="s">
        <v>7540</v>
      </c>
      <c r="D871" s="142" t="s">
        <v>8441</v>
      </c>
      <c r="E871" s="145">
        <v>1</v>
      </c>
      <c r="F871" s="143" t="s">
        <v>168</v>
      </c>
      <c r="G871" s="143" t="s">
        <v>7542</v>
      </c>
      <c r="H871" s="143" t="s">
        <v>26</v>
      </c>
      <c r="I871" s="143" t="s">
        <v>176</v>
      </c>
      <c r="J871" s="143" t="s">
        <v>643</v>
      </c>
      <c r="K871" s="144">
        <v>56019.6</v>
      </c>
      <c r="L871" s="145" t="s">
        <v>172</v>
      </c>
      <c r="M871" s="143" t="s">
        <v>6709</v>
      </c>
    </row>
    <row r="872" spans="1:13">
      <c r="A872" s="27" t="s">
        <v>6705</v>
      </c>
      <c r="B872" s="150" t="s">
        <v>8442</v>
      </c>
      <c r="C872" s="150" t="s">
        <v>7540</v>
      </c>
      <c r="D872" s="142" t="s">
        <v>8443</v>
      </c>
      <c r="E872" s="145">
        <v>1</v>
      </c>
      <c r="F872" s="143" t="s">
        <v>168</v>
      </c>
      <c r="G872" s="143" t="s">
        <v>7542</v>
      </c>
      <c r="H872" s="143" t="s">
        <v>26</v>
      </c>
      <c r="I872" s="143" t="s">
        <v>176</v>
      </c>
      <c r="J872" s="143" t="s">
        <v>643</v>
      </c>
      <c r="K872" s="144">
        <v>83106</v>
      </c>
      <c r="L872" s="145" t="s">
        <v>172</v>
      </c>
      <c r="M872" s="143" t="s">
        <v>6709</v>
      </c>
    </row>
    <row r="873" spans="1:13">
      <c r="A873" s="27" t="s">
        <v>6705</v>
      </c>
      <c r="B873" s="150" t="s">
        <v>8444</v>
      </c>
      <c r="C873" s="150" t="s">
        <v>7540</v>
      </c>
      <c r="D873" s="142" t="s">
        <v>8445</v>
      </c>
      <c r="E873" s="145">
        <v>1</v>
      </c>
      <c r="F873" s="143" t="s">
        <v>168</v>
      </c>
      <c r="G873" s="143" t="s">
        <v>7542</v>
      </c>
      <c r="H873" s="143" t="s">
        <v>26</v>
      </c>
      <c r="I873" s="143" t="s">
        <v>176</v>
      </c>
      <c r="J873" s="143" t="s">
        <v>643</v>
      </c>
      <c r="K873" s="144">
        <v>84029.4</v>
      </c>
      <c r="L873" s="145" t="s">
        <v>172</v>
      </c>
      <c r="M873" s="143" t="s">
        <v>6709</v>
      </c>
    </row>
    <row r="874" spans="1:13">
      <c r="A874" s="27" t="s">
        <v>6705</v>
      </c>
      <c r="B874" s="150" t="s">
        <v>8446</v>
      </c>
      <c r="C874" s="150" t="s">
        <v>7540</v>
      </c>
      <c r="D874" s="142" t="s">
        <v>8447</v>
      </c>
      <c r="E874" s="145">
        <v>1</v>
      </c>
      <c r="F874" s="143" t="s">
        <v>168</v>
      </c>
      <c r="G874" s="143" t="s">
        <v>7542</v>
      </c>
      <c r="H874" s="143" t="s">
        <v>26</v>
      </c>
      <c r="I874" s="143" t="s">
        <v>176</v>
      </c>
      <c r="J874" s="143" t="s">
        <v>643</v>
      </c>
      <c r="K874" s="144">
        <v>124659</v>
      </c>
      <c r="L874" s="145" t="s">
        <v>172</v>
      </c>
      <c r="M874" s="143" t="s">
        <v>6709</v>
      </c>
    </row>
    <row r="875" spans="1:13">
      <c r="A875" s="27" t="s">
        <v>6705</v>
      </c>
      <c r="B875" s="150" t="s">
        <v>8448</v>
      </c>
      <c r="C875" s="150" t="s">
        <v>7540</v>
      </c>
      <c r="D875" s="142" t="s">
        <v>8449</v>
      </c>
      <c r="E875" s="145">
        <v>1</v>
      </c>
      <c r="F875" s="143" t="s">
        <v>168</v>
      </c>
      <c r="G875" s="143" t="s">
        <v>7542</v>
      </c>
      <c r="H875" s="143" t="s">
        <v>26</v>
      </c>
      <c r="I875" s="143" t="s">
        <v>176</v>
      </c>
      <c r="J875" s="143" t="s">
        <v>643</v>
      </c>
      <c r="K875" s="144">
        <v>5380.8</v>
      </c>
      <c r="L875" s="145" t="s">
        <v>172</v>
      </c>
      <c r="M875" s="143" t="s">
        <v>6709</v>
      </c>
    </row>
    <row r="876" spans="1:13">
      <c r="A876" s="27" t="s">
        <v>6705</v>
      </c>
      <c r="B876" s="150" t="s">
        <v>8450</v>
      </c>
      <c r="C876" s="150" t="s">
        <v>7540</v>
      </c>
      <c r="D876" s="142" t="s">
        <v>8451</v>
      </c>
      <c r="E876" s="145">
        <v>1</v>
      </c>
      <c r="F876" s="143" t="s">
        <v>168</v>
      </c>
      <c r="G876" s="143" t="s">
        <v>7542</v>
      </c>
      <c r="H876" s="143" t="s">
        <v>26</v>
      </c>
      <c r="I876" s="143" t="s">
        <v>176</v>
      </c>
      <c r="J876" s="143" t="s">
        <v>643</v>
      </c>
      <c r="K876" s="144">
        <v>10852.8</v>
      </c>
      <c r="L876" s="145" t="s">
        <v>172</v>
      </c>
      <c r="M876" s="143" t="s">
        <v>6709</v>
      </c>
    </row>
    <row r="877" spans="1:13">
      <c r="A877" s="27" t="s">
        <v>6705</v>
      </c>
      <c r="B877" s="150" t="s">
        <v>8452</v>
      </c>
      <c r="C877" s="150" t="s">
        <v>7540</v>
      </c>
      <c r="D877" s="142" t="s">
        <v>8453</v>
      </c>
      <c r="E877" s="145">
        <v>1</v>
      </c>
      <c r="F877" s="143" t="s">
        <v>168</v>
      </c>
      <c r="G877" s="143" t="s">
        <v>7542</v>
      </c>
      <c r="H877" s="143" t="s">
        <v>26</v>
      </c>
      <c r="I877" s="143" t="s">
        <v>176</v>
      </c>
      <c r="J877" s="143" t="s">
        <v>643</v>
      </c>
      <c r="K877" s="144">
        <v>16963.2</v>
      </c>
      <c r="L877" s="145" t="s">
        <v>172</v>
      </c>
      <c r="M877" s="143" t="s">
        <v>6709</v>
      </c>
    </row>
    <row r="878" spans="1:13">
      <c r="A878" s="27" t="s">
        <v>6705</v>
      </c>
      <c r="B878" s="150" t="s">
        <v>8454</v>
      </c>
      <c r="C878" s="150" t="s">
        <v>7540</v>
      </c>
      <c r="D878" s="142" t="s">
        <v>8455</v>
      </c>
      <c r="E878" s="145">
        <v>1</v>
      </c>
      <c r="F878" s="143" t="s">
        <v>168</v>
      </c>
      <c r="G878" s="143" t="s">
        <v>7542</v>
      </c>
      <c r="H878" s="143" t="s">
        <v>26</v>
      </c>
      <c r="I878" s="143" t="s">
        <v>176</v>
      </c>
      <c r="J878" s="143" t="s">
        <v>643</v>
      </c>
      <c r="K878" s="144">
        <v>1635</v>
      </c>
      <c r="L878" s="145" t="s">
        <v>172</v>
      </c>
      <c r="M878" s="143" t="s">
        <v>6709</v>
      </c>
    </row>
    <row r="879" spans="1:13">
      <c r="A879" s="27" t="s">
        <v>6705</v>
      </c>
      <c r="B879" s="150" t="s">
        <v>8456</v>
      </c>
      <c r="C879" s="150" t="s">
        <v>7540</v>
      </c>
      <c r="D879" s="142" t="s">
        <v>8457</v>
      </c>
      <c r="E879" s="145">
        <v>1</v>
      </c>
      <c r="F879" s="143" t="s">
        <v>168</v>
      </c>
      <c r="G879" s="143" t="s">
        <v>7542</v>
      </c>
      <c r="H879" s="143" t="s">
        <v>26</v>
      </c>
      <c r="I879" s="143" t="s">
        <v>176</v>
      </c>
      <c r="J879" s="143" t="s">
        <v>643</v>
      </c>
      <c r="K879" s="144">
        <v>8177</v>
      </c>
      <c r="L879" s="145" t="s">
        <v>172</v>
      </c>
      <c r="M879" s="143" t="s">
        <v>6709</v>
      </c>
    </row>
    <row r="880" spans="1:13">
      <c r="A880" s="27" t="s">
        <v>6705</v>
      </c>
      <c r="B880" s="150" t="s">
        <v>8458</v>
      </c>
      <c r="C880" s="150" t="s">
        <v>7540</v>
      </c>
      <c r="D880" s="142" t="s">
        <v>8459</v>
      </c>
      <c r="E880" s="145">
        <v>1</v>
      </c>
      <c r="F880" s="143" t="s">
        <v>168</v>
      </c>
      <c r="G880" s="143" t="s">
        <v>7542</v>
      </c>
      <c r="H880" s="143" t="s">
        <v>26</v>
      </c>
      <c r="I880" s="143" t="s">
        <v>176</v>
      </c>
      <c r="J880" s="143" t="s">
        <v>643</v>
      </c>
      <c r="K880" s="144">
        <v>13084</v>
      </c>
      <c r="L880" s="145" t="s">
        <v>172</v>
      </c>
      <c r="M880" s="143" t="s">
        <v>6709</v>
      </c>
    </row>
    <row r="881" spans="1:13">
      <c r="A881" s="27" t="s">
        <v>6705</v>
      </c>
      <c r="B881" s="150" t="s">
        <v>8460</v>
      </c>
      <c r="C881" s="150" t="s">
        <v>7540</v>
      </c>
      <c r="D881" s="142" t="s">
        <v>8461</v>
      </c>
      <c r="E881" s="145">
        <v>1</v>
      </c>
      <c r="F881" s="143" t="s">
        <v>168</v>
      </c>
      <c r="G881" s="143" t="s">
        <v>7542</v>
      </c>
      <c r="H881" s="143" t="s">
        <v>26</v>
      </c>
      <c r="I881" s="143" t="s">
        <v>176</v>
      </c>
      <c r="J881" s="143" t="s">
        <v>643</v>
      </c>
      <c r="K881" s="144">
        <v>32710</v>
      </c>
      <c r="L881" s="145" t="s">
        <v>172</v>
      </c>
      <c r="M881" s="143" t="s">
        <v>6709</v>
      </c>
    </row>
    <row r="882" spans="1:13">
      <c r="A882" s="27" t="s">
        <v>6705</v>
      </c>
      <c r="B882" s="150" t="s">
        <v>8462</v>
      </c>
      <c r="C882" s="150" t="s">
        <v>7540</v>
      </c>
      <c r="D882" s="142" t="s">
        <v>8463</v>
      </c>
      <c r="E882" s="145">
        <v>1</v>
      </c>
      <c r="F882" s="143" t="s">
        <v>168</v>
      </c>
      <c r="G882" s="143" t="s">
        <v>7542</v>
      </c>
      <c r="H882" s="143" t="s">
        <v>26</v>
      </c>
      <c r="I882" s="143" t="s">
        <v>176</v>
      </c>
      <c r="J882" s="143" t="s">
        <v>643</v>
      </c>
      <c r="K882" s="144">
        <v>49064</v>
      </c>
      <c r="L882" s="145" t="s">
        <v>172</v>
      </c>
      <c r="M882" s="143" t="s">
        <v>6709</v>
      </c>
    </row>
    <row r="883" spans="1:13">
      <c r="A883" s="27" t="s">
        <v>6705</v>
      </c>
      <c r="B883" s="150" t="s">
        <v>8464</v>
      </c>
      <c r="C883" s="150" t="s">
        <v>7540</v>
      </c>
      <c r="D883" s="142" t="s">
        <v>8465</v>
      </c>
      <c r="E883" s="145">
        <v>1</v>
      </c>
      <c r="F883" s="143" t="s">
        <v>168</v>
      </c>
      <c r="G883" s="143" t="s">
        <v>7542</v>
      </c>
      <c r="H883" s="143" t="s">
        <v>26</v>
      </c>
      <c r="I883" s="143" t="s">
        <v>176</v>
      </c>
      <c r="J883" s="143" t="s">
        <v>643</v>
      </c>
      <c r="K883" s="144">
        <v>98129</v>
      </c>
      <c r="L883" s="145" t="s">
        <v>172</v>
      </c>
      <c r="M883" s="143" t="s">
        <v>6709</v>
      </c>
    </row>
    <row r="884" spans="1:13">
      <c r="A884" s="27" t="s">
        <v>6705</v>
      </c>
      <c r="B884" s="150" t="s">
        <v>8466</v>
      </c>
      <c r="C884" s="150" t="s">
        <v>7540</v>
      </c>
      <c r="D884" s="142" t="s">
        <v>8467</v>
      </c>
      <c r="E884" s="145">
        <v>1</v>
      </c>
      <c r="F884" s="143" t="s">
        <v>168</v>
      </c>
      <c r="G884" s="143" t="s">
        <v>7542</v>
      </c>
      <c r="H884" s="143" t="s">
        <v>26</v>
      </c>
      <c r="I884" s="143" t="s">
        <v>176</v>
      </c>
      <c r="J884" s="143" t="s">
        <v>643</v>
      </c>
      <c r="K884" s="144">
        <v>163548</v>
      </c>
      <c r="L884" s="145" t="s">
        <v>172</v>
      </c>
      <c r="M884" s="143" t="s">
        <v>6709</v>
      </c>
    </row>
    <row r="885" spans="1:13">
      <c r="A885" s="27" t="s">
        <v>6705</v>
      </c>
      <c r="B885" s="150" t="s">
        <v>8468</v>
      </c>
      <c r="C885" s="150" t="s">
        <v>7540</v>
      </c>
      <c r="D885" s="142" t="s">
        <v>8469</v>
      </c>
      <c r="E885" s="145">
        <v>1</v>
      </c>
      <c r="F885" s="143" t="s">
        <v>168</v>
      </c>
      <c r="G885" s="143" t="s">
        <v>7542</v>
      </c>
      <c r="H885" s="143" t="s">
        <v>26</v>
      </c>
      <c r="I885" s="143" t="s">
        <v>176</v>
      </c>
      <c r="J885" s="143" t="s">
        <v>643</v>
      </c>
      <c r="K885" s="144">
        <v>327096</v>
      </c>
      <c r="L885" s="145" t="s">
        <v>172</v>
      </c>
      <c r="M885" s="143" t="s">
        <v>6709</v>
      </c>
    </row>
    <row r="886" spans="1:13">
      <c r="A886" s="27" t="s">
        <v>6705</v>
      </c>
      <c r="B886" s="150" t="s">
        <v>8470</v>
      </c>
      <c r="C886" s="150" t="s">
        <v>7540</v>
      </c>
      <c r="D886" s="142" t="s">
        <v>8471</v>
      </c>
      <c r="E886" s="145">
        <v>1</v>
      </c>
      <c r="F886" s="143" t="s">
        <v>168</v>
      </c>
      <c r="G886" s="143" t="s">
        <v>7542</v>
      </c>
      <c r="H886" s="143" t="s">
        <v>26</v>
      </c>
      <c r="I886" s="143" t="s">
        <v>176</v>
      </c>
      <c r="J886" s="143" t="s">
        <v>643</v>
      </c>
      <c r="K886" s="144">
        <v>654192</v>
      </c>
      <c r="L886" s="145" t="s">
        <v>172</v>
      </c>
      <c r="M886" s="143" t="s">
        <v>6709</v>
      </c>
    </row>
    <row r="887" spans="1:13">
      <c r="A887" s="27" t="s">
        <v>6705</v>
      </c>
      <c r="B887" s="150" t="s">
        <v>8472</v>
      </c>
      <c r="C887" s="150" t="s">
        <v>7540</v>
      </c>
      <c r="D887" s="142" t="s">
        <v>8473</v>
      </c>
      <c r="E887" s="145">
        <v>1</v>
      </c>
      <c r="F887" s="143" t="s">
        <v>168</v>
      </c>
      <c r="G887" s="143" t="s">
        <v>7542</v>
      </c>
      <c r="H887" s="143" t="s">
        <v>26</v>
      </c>
      <c r="I887" s="143" t="s">
        <v>176</v>
      </c>
      <c r="J887" s="143" t="s">
        <v>643</v>
      </c>
      <c r="K887" s="144">
        <v>4123</v>
      </c>
      <c r="L887" s="145" t="s">
        <v>172</v>
      </c>
      <c r="M887" s="143" t="s">
        <v>6709</v>
      </c>
    </row>
    <row r="888" spans="1:13">
      <c r="A888" s="27" t="s">
        <v>6705</v>
      </c>
      <c r="B888" s="150" t="s">
        <v>8474</v>
      </c>
      <c r="C888" s="150" t="s">
        <v>7540</v>
      </c>
      <c r="D888" s="142" t="s">
        <v>8475</v>
      </c>
      <c r="E888" s="145">
        <v>1</v>
      </c>
      <c r="F888" s="143" t="s">
        <v>168</v>
      </c>
      <c r="G888" s="143" t="s">
        <v>7542</v>
      </c>
      <c r="H888" s="143" t="s">
        <v>26</v>
      </c>
      <c r="I888" s="143" t="s">
        <v>176</v>
      </c>
      <c r="J888" s="143" t="s">
        <v>643</v>
      </c>
      <c r="K888" s="144">
        <v>20617</v>
      </c>
      <c r="L888" s="145" t="s">
        <v>172</v>
      </c>
      <c r="M888" s="143" t="s">
        <v>6709</v>
      </c>
    </row>
    <row r="889" spans="1:13">
      <c r="A889" s="27" t="s">
        <v>6705</v>
      </c>
      <c r="B889" s="150" t="s">
        <v>8476</v>
      </c>
      <c r="C889" s="150" t="s">
        <v>7540</v>
      </c>
      <c r="D889" s="142" t="s">
        <v>8477</v>
      </c>
      <c r="E889" s="145">
        <v>1</v>
      </c>
      <c r="F889" s="143" t="s">
        <v>168</v>
      </c>
      <c r="G889" s="143" t="s">
        <v>7542</v>
      </c>
      <c r="H889" s="143" t="s">
        <v>26</v>
      </c>
      <c r="I889" s="143" t="s">
        <v>176</v>
      </c>
      <c r="J889" s="143" t="s">
        <v>643</v>
      </c>
      <c r="K889" s="144">
        <v>32987</v>
      </c>
      <c r="L889" s="145" t="s">
        <v>172</v>
      </c>
      <c r="M889" s="143" t="s">
        <v>6709</v>
      </c>
    </row>
    <row r="890" spans="1:13">
      <c r="A890" s="27" t="s">
        <v>6705</v>
      </c>
      <c r="B890" s="150" t="s">
        <v>8478</v>
      </c>
      <c r="C890" s="150" t="s">
        <v>7540</v>
      </c>
      <c r="D890" s="142" t="s">
        <v>8479</v>
      </c>
      <c r="E890" s="145">
        <v>1</v>
      </c>
      <c r="F890" s="143" t="s">
        <v>168</v>
      </c>
      <c r="G890" s="143" t="s">
        <v>7542</v>
      </c>
      <c r="H890" s="143" t="s">
        <v>26</v>
      </c>
      <c r="I890" s="143" t="s">
        <v>176</v>
      </c>
      <c r="J890" s="143" t="s">
        <v>643</v>
      </c>
      <c r="K890" s="144">
        <v>82467</v>
      </c>
      <c r="L890" s="145" t="s">
        <v>172</v>
      </c>
      <c r="M890" s="143" t="s">
        <v>6709</v>
      </c>
    </row>
    <row r="891" spans="1:13">
      <c r="A891" s="27" t="s">
        <v>6705</v>
      </c>
      <c r="B891" s="150" t="s">
        <v>8480</v>
      </c>
      <c r="C891" s="150" t="s">
        <v>7540</v>
      </c>
      <c r="D891" s="142" t="s">
        <v>8481</v>
      </c>
      <c r="E891" s="145">
        <v>1</v>
      </c>
      <c r="F891" s="143" t="s">
        <v>168</v>
      </c>
      <c r="G891" s="143" t="s">
        <v>7542</v>
      </c>
      <c r="H891" s="143" t="s">
        <v>26</v>
      </c>
      <c r="I891" s="143" t="s">
        <v>176</v>
      </c>
      <c r="J891" s="143" t="s">
        <v>643</v>
      </c>
      <c r="K891" s="144">
        <v>123701</v>
      </c>
      <c r="L891" s="145" t="s">
        <v>172</v>
      </c>
      <c r="M891" s="143" t="s">
        <v>6709</v>
      </c>
    </row>
    <row r="892" spans="1:13">
      <c r="A892" s="27" t="s">
        <v>6705</v>
      </c>
      <c r="B892" s="150" t="s">
        <v>8482</v>
      </c>
      <c r="C892" s="150" t="s">
        <v>7540</v>
      </c>
      <c r="D892" s="142" t="s">
        <v>8483</v>
      </c>
      <c r="E892" s="145">
        <v>1</v>
      </c>
      <c r="F892" s="143" t="s">
        <v>168</v>
      </c>
      <c r="G892" s="143" t="s">
        <v>7542</v>
      </c>
      <c r="H892" s="143" t="s">
        <v>26</v>
      </c>
      <c r="I892" s="143" t="s">
        <v>176</v>
      </c>
      <c r="J892" s="143" t="s">
        <v>643</v>
      </c>
      <c r="K892" s="144">
        <v>247401</v>
      </c>
      <c r="L892" s="145" t="s">
        <v>172</v>
      </c>
      <c r="M892" s="143" t="s">
        <v>6709</v>
      </c>
    </row>
    <row r="893" spans="1:13">
      <c r="A893" s="27" t="s">
        <v>6705</v>
      </c>
      <c r="B893" s="150" t="s">
        <v>8484</v>
      </c>
      <c r="C893" s="150" t="s">
        <v>7540</v>
      </c>
      <c r="D893" s="142" t="s">
        <v>8485</v>
      </c>
      <c r="E893" s="145">
        <v>1</v>
      </c>
      <c r="F893" s="143" t="s">
        <v>168</v>
      </c>
      <c r="G893" s="143" t="s">
        <v>7542</v>
      </c>
      <c r="H893" s="143" t="s">
        <v>26</v>
      </c>
      <c r="I893" s="143" t="s">
        <v>176</v>
      </c>
      <c r="J893" s="143" t="s">
        <v>643</v>
      </c>
      <c r="K893" s="144">
        <v>412335</v>
      </c>
      <c r="L893" s="145" t="s">
        <v>172</v>
      </c>
      <c r="M893" s="143" t="s">
        <v>6709</v>
      </c>
    </row>
    <row r="894" spans="1:13">
      <c r="A894" s="27" t="s">
        <v>6705</v>
      </c>
      <c r="B894" s="150" t="s">
        <v>8486</v>
      </c>
      <c r="C894" s="150" t="s">
        <v>7540</v>
      </c>
      <c r="D894" s="142" t="s">
        <v>8487</v>
      </c>
      <c r="E894" s="145">
        <v>1</v>
      </c>
      <c r="F894" s="143" t="s">
        <v>168</v>
      </c>
      <c r="G894" s="143" t="s">
        <v>7542</v>
      </c>
      <c r="H894" s="143" t="s">
        <v>26</v>
      </c>
      <c r="I894" s="143" t="s">
        <v>176</v>
      </c>
      <c r="J894" s="143" t="s">
        <v>643</v>
      </c>
      <c r="K894" s="144">
        <v>824670</v>
      </c>
      <c r="L894" s="145" t="s">
        <v>172</v>
      </c>
      <c r="M894" s="143" t="s">
        <v>6709</v>
      </c>
    </row>
    <row r="895" spans="1:13">
      <c r="A895" s="27" t="s">
        <v>6705</v>
      </c>
      <c r="B895" s="150" t="s">
        <v>8488</v>
      </c>
      <c r="C895" s="150" t="s">
        <v>7540</v>
      </c>
      <c r="D895" s="142" t="s">
        <v>8489</v>
      </c>
      <c r="E895" s="145">
        <v>1</v>
      </c>
      <c r="F895" s="143" t="s">
        <v>168</v>
      </c>
      <c r="G895" s="143" t="s">
        <v>7542</v>
      </c>
      <c r="H895" s="143" t="s">
        <v>26</v>
      </c>
      <c r="I895" s="143" t="s">
        <v>176</v>
      </c>
      <c r="J895" s="143" t="s">
        <v>643</v>
      </c>
      <c r="K895" s="144">
        <v>1649340</v>
      </c>
      <c r="L895" s="145" t="s">
        <v>172</v>
      </c>
      <c r="M895" s="143" t="s">
        <v>6709</v>
      </c>
    </row>
    <row r="896" spans="1:13">
      <c r="A896" s="27" t="s">
        <v>6705</v>
      </c>
      <c r="B896" s="150" t="s">
        <v>8490</v>
      </c>
      <c r="C896" s="150" t="s">
        <v>7540</v>
      </c>
      <c r="D896" s="142" t="s">
        <v>8491</v>
      </c>
      <c r="E896" s="145">
        <v>1</v>
      </c>
      <c r="F896" s="143" t="s">
        <v>168</v>
      </c>
      <c r="G896" s="143" t="s">
        <v>7542</v>
      </c>
      <c r="H896" s="143" t="s">
        <v>26</v>
      </c>
      <c r="I896" s="143" t="s">
        <v>176</v>
      </c>
      <c r="J896" s="143" t="s">
        <v>643</v>
      </c>
      <c r="K896" s="144">
        <v>6597</v>
      </c>
      <c r="L896" s="145" t="s">
        <v>172</v>
      </c>
      <c r="M896" s="143" t="s">
        <v>6709</v>
      </c>
    </row>
    <row r="897" spans="1:13">
      <c r="A897" s="27" t="s">
        <v>6705</v>
      </c>
      <c r="B897" s="150" t="s">
        <v>8492</v>
      </c>
      <c r="C897" s="150" t="s">
        <v>7540</v>
      </c>
      <c r="D897" s="142" t="s">
        <v>8493</v>
      </c>
      <c r="E897" s="145">
        <v>1</v>
      </c>
      <c r="F897" s="143" t="s">
        <v>168</v>
      </c>
      <c r="G897" s="143" t="s">
        <v>7542</v>
      </c>
      <c r="H897" s="143" t="s">
        <v>26</v>
      </c>
      <c r="I897" s="143" t="s">
        <v>176</v>
      </c>
      <c r="J897" s="143" t="s">
        <v>643</v>
      </c>
      <c r="K897" s="144">
        <v>34373</v>
      </c>
      <c r="L897" s="145" t="s">
        <v>172</v>
      </c>
      <c r="M897" s="143" t="s">
        <v>6709</v>
      </c>
    </row>
    <row r="898" spans="1:13">
      <c r="A898" s="27" t="s">
        <v>6705</v>
      </c>
      <c r="B898" s="150" t="s">
        <v>8494</v>
      </c>
      <c r="C898" s="150" t="s">
        <v>7540</v>
      </c>
      <c r="D898" s="142" t="s">
        <v>8495</v>
      </c>
      <c r="E898" s="145">
        <v>1</v>
      </c>
      <c r="F898" s="143" t="s">
        <v>168</v>
      </c>
      <c r="G898" s="143" t="s">
        <v>7542</v>
      </c>
      <c r="H898" s="143" t="s">
        <v>26</v>
      </c>
      <c r="I898" s="143" t="s">
        <v>176</v>
      </c>
      <c r="J898" s="143" t="s">
        <v>643</v>
      </c>
      <c r="K898" s="144">
        <v>54996</v>
      </c>
      <c r="L898" s="145" t="s">
        <v>172</v>
      </c>
      <c r="M898" s="143" t="s">
        <v>6709</v>
      </c>
    </row>
    <row r="899" spans="1:13">
      <c r="A899" s="27" t="s">
        <v>6705</v>
      </c>
      <c r="B899" s="150" t="s">
        <v>8496</v>
      </c>
      <c r="C899" s="150" t="s">
        <v>7540</v>
      </c>
      <c r="D899" s="142" t="s">
        <v>8497</v>
      </c>
      <c r="E899" s="145">
        <v>1</v>
      </c>
      <c r="F899" s="143" t="s">
        <v>168</v>
      </c>
      <c r="G899" s="143" t="s">
        <v>7542</v>
      </c>
      <c r="H899" s="143" t="s">
        <v>26</v>
      </c>
      <c r="I899" s="143" t="s">
        <v>176</v>
      </c>
      <c r="J899" s="143" t="s">
        <v>643</v>
      </c>
      <c r="K899" s="144">
        <v>137491</v>
      </c>
      <c r="L899" s="145" t="s">
        <v>172</v>
      </c>
      <c r="M899" s="143" t="s">
        <v>6709</v>
      </c>
    </row>
    <row r="900" spans="1:13">
      <c r="A900" s="27" t="s">
        <v>6705</v>
      </c>
      <c r="B900" s="150" t="s">
        <v>8498</v>
      </c>
      <c r="C900" s="150" t="s">
        <v>7540</v>
      </c>
      <c r="D900" s="142" t="s">
        <v>8499</v>
      </c>
      <c r="E900" s="145">
        <v>1</v>
      </c>
      <c r="F900" s="143" t="s">
        <v>168</v>
      </c>
      <c r="G900" s="143" t="s">
        <v>7542</v>
      </c>
      <c r="H900" s="143" t="s">
        <v>26</v>
      </c>
      <c r="I900" s="143" t="s">
        <v>176</v>
      </c>
      <c r="J900" s="143" t="s">
        <v>643</v>
      </c>
      <c r="K900" s="144">
        <v>206237</v>
      </c>
      <c r="L900" s="145" t="s">
        <v>172</v>
      </c>
      <c r="M900" s="143" t="s">
        <v>6709</v>
      </c>
    </row>
    <row r="901" spans="1:13">
      <c r="A901" s="27" t="s">
        <v>6705</v>
      </c>
      <c r="B901" s="150" t="s">
        <v>8500</v>
      </c>
      <c r="C901" s="150" t="s">
        <v>7540</v>
      </c>
      <c r="D901" s="142" t="s">
        <v>8501</v>
      </c>
      <c r="E901" s="145">
        <v>1</v>
      </c>
      <c r="F901" s="143" t="s">
        <v>168</v>
      </c>
      <c r="G901" s="143" t="s">
        <v>7542</v>
      </c>
      <c r="H901" s="143" t="s">
        <v>26</v>
      </c>
      <c r="I901" s="143" t="s">
        <v>176</v>
      </c>
      <c r="J901" s="143" t="s">
        <v>643</v>
      </c>
      <c r="K901" s="144">
        <v>412474</v>
      </c>
      <c r="L901" s="145" t="s">
        <v>172</v>
      </c>
      <c r="M901" s="143" t="s">
        <v>6709</v>
      </c>
    </row>
    <row r="902" spans="1:13">
      <c r="A902" s="27" t="s">
        <v>6705</v>
      </c>
      <c r="B902" s="150" t="s">
        <v>8502</v>
      </c>
      <c r="C902" s="150" t="s">
        <v>7540</v>
      </c>
      <c r="D902" s="142" t="s">
        <v>8503</v>
      </c>
      <c r="E902" s="145">
        <v>1</v>
      </c>
      <c r="F902" s="143" t="s">
        <v>168</v>
      </c>
      <c r="G902" s="143" t="s">
        <v>7542</v>
      </c>
      <c r="H902" s="143" t="s">
        <v>26</v>
      </c>
      <c r="I902" s="143" t="s">
        <v>176</v>
      </c>
      <c r="J902" s="143" t="s">
        <v>643</v>
      </c>
      <c r="K902" s="144">
        <v>688002</v>
      </c>
      <c r="L902" s="145" t="s">
        <v>172</v>
      </c>
      <c r="M902" s="143" t="s">
        <v>6709</v>
      </c>
    </row>
    <row r="903" spans="1:13">
      <c r="A903" s="27" t="s">
        <v>6705</v>
      </c>
      <c r="B903" s="150" t="s">
        <v>8504</v>
      </c>
      <c r="C903" s="150" t="s">
        <v>7540</v>
      </c>
      <c r="D903" s="142" t="s">
        <v>8505</v>
      </c>
      <c r="E903" s="145">
        <v>1</v>
      </c>
      <c r="F903" s="143" t="s">
        <v>168</v>
      </c>
      <c r="G903" s="143" t="s">
        <v>7542</v>
      </c>
      <c r="H903" s="143" t="s">
        <v>26</v>
      </c>
      <c r="I903" s="143" t="s">
        <v>176</v>
      </c>
      <c r="J903" s="143" t="s">
        <v>643</v>
      </c>
      <c r="K903" s="144">
        <v>1374912</v>
      </c>
      <c r="L903" s="145" t="s">
        <v>172</v>
      </c>
      <c r="M903" s="143" t="s">
        <v>6709</v>
      </c>
    </row>
    <row r="904" spans="1:13">
      <c r="A904" s="27" t="s">
        <v>6705</v>
      </c>
      <c r="B904" s="150" t="s">
        <v>8506</v>
      </c>
      <c r="C904" s="150" t="s">
        <v>7540</v>
      </c>
      <c r="D904" s="142" t="s">
        <v>8507</v>
      </c>
      <c r="E904" s="145">
        <v>1</v>
      </c>
      <c r="F904" s="143" t="s">
        <v>168</v>
      </c>
      <c r="G904" s="143" t="s">
        <v>7542</v>
      </c>
      <c r="H904" s="143" t="s">
        <v>26</v>
      </c>
      <c r="I904" s="143" t="s">
        <v>176</v>
      </c>
      <c r="J904" s="143" t="s">
        <v>643</v>
      </c>
      <c r="K904" s="144">
        <v>2749824</v>
      </c>
      <c r="L904" s="145" t="s">
        <v>172</v>
      </c>
      <c r="M904" s="143" t="s">
        <v>6709</v>
      </c>
    </row>
    <row r="905" spans="1:13">
      <c r="A905" s="27" t="s">
        <v>6705</v>
      </c>
      <c r="B905" s="150" t="s">
        <v>8508</v>
      </c>
      <c r="C905" s="150" t="s">
        <v>7540</v>
      </c>
      <c r="D905" s="142" t="s">
        <v>8509</v>
      </c>
      <c r="E905" s="145">
        <v>1</v>
      </c>
      <c r="F905" s="143" t="s">
        <v>168</v>
      </c>
      <c r="G905" s="143" t="s">
        <v>7542</v>
      </c>
      <c r="H905" s="143" t="s">
        <v>26</v>
      </c>
      <c r="I905" s="143" t="s">
        <v>176</v>
      </c>
      <c r="J905" s="143" t="s">
        <v>643</v>
      </c>
      <c r="K905" s="144">
        <f>83+1100</f>
        <v>1183</v>
      </c>
      <c r="L905" s="145" t="s">
        <v>172</v>
      </c>
      <c r="M905" s="143" t="s">
        <v>6709</v>
      </c>
    </row>
    <row r="906" spans="1:13">
      <c r="A906" s="27" t="s">
        <v>6705</v>
      </c>
      <c r="B906" s="150" t="s">
        <v>8510</v>
      </c>
      <c r="C906" s="150" t="s">
        <v>7540</v>
      </c>
      <c r="D906" s="142" t="s">
        <v>8511</v>
      </c>
      <c r="E906" s="145">
        <v>1</v>
      </c>
      <c r="F906" s="143" t="s">
        <v>168</v>
      </c>
      <c r="G906" s="143" t="s">
        <v>7542</v>
      </c>
      <c r="H906" s="143" t="s">
        <v>26</v>
      </c>
      <c r="I906" s="143" t="s">
        <v>176</v>
      </c>
      <c r="J906" s="143" t="s">
        <v>643</v>
      </c>
      <c r="K906" s="144">
        <f>1.22*1100</f>
        <v>1342</v>
      </c>
      <c r="L906" s="145" t="s">
        <v>172</v>
      </c>
      <c r="M906" s="143" t="s">
        <v>6709</v>
      </c>
    </row>
    <row r="907" spans="1:13">
      <c r="A907" s="27" t="s">
        <v>6705</v>
      </c>
      <c r="B907" s="150" t="s">
        <v>8512</v>
      </c>
      <c r="C907" s="150" t="s">
        <v>7540</v>
      </c>
      <c r="D907" s="142" t="s">
        <v>8513</v>
      </c>
      <c r="E907" s="145">
        <v>1</v>
      </c>
      <c r="F907" s="143" t="s">
        <v>168</v>
      </c>
      <c r="G907" s="143" t="s">
        <v>7542</v>
      </c>
      <c r="H907" s="143" t="s">
        <v>26</v>
      </c>
      <c r="I907" s="143" t="s">
        <v>176</v>
      </c>
      <c r="J907" s="143" t="s">
        <v>643</v>
      </c>
      <c r="K907" s="144">
        <f>1.27*1100</f>
        <v>1397</v>
      </c>
      <c r="L907" s="145" t="s">
        <v>172</v>
      </c>
      <c r="M907" s="143" t="s">
        <v>6709</v>
      </c>
    </row>
    <row r="908" spans="1:13">
      <c r="A908" s="27" t="s">
        <v>6705</v>
      </c>
      <c r="B908" s="150" t="s">
        <v>8514</v>
      </c>
      <c r="C908" s="150" t="s">
        <v>7540</v>
      </c>
      <c r="D908" s="142" t="s">
        <v>8515</v>
      </c>
      <c r="E908" s="145">
        <v>1</v>
      </c>
      <c r="F908" s="143" t="s">
        <v>168</v>
      </c>
      <c r="G908" s="143" t="s">
        <v>7542</v>
      </c>
      <c r="H908" s="143" t="s">
        <v>26</v>
      </c>
      <c r="I908" s="143" t="s">
        <v>176</v>
      </c>
      <c r="J908" s="143" t="s">
        <v>643</v>
      </c>
      <c r="K908" s="144">
        <f>1.33*1100</f>
        <v>1463</v>
      </c>
      <c r="L908" s="145" t="s">
        <v>172</v>
      </c>
      <c r="M908" s="143" t="s">
        <v>6709</v>
      </c>
    </row>
    <row r="909" spans="1:13">
      <c r="A909" s="27" t="s">
        <v>6705</v>
      </c>
      <c r="B909" s="150" t="s">
        <v>8516</v>
      </c>
      <c r="C909" s="150" t="s">
        <v>7540</v>
      </c>
      <c r="D909" s="142" t="s">
        <v>8517</v>
      </c>
      <c r="E909" s="145">
        <v>1</v>
      </c>
      <c r="F909" s="143" t="s">
        <v>168</v>
      </c>
      <c r="G909" s="143" t="s">
        <v>7542</v>
      </c>
      <c r="H909" s="143" t="s">
        <v>26</v>
      </c>
      <c r="I909" s="143" t="s">
        <v>176</v>
      </c>
      <c r="J909" s="143" t="s">
        <v>643</v>
      </c>
      <c r="K909" s="144">
        <f>291+4125</f>
        <v>4416</v>
      </c>
      <c r="L909" s="145" t="s">
        <v>172</v>
      </c>
      <c r="M909" s="143" t="s">
        <v>6709</v>
      </c>
    </row>
    <row r="910" spans="1:13">
      <c r="A910" s="27" t="s">
        <v>6705</v>
      </c>
      <c r="B910" s="150" t="s">
        <v>8518</v>
      </c>
      <c r="C910" s="150" t="s">
        <v>7540</v>
      </c>
      <c r="D910" s="142" t="s">
        <v>8519</v>
      </c>
      <c r="E910" s="145">
        <v>1</v>
      </c>
      <c r="F910" s="143" t="s">
        <v>168</v>
      </c>
      <c r="G910" s="143" t="s">
        <v>7542</v>
      </c>
      <c r="H910" s="143" t="s">
        <v>26</v>
      </c>
      <c r="I910" s="143" t="s">
        <v>176</v>
      </c>
      <c r="J910" s="143" t="s">
        <v>643</v>
      </c>
      <c r="K910" s="144">
        <f>1.22*4125</f>
        <v>5032.5</v>
      </c>
      <c r="L910" s="145" t="s">
        <v>172</v>
      </c>
      <c r="M910" s="143" t="s">
        <v>6709</v>
      </c>
    </row>
    <row r="911" spans="1:13">
      <c r="A911" s="27" t="s">
        <v>6705</v>
      </c>
      <c r="B911" s="150" t="s">
        <v>8520</v>
      </c>
      <c r="C911" s="150" t="s">
        <v>7540</v>
      </c>
      <c r="D911" s="142" t="s">
        <v>8521</v>
      </c>
      <c r="E911" s="145">
        <v>1</v>
      </c>
      <c r="F911" s="143" t="s">
        <v>168</v>
      </c>
      <c r="G911" s="143" t="s">
        <v>7542</v>
      </c>
      <c r="H911" s="143" t="s">
        <v>26</v>
      </c>
      <c r="I911" s="143" t="s">
        <v>176</v>
      </c>
      <c r="J911" s="143" t="s">
        <v>643</v>
      </c>
      <c r="K911" s="144">
        <f>1.27*4125</f>
        <v>5238.75</v>
      </c>
      <c r="L911" s="145" t="s">
        <v>172</v>
      </c>
      <c r="M911" s="143" t="s">
        <v>6709</v>
      </c>
    </row>
    <row r="912" spans="1:13">
      <c r="A912" s="27" t="s">
        <v>6705</v>
      </c>
      <c r="B912" s="150" t="s">
        <v>8522</v>
      </c>
      <c r="C912" s="150" t="s">
        <v>7540</v>
      </c>
      <c r="D912" s="142" t="s">
        <v>8523</v>
      </c>
      <c r="E912" s="145">
        <v>1</v>
      </c>
      <c r="F912" s="143" t="s">
        <v>168</v>
      </c>
      <c r="G912" s="143" t="s">
        <v>7542</v>
      </c>
      <c r="H912" s="143" t="s">
        <v>26</v>
      </c>
      <c r="I912" s="143" t="s">
        <v>176</v>
      </c>
      <c r="J912" s="143" t="s">
        <v>643</v>
      </c>
      <c r="K912" s="144">
        <f>1.33*4125</f>
        <v>5486.25</v>
      </c>
      <c r="L912" s="145" t="s">
        <v>172</v>
      </c>
      <c r="M912" s="143" t="s">
        <v>6709</v>
      </c>
    </row>
    <row r="913" spans="1:13">
      <c r="A913" s="27" t="s">
        <v>6705</v>
      </c>
      <c r="B913" s="150" t="s">
        <v>8524</v>
      </c>
      <c r="C913" s="150" t="s">
        <v>7540</v>
      </c>
      <c r="D913" s="142" t="s">
        <v>8525</v>
      </c>
      <c r="E913" s="145">
        <v>1</v>
      </c>
      <c r="F913" s="143" t="s">
        <v>168</v>
      </c>
      <c r="G913" s="143" t="s">
        <v>7542</v>
      </c>
      <c r="H913" s="143" t="s">
        <v>26</v>
      </c>
      <c r="I913" s="143" t="s">
        <v>176</v>
      </c>
      <c r="J913" s="143" t="s">
        <v>643</v>
      </c>
      <c r="K913" s="144">
        <f>510+7150</f>
        <v>7660</v>
      </c>
      <c r="L913" s="145" t="s">
        <v>172</v>
      </c>
      <c r="M913" s="143" t="s">
        <v>6709</v>
      </c>
    </row>
    <row r="914" spans="1:13">
      <c r="A914" s="27" t="s">
        <v>6705</v>
      </c>
      <c r="B914" s="150" t="s">
        <v>8526</v>
      </c>
      <c r="C914" s="150" t="s">
        <v>7540</v>
      </c>
      <c r="D914" s="142" t="s">
        <v>8527</v>
      </c>
      <c r="E914" s="145">
        <v>1</v>
      </c>
      <c r="F914" s="143" t="s">
        <v>168</v>
      </c>
      <c r="G914" s="143" t="s">
        <v>7542</v>
      </c>
      <c r="H914" s="143" t="s">
        <v>26</v>
      </c>
      <c r="I914" s="143" t="s">
        <v>176</v>
      </c>
      <c r="J914" s="143" t="s">
        <v>643</v>
      </c>
      <c r="K914" s="144">
        <f>1.22*7150</f>
        <v>8723</v>
      </c>
      <c r="L914" s="145" t="s">
        <v>172</v>
      </c>
      <c r="M914" s="143" t="s">
        <v>6709</v>
      </c>
    </row>
    <row r="915" spans="1:13">
      <c r="A915" s="27" t="s">
        <v>6705</v>
      </c>
      <c r="B915" s="150" t="s">
        <v>8528</v>
      </c>
      <c r="C915" s="150" t="s">
        <v>7540</v>
      </c>
      <c r="D915" s="142" t="s">
        <v>8529</v>
      </c>
      <c r="E915" s="145">
        <v>1</v>
      </c>
      <c r="F915" s="143" t="s">
        <v>168</v>
      </c>
      <c r="G915" s="143" t="s">
        <v>7542</v>
      </c>
      <c r="H915" s="143" t="s">
        <v>26</v>
      </c>
      <c r="I915" s="143" t="s">
        <v>176</v>
      </c>
      <c r="J915" s="143" t="s">
        <v>643</v>
      </c>
      <c r="K915" s="144">
        <f>1.27*7150</f>
        <v>9080.5</v>
      </c>
      <c r="L915" s="145" t="s">
        <v>172</v>
      </c>
      <c r="M915" s="143" t="s">
        <v>6709</v>
      </c>
    </row>
    <row r="916" spans="1:13">
      <c r="A916" s="27" t="s">
        <v>6705</v>
      </c>
      <c r="B916" s="150" t="s">
        <v>8530</v>
      </c>
      <c r="C916" s="150" t="s">
        <v>7540</v>
      </c>
      <c r="D916" s="142" t="s">
        <v>8531</v>
      </c>
      <c r="E916" s="145">
        <v>1</v>
      </c>
      <c r="F916" s="143" t="s">
        <v>168</v>
      </c>
      <c r="G916" s="143" t="s">
        <v>7542</v>
      </c>
      <c r="H916" s="143" t="s">
        <v>26</v>
      </c>
      <c r="I916" s="143" t="s">
        <v>176</v>
      </c>
      <c r="J916" s="143" t="s">
        <v>643</v>
      </c>
      <c r="K916" s="144">
        <f>1.33*7150</f>
        <v>9509.5</v>
      </c>
      <c r="L916" s="145" t="s">
        <v>172</v>
      </c>
      <c r="M916" s="143" t="s">
        <v>6709</v>
      </c>
    </row>
    <row r="917" spans="1:13">
      <c r="A917" s="27" t="s">
        <v>6705</v>
      </c>
      <c r="B917" s="150" t="s">
        <v>8532</v>
      </c>
      <c r="C917" s="150" t="s">
        <v>7540</v>
      </c>
      <c r="D917" s="142" t="s">
        <v>8533</v>
      </c>
      <c r="E917" s="145">
        <v>1</v>
      </c>
      <c r="F917" s="143" t="s">
        <v>168</v>
      </c>
      <c r="G917" s="143" t="s">
        <v>7542</v>
      </c>
      <c r="H917" s="143" t="s">
        <v>26</v>
      </c>
      <c r="I917" s="143" t="s">
        <v>176</v>
      </c>
      <c r="J917" s="143" t="s">
        <v>643</v>
      </c>
      <c r="K917" s="144">
        <f>1036+14300</f>
        <v>15336</v>
      </c>
      <c r="L917" s="145" t="s">
        <v>172</v>
      </c>
      <c r="M917" s="143" t="s">
        <v>6709</v>
      </c>
    </row>
    <row r="918" spans="1:13">
      <c r="A918" s="27" t="s">
        <v>6705</v>
      </c>
      <c r="B918" s="150" t="s">
        <v>8534</v>
      </c>
      <c r="C918" s="150" t="s">
        <v>7540</v>
      </c>
      <c r="D918" s="142" t="s">
        <v>8535</v>
      </c>
      <c r="E918" s="145">
        <v>1</v>
      </c>
      <c r="F918" s="143" t="s">
        <v>168</v>
      </c>
      <c r="G918" s="143" t="s">
        <v>7542</v>
      </c>
      <c r="H918" s="143" t="s">
        <v>26</v>
      </c>
      <c r="I918" s="143" t="s">
        <v>176</v>
      </c>
      <c r="J918" s="143" t="s">
        <v>643</v>
      </c>
      <c r="K918" s="144">
        <f>1.22*14300</f>
        <v>17446</v>
      </c>
      <c r="L918" s="145" t="s">
        <v>172</v>
      </c>
      <c r="M918" s="143" t="s">
        <v>6709</v>
      </c>
    </row>
    <row r="919" spans="1:13">
      <c r="A919" s="27" t="s">
        <v>6705</v>
      </c>
      <c r="B919" s="150" t="s">
        <v>8536</v>
      </c>
      <c r="C919" s="150" t="s">
        <v>7540</v>
      </c>
      <c r="D919" s="142" t="s">
        <v>8537</v>
      </c>
      <c r="E919" s="145">
        <v>1</v>
      </c>
      <c r="F919" s="143" t="s">
        <v>168</v>
      </c>
      <c r="G919" s="143" t="s">
        <v>7542</v>
      </c>
      <c r="H919" s="143" t="s">
        <v>26</v>
      </c>
      <c r="I919" s="143" t="s">
        <v>176</v>
      </c>
      <c r="J919" s="143" t="s">
        <v>643</v>
      </c>
      <c r="K919" s="144">
        <f>1.27*14300</f>
        <v>18161</v>
      </c>
      <c r="L919" s="145" t="s">
        <v>172</v>
      </c>
      <c r="M919" s="143" t="s">
        <v>6709</v>
      </c>
    </row>
    <row r="920" spans="1:13">
      <c r="A920" s="27" t="s">
        <v>6705</v>
      </c>
      <c r="B920" s="150" t="s">
        <v>8538</v>
      </c>
      <c r="C920" s="150" t="s">
        <v>7540</v>
      </c>
      <c r="D920" s="142" t="s">
        <v>8539</v>
      </c>
      <c r="E920" s="145">
        <v>1</v>
      </c>
      <c r="F920" s="143" t="s">
        <v>168</v>
      </c>
      <c r="G920" s="143" t="s">
        <v>7542</v>
      </c>
      <c r="H920" s="143" t="s">
        <v>26</v>
      </c>
      <c r="I920" s="143" t="s">
        <v>176</v>
      </c>
      <c r="J920" s="143" t="s">
        <v>643</v>
      </c>
      <c r="K920" s="144">
        <f>1.33*14300</f>
        <v>19019</v>
      </c>
      <c r="L920" s="145" t="s">
        <v>172</v>
      </c>
      <c r="M920" s="143" t="s">
        <v>6709</v>
      </c>
    </row>
    <row r="921" spans="1:13">
      <c r="A921" s="27" t="s">
        <v>6705</v>
      </c>
      <c r="B921" s="150" t="s">
        <v>8540</v>
      </c>
      <c r="C921" s="150" t="s">
        <v>7540</v>
      </c>
      <c r="D921" s="142" t="s">
        <v>8541</v>
      </c>
      <c r="E921" s="145">
        <v>1</v>
      </c>
      <c r="F921" s="143" t="s">
        <v>168</v>
      </c>
      <c r="G921" s="143" t="s">
        <v>7542</v>
      </c>
      <c r="H921" s="143" t="s">
        <v>26</v>
      </c>
      <c r="I921" s="143" t="s">
        <v>176</v>
      </c>
      <c r="J921" s="143" t="s">
        <v>643</v>
      </c>
      <c r="K921" s="144">
        <f>1515+20900</f>
        <v>22415</v>
      </c>
      <c r="L921" s="145" t="s">
        <v>172</v>
      </c>
      <c r="M921" s="143" t="s">
        <v>6709</v>
      </c>
    </row>
    <row r="922" spans="1:13">
      <c r="A922" s="27" t="s">
        <v>6705</v>
      </c>
      <c r="B922" s="150" t="s">
        <v>8542</v>
      </c>
      <c r="C922" s="150" t="s">
        <v>7540</v>
      </c>
      <c r="D922" s="142" t="s">
        <v>8543</v>
      </c>
      <c r="E922" s="145">
        <v>1</v>
      </c>
      <c r="F922" s="143" t="s">
        <v>168</v>
      </c>
      <c r="G922" s="143" t="s">
        <v>7542</v>
      </c>
      <c r="H922" s="143" t="s">
        <v>26</v>
      </c>
      <c r="I922" s="143" t="s">
        <v>176</v>
      </c>
      <c r="J922" s="143" t="s">
        <v>643</v>
      </c>
      <c r="K922" s="144">
        <f>1.22*20900</f>
        <v>25498</v>
      </c>
      <c r="L922" s="145" t="s">
        <v>172</v>
      </c>
      <c r="M922" s="143" t="s">
        <v>6709</v>
      </c>
    </row>
    <row r="923" spans="1:13">
      <c r="A923" s="27" t="s">
        <v>6705</v>
      </c>
      <c r="B923" s="150" t="s">
        <v>8544</v>
      </c>
      <c r="C923" s="150" t="s">
        <v>7540</v>
      </c>
      <c r="D923" s="142" t="s">
        <v>8545</v>
      </c>
      <c r="E923" s="145">
        <v>1</v>
      </c>
      <c r="F923" s="143" t="s">
        <v>168</v>
      </c>
      <c r="G923" s="143" t="s">
        <v>7542</v>
      </c>
      <c r="H923" s="143" t="s">
        <v>26</v>
      </c>
      <c r="I923" s="143" t="s">
        <v>176</v>
      </c>
      <c r="J923" s="143" t="s">
        <v>643</v>
      </c>
      <c r="K923" s="144">
        <f>1.27*20900</f>
        <v>26543</v>
      </c>
      <c r="L923" s="145" t="s">
        <v>172</v>
      </c>
      <c r="M923" s="143" t="s">
        <v>6709</v>
      </c>
    </row>
    <row r="924" spans="1:13">
      <c r="A924" s="27" t="s">
        <v>6705</v>
      </c>
      <c r="B924" s="150" t="s">
        <v>8546</v>
      </c>
      <c r="C924" s="150" t="s">
        <v>7540</v>
      </c>
      <c r="D924" s="142" t="s">
        <v>8547</v>
      </c>
      <c r="E924" s="145">
        <v>1</v>
      </c>
      <c r="F924" s="143" t="s">
        <v>168</v>
      </c>
      <c r="G924" s="143" t="s">
        <v>7542</v>
      </c>
      <c r="H924" s="143" t="s">
        <v>26</v>
      </c>
      <c r="I924" s="143" t="s">
        <v>176</v>
      </c>
      <c r="J924" s="143" t="s">
        <v>643</v>
      </c>
      <c r="K924" s="144">
        <f>1.33*20900</f>
        <v>27797</v>
      </c>
      <c r="L924" s="145" t="s">
        <v>172</v>
      </c>
      <c r="M924" s="143" t="s">
        <v>6709</v>
      </c>
    </row>
    <row r="925" spans="1:13">
      <c r="A925" s="27" t="s">
        <v>6705</v>
      </c>
      <c r="B925" s="150" t="s">
        <v>8548</v>
      </c>
      <c r="C925" s="150" t="s">
        <v>7540</v>
      </c>
      <c r="D925" s="142" t="s">
        <v>8549</v>
      </c>
      <c r="E925" s="145">
        <v>1</v>
      </c>
      <c r="F925" s="143" t="s">
        <v>168</v>
      </c>
      <c r="G925" s="143" t="s">
        <v>7542</v>
      </c>
      <c r="H925" s="143" t="s">
        <v>26</v>
      </c>
      <c r="I925" s="143" t="s">
        <v>176</v>
      </c>
      <c r="J925" s="143" t="s">
        <v>643</v>
      </c>
      <c r="K925" s="144">
        <f>2391+33000</f>
        <v>35391</v>
      </c>
      <c r="L925" s="145" t="s">
        <v>172</v>
      </c>
      <c r="M925" s="143" t="s">
        <v>6709</v>
      </c>
    </row>
    <row r="926" spans="1:13">
      <c r="A926" s="27" t="s">
        <v>6705</v>
      </c>
      <c r="B926" s="150" t="s">
        <v>8550</v>
      </c>
      <c r="C926" s="150" t="s">
        <v>7540</v>
      </c>
      <c r="D926" s="142" t="s">
        <v>8551</v>
      </c>
      <c r="E926" s="145">
        <v>1</v>
      </c>
      <c r="F926" s="143" t="s">
        <v>168</v>
      </c>
      <c r="G926" s="143" t="s">
        <v>7542</v>
      </c>
      <c r="H926" s="143" t="s">
        <v>26</v>
      </c>
      <c r="I926" s="143" t="s">
        <v>176</v>
      </c>
      <c r="J926" s="143" t="s">
        <v>643</v>
      </c>
      <c r="K926" s="144">
        <f>1.22*33000</f>
        <v>40260</v>
      </c>
      <c r="L926" s="145" t="s">
        <v>172</v>
      </c>
      <c r="M926" s="143" t="s">
        <v>6709</v>
      </c>
    </row>
    <row r="927" spans="1:13">
      <c r="A927" s="27" t="s">
        <v>6705</v>
      </c>
      <c r="B927" s="150" t="s">
        <v>8552</v>
      </c>
      <c r="C927" s="150" t="s">
        <v>7540</v>
      </c>
      <c r="D927" s="142" t="s">
        <v>8553</v>
      </c>
      <c r="E927" s="145">
        <v>1</v>
      </c>
      <c r="F927" s="143" t="s">
        <v>168</v>
      </c>
      <c r="G927" s="143" t="s">
        <v>7542</v>
      </c>
      <c r="H927" s="143" t="s">
        <v>26</v>
      </c>
      <c r="I927" s="143" t="s">
        <v>176</v>
      </c>
      <c r="J927" s="143" t="s">
        <v>643</v>
      </c>
      <c r="K927" s="144">
        <f>1.27*33000</f>
        <v>41910</v>
      </c>
      <c r="L927" s="145" t="s">
        <v>172</v>
      </c>
      <c r="M927" s="143" t="s">
        <v>6709</v>
      </c>
    </row>
    <row r="928" spans="1:13">
      <c r="A928" s="27" t="s">
        <v>6705</v>
      </c>
      <c r="B928" s="150" t="s">
        <v>8554</v>
      </c>
      <c r="C928" s="150" t="s">
        <v>7540</v>
      </c>
      <c r="D928" s="142" t="s">
        <v>8555</v>
      </c>
      <c r="E928" s="145">
        <v>1</v>
      </c>
      <c r="F928" s="143" t="s">
        <v>168</v>
      </c>
      <c r="G928" s="143" t="s">
        <v>7542</v>
      </c>
      <c r="H928" s="143" t="s">
        <v>26</v>
      </c>
      <c r="I928" s="143" t="s">
        <v>176</v>
      </c>
      <c r="J928" s="143" t="s">
        <v>643</v>
      </c>
      <c r="K928" s="144">
        <f>1.33*33000</f>
        <v>43890</v>
      </c>
      <c r="L928" s="145" t="s">
        <v>172</v>
      </c>
      <c r="M928" s="143" t="s">
        <v>6709</v>
      </c>
    </row>
    <row r="929" spans="1:13">
      <c r="A929" s="27" t="s">
        <v>6705</v>
      </c>
      <c r="B929" s="150" t="s">
        <v>8556</v>
      </c>
      <c r="C929" s="150" t="s">
        <v>7540</v>
      </c>
      <c r="D929" s="142" t="s">
        <v>8557</v>
      </c>
      <c r="E929" s="145">
        <v>1</v>
      </c>
      <c r="F929" s="143" t="s">
        <v>168</v>
      </c>
      <c r="G929" s="143" t="s">
        <v>7542</v>
      </c>
      <c r="H929" s="143" t="s">
        <v>26</v>
      </c>
      <c r="I929" s="143" t="s">
        <v>176</v>
      </c>
      <c r="J929" s="143" t="s">
        <v>643</v>
      </c>
      <c r="K929" s="144">
        <f>3996+55000</f>
        <v>58996</v>
      </c>
      <c r="L929" s="145" t="s">
        <v>172</v>
      </c>
      <c r="M929" s="143" t="s">
        <v>6709</v>
      </c>
    </row>
    <row r="930" spans="1:13">
      <c r="A930" s="27" t="s">
        <v>6705</v>
      </c>
      <c r="B930" s="150" t="s">
        <v>8558</v>
      </c>
      <c r="C930" s="150" t="s">
        <v>7540</v>
      </c>
      <c r="D930" s="142" t="s">
        <v>8559</v>
      </c>
      <c r="E930" s="145">
        <v>1</v>
      </c>
      <c r="F930" s="143" t="s">
        <v>168</v>
      </c>
      <c r="G930" s="143" t="s">
        <v>7542</v>
      </c>
      <c r="H930" s="143" t="s">
        <v>26</v>
      </c>
      <c r="I930" s="143" t="s">
        <v>176</v>
      </c>
      <c r="J930" s="143" t="s">
        <v>643</v>
      </c>
      <c r="K930" s="144">
        <f>1.22*55000</f>
        <v>67100</v>
      </c>
      <c r="L930" s="145" t="s">
        <v>172</v>
      </c>
      <c r="M930" s="143" t="s">
        <v>6709</v>
      </c>
    </row>
    <row r="931" spans="1:13">
      <c r="A931" s="27" t="s">
        <v>6705</v>
      </c>
      <c r="B931" s="150" t="s">
        <v>8560</v>
      </c>
      <c r="C931" s="150" t="s">
        <v>7540</v>
      </c>
      <c r="D931" s="142" t="s">
        <v>8561</v>
      </c>
      <c r="E931" s="145">
        <v>1</v>
      </c>
      <c r="F931" s="143" t="s">
        <v>168</v>
      </c>
      <c r="G931" s="143" t="s">
        <v>7542</v>
      </c>
      <c r="H931" s="143" t="s">
        <v>26</v>
      </c>
      <c r="I931" s="143" t="s">
        <v>176</v>
      </c>
      <c r="J931" s="143" t="s">
        <v>643</v>
      </c>
      <c r="K931" s="144">
        <f>1.27*55000</f>
        <v>69850</v>
      </c>
      <c r="L931" s="145" t="s">
        <v>172</v>
      </c>
      <c r="M931" s="143" t="s">
        <v>6709</v>
      </c>
    </row>
    <row r="932" spans="1:13">
      <c r="A932" s="27" t="s">
        <v>6705</v>
      </c>
      <c r="B932" s="150" t="s">
        <v>8562</v>
      </c>
      <c r="C932" s="150" t="s">
        <v>7540</v>
      </c>
      <c r="D932" s="142" t="s">
        <v>8563</v>
      </c>
      <c r="E932" s="145">
        <v>1</v>
      </c>
      <c r="F932" s="143" t="s">
        <v>168</v>
      </c>
      <c r="G932" s="143" t="s">
        <v>7542</v>
      </c>
      <c r="H932" s="143" t="s">
        <v>26</v>
      </c>
      <c r="I932" s="143" t="s">
        <v>176</v>
      </c>
      <c r="J932" s="143" t="s">
        <v>643</v>
      </c>
      <c r="K932" s="144">
        <f>1.33*55000</f>
        <v>73150</v>
      </c>
      <c r="L932" s="145" t="s">
        <v>172</v>
      </c>
      <c r="M932" s="143" t="s">
        <v>6709</v>
      </c>
    </row>
    <row r="933" spans="1:13">
      <c r="A933" s="27" t="s">
        <v>6705</v>
      </c>
      <c r="B933" s="150" t="s">
        <v>8564</v>
      </c>
      <c r="C933" s="150" t="s">
        <v>7540</v>
      </c>
      <c r="D933" s="142" t="s">
        <v>8565</v>
      </c>
      <c r="E933" s="145">
        <v>1</v>
      </c>
      <c r="F933" s="143" t="s">
        <v>168</v>
      </c>
      <c r="G933" s="143" t="s">
        <v>7542</v>
      </c>
      <c r="H933" s="143" t="s">
        <v>26</v>
      </c>
      <c r="I933" s="143" t="s">
        <v>176</v>
      </c>
      <c r="J933" s="143" t="s">
        <v>643</v>
      </c>
      <c r="K933" s="144">
        <f>6371+88000</f>
        <v>94371</v>
      </c>
      <c r="L933" s="145" t="s">
        <v>172</v>
      </c>
      <c r="M933" s="143" t="s">
        <v>6709</v>
      </c>
    </row>
    <row r="934" spans="1:13">
      <c r="A934" s="27" t="s">
        <v>6705</v>
      </c>
      <c r="B934" s="150" t="s">
        <v>8566</v>
      </c>
      <c r="C934" s="150" t="s">
        <v>7540</v>
      </c>
      <c r="D934" s="142" t="s">
        <v>8567</v>
      </c>
      <c r="E934" s="145">
        <v>1</v>
      </c>
      <c r="F934" s="143" t="s">
        <v>168</v>
      </c>
      <c r="G934" s="143" t="s">
        <v>7542</v>
      </c>
      <c r="H934" s="143" t="s">
        <v>26</v>
      </c>
      <c r="I934" s="143" t="s">
        <v>176</v>
      </c>
      <c r="J934" s="143" t="s">
        <v>643</v>
      </c>
      <c r="K934" s="144">
        <f>1.22*88000</f>
        <v>107360</v>
      </c>
      <c r="L934" s="145" t="s">
        <v>172</v>
      </c>
      <c r="M934" s="143" t="s">
        <v>6709</v>
      </c>
    </row>
    <row r="935" spans="1:13">
      <c r="A935" s="27" t="s">
        <v>6705</v>
      </c>
      <c r="B935" s="150" t="s">
        <v>8568</v>
      </c>
      <c r="C935" s="150" t="s">
        <v>7540</v>
      </c>
      <c r="D935" s="142" t="s">
        <v>8569</v>
      </c>
      <c r="E935" s="145">
        <v>1</v>
      </c>
      <c r="F935" s="143" t="s">
        <v>168</v>
      </c>
      <c r="G935" s="143" t="s">
        <v>7542</v>
      </c>
      <c r="H935" s="143" t="s">
        <v>26</v>
      </c>
      <c r="I935" s="143" t="s">
        <v>176</v>
      </c>
      <c r="J935" s="143" t="s">
        <v>643</v>
      </c>
      <c r="K935" s="144">
        <f>1.27*88000</f>
        <v>111760</v>
      </c>
      <c r="L935" s="145" t="s">
        <v>172</v>
      </c>
      <c r="M935" s="143" t="s">
        <v>6709</v>
      </c>
    </row>
    <row r="936" spans="1:13">
      <c r="A936" s="27" t="s">
        <v>6705</v>
      </c>
      <c r="B936" s="150" t="s">
        <v>8570</v>
      </c>
      <c r="C936" s="150" t="s">
        <v>7540</v>
      </c>
      <c r="D936" s="142" t="s">
        <v>8571</v>
      </c>
      <c r="E936" s="145">
        <v>1</v>
      </c>
      <c r="F936" s="143" t="s">
        <v>168</v>
      </c>
      <c r="G936" s="143" t="s">
        <v>7542</v>
      </c>
      <c r="H936" s="143" t="s">
        <v>26</v>
      </c>
      <c r="I936" s="143" t="s">
        <v>176</v>
      </c>
      <c r="J936" s="143" t="s">
        <v>643</v>
      </c>
      <c r="K936" s="144">
        <f>1.33*88000</f>
        <v>117040</v>
      </c>
      <c r="L936" s="145" t="s">
        <v>172</v>
      </c>
      <c r="M936" s="143" t="s">
        <v>6709</v>
      </c>
    </row>
    <row r="937" spans="1:13">
      <c r="A937" s="27" t="s">
        <v>6705</v>
      </c>
      <c r="B937" s="150" t="s">
        <v>8572</v>
      </c>
      <c r="C937" s="150" t="s">
        <v>7540</v>
      </c>
      <c r="D937" s="142" t="s">
        <v>8573</v>
      </c>
      <c r="E937" s="145">
        <v>1</v>
      </c>
      <c r="F937" s="143" t="s">
        <v>168</v>
      </c>
      <c r="G937" s="143" t="s">
        <v>7542</v>
      </c>
      <c r="H937" s="143" t="s">
        <v>26</v>
      </c>
      <c r="I937" s="143" t="s">
        <v>176</v>
      </c>
      <c r="J937" s="143" t="s">
        <v>643</v>
      </c>
      <c r="K937" s="144">
        <f>12000+165000</f>
        <v>177000</v>
      </c>
      <c r="L937" s="145" t="s">
        <v>172</v>
      </c>
      <c r="M937" s="143" t="s">
        <v>6709</v>
      </c>
    </row>
    <row r="938" spans="1:13">
      <c r="A938" s="27" t="s">
        <v>6705</v>
      </c>
      <c r="B938" s="150" t="s">
        <v>8574</v>
      </c>
      <c r="C938" s="150" t="s">
        <v>7540</v>
      </c>
      <c r="D938" s="142" t="s">
        <v>8575</v>
      </c>
      <c r="E938" s="145">
        <v>1</v>
      </c>
      <c r="F938" s="143" t="s">
        <v>168</v>
      </c>
      <c r="G938" s="143" t="s">
        <v>7542</v>
      </c>
      <c r="H938" s="143" t="s">
        <v>26</v>
      </c>
      <c r="I938" s="143" t="s">
        <v>176</v>
      </c>
      <c r="J938" s="143" t="s">
        <v>643</v>
      </c>
      <c r="K938" s="144">
        <f>1.22*165000</f>
        <v>201300</v>
      </c>
      <c r="L938" s="145" t="s">
        <v>172</v>
      </c>
      <c r="M938" s="143" t="s">
        <v>6709</v>
      </c>
    </row>
    <row r="939" spans="1:13">
      <c r="A939" s="27" t="s">
        <v>6705</v>
      </c>
      <c r="B939" s="150" t="s">
        <v>8576</v>
      </c>
      <c r="C939" s="150" t="s">
        <v>7540</v>
      </c>
      <c r="D939" s="142" t="s">
        <v>8577</v>
      </c>
      <c r="E939" s="145">
        <v>1</v>
      </c>
      <c r="F939" s="143" t="s">
        <v>168</v>
      </c>
      <c r="G939" s="143" t="s">
        <v>7542</v>
      </c>
      <c r="H939" s="143" t="s">
        <v>26</v>
      </c>
      <c r="I939" s="143" t="s">
        <v>176</v>
      </c>
      <c r="J939" s="143" t="s">
        <v>643</v>
      </c>
      <c r="K939" s="144">
        <f>1.27*165000</f>
        <v>209550</v>
      </c>
      <c r="L939" s="145" t="s">
        <v>172</v>
      </c>
      <c r="M939" s="143" t="s">
        <v>6709</v>
      </c>
    </row>
    <row r="940" spans="1:13">
      <c r="A940" s="27" t="s">
        <v>6705</v>
      </c>
      <c r="B940" s="150" t="s">
        <v>8578</v>
      </c>
      <c r="C940" s="150" t="s">
        <v>7540</v>
      </c>
      <c r="D940" s="142" t="s">
        <v>8579</v>
      </c>
      <c r="E940" s="145">
        <v>1</v>
      </c>
      <c r="F940" s="143" t="s">
        <v>168</v>
      </c>
      <c r="G940" s="143" t="s">
        <v>7542</v>
      </c>
      <c r="H940" s="143" t="s">
        <v>26</v>
      </c>
      <c r="I940" s="143" t="s">
        <v>176</v>
      </c>
      <c r="J940" s="143" t="s">
        <v>643</v>
      </c>
      <c r="K940" s="144">
        <f>1.33*165000</f>
        <v>219450</v>
      </c>
      <c r="L940" s="145" t="s">
        <v>172</v>
      </c>
      <c r="M940" s="143" t="s">
        <v>6709</v>
      </c>
    </row>
    <row r="941" spans="1:13">
      <c r="A941" s="27" t="s">
        <v>6705</v>
      </c>
      <c r="B941" s="150" t="s">
        <v>8580</v>
      </c>
      <c r="C941" s="150" t="s">
        <v>7540</v>
      </c>
      <c r="D941" s="142" t="s">
        <v>8581</v>
      </c>
      <c r="E941" s="145">
        <v>1</v>
      </c>
      <c r="F941" s="143" t="s">
        <v>168</v>
      </c>
      <c r="G941" s="143" t="s">
        <v>7542</v>
      </c>
      <c r="H941" s="143" t="s">
        <v>26</v>
      </c>
      <c r="I941" s="143" t="s">
        <v>176</v>
      </c>
      <c r="J941" s="143" t="s">
        <v>643</v>
      </c>
      <c r="K941" s="144">
        <f>247+3520</f>
        <v>3767</v>
      </c>
      <c r="L941" s="145" t="s">
        <v>172</v>
      </c>
      <c r="M941" s="143" t="s">
        <v>6709</v>
      </c>
    </row>
    <row r="942" spans="1:13">
      <c r="A942" s="27" t="s">
        <v>6705</v>
      </c>
      <c r="B942" s="150" t="s">
        <v>8582</v>
      </c>
      <c r="C942" s="150" t="s">
        <v>7540</v>
      </c>
      <c r="D942" s="142" t="s">
        <v>8583</v>
      </c>
      <c r="E942" s="145">
        <v>1</v>
      </c>
      <c r="F942" s="143" t="s">
        <v>168</v>
      </c>
      <c r="G942" s="143" t="s">
        <v>7542</v>
      </c>
      <c r="H942" s="143" t="s">
        <v>26</v>
      </c>
      <c r="I942" s="143" t="s">
        <v>176</v>
      </c>
      <c r="J942" s="143" t="s">
        <v>643</v>
      </c>
      <c r="K942" s="144">
        <f>1.22*3520</f>
        <v>4294.3999999999996</v>
      </c>
      <c r="L942" s="145" t="s">
        <v>172</v>
      </c>
      <c r="M942" s="143" t="s">
        <v>6709</v>
      </c>
    </row>
    <row r="943" spans="1:13">
      <c r="A943" s="27" t="s">
        <v>6705</v>
      </c>
      <c r="B943" s="150" t="s">
        <v>8584</v>
      </c>
      <c r="C943" s="150" t="s">
        <v>7540</v>
      </c>
      <c r="D943" s="142" t="s">
        <v>8585</v>
      </c>
      <c r="E943" s="145">
        <v>1</v>
      </c>
      <c r="F943" s="143" t="s">
        <v>168</v>
      </c>
      <c r="G943" s="143" t="s">
        <v>7542</v>
      </c>
      <c r="H943" s="143" t="s">
        <v>26</v>
      </c>
      <c r="I943" s="143" t="s">
        <v>176</v>
      </c>
      <c r="J943" s="143" t="s">
        <v>643</v>
      </c>
      <c r="K943" s="144">
        <f>1.27*3520</f>
        <v>4470.3999999999996</v>
      </c>
      <c r="L943" s="145" t="s">
        <v>172</v>
      </c>
      <c r="M943" s="143" t="s">
        <v>6709</v>
      </c>
    </row>
    <row r="944" spans="1:13">
      <c r="A944" s="27" t="s">
        <v>6705</v>
      </c>
      <c r="B944" s="150" t="s">
        <v>8586</v>
      </c>
      <c r="C944" s="150" t="s">
        <v>7540</v>
      </c>
      <c r="D944" s="142" t="s">
        <v>8587</v>
      </c>
      <c r="E944" s="145">
        <v>1</v>
      </c>
      <c r="F944" s="143" t="s">
        <v>168</v>
      </c>
      <c r="G944" s="143" t="s">
        <v>7542</v>
      </c>
      <c r="H944" s="143" t="s">
        <v>26</v>
      </c>
      <c r="I944" s="143" t="s">
        <v>176</v>
      </c>
      <c r="J944" s="143" t="s">
        <v>643</v>
      </c>
      <c r="K944" s="144">
        <f>1.33*3520</f>
        <v>4681.6000000000004</v>
      </c>
      <c r="L944" s="145" t="s">
        <v>172</v>
      </c>
      <c r="M944" s="143" t="s">
        <v>6709</v>
      </c>
    </row>
    <row r="945" spans="1:13">
      <c r="A945" s="27" t="s">
        <v>6705</v>
      </c>
      <c r="B945" s="150" t="s">
        <v>8588</v>
      </c>
      <c r="C945" s="150" t="s">
        <v>7540</v>
      </c>
      <c r="D945" s="142" t="s">
        <v>8589</v>
      </c>
      <c r="E945" s="145">
        <v>1</v>
      </c>
      <c r="F945" s="143" t="s">
        <v>168</v>
      </c>
      <c r="G945" s="143" t="s">
        <v>7542</v>
      </c>
      <c r="H945" s="143" t="s">
        <v>26</v>
      </c>
      <c r="I945" s="143" t="s">
        <v>176</v>
      </c>
      <c r="J945" s="143" t="s">
        <v>643</v>
      </c>
      <c r="K945" s="144">
        <f>934+13035</f>
        <v>13969</v>
      </c>
      <c r="L945" s="145" t="s">
        <v>172</v>
      </c>
      <c r="M945" s="143" t="s">
        <v>6709</v>
      </c>
    </row>
    <row r="946" spans="1:13">
      <c r="A946" s="27" t="s">
        <v>6705</v>
      </c>
      <c r="B946" s="150" t="s">
        <v>8590</v>
      </c>
      <c r="C946" s="150" t="s">
        <v>7540</v>
      </c>
      <c r="D946" s="142" t="s">
        <v>8591</v>
      </c>
      <c r="E946" s="145">
        <v>1</v>
      </c>
      <c r="F946" s="143" t="s">
        <v>168</v>
      </c>
      <c r="G946" s="143" t="s">
        <v>7542</v>
      </c>
      <c r="H946" s="143" t="s">
        <v>26</v>
      </c>
      <c r="I946" s="143" t="s">
        <v>176</v>
      </c>
      <c r="J946" s="143" t="s">
        <v>643</v>
      </c>
      <c r="K946" s="144">
        <f>1.22*13035</f>
        <v>15902.699999999999</v>
      </c>
      <c r="L946" s="145" t="s">
        <v>172</v>
      </c>
      <c r="M946" s="143" t="s">
        <v>6709</v>
      </c>
    </row>
    <row r="947" spans="1:13">
      <c r="A947" s="27" t="s">
        <v>6705</v>
      </c>
      <c r="B947" s="150" t="s">
        <v>8592</v>
      </c>
      <c r="C947" s="150" t="s">
        <v>7540</v>
      </c>
      <c r="D947" s="142" t="s">
        <v>8593</v>
      </c>
      <c r="E947" s="145">
        <v>1</v>
      </c>
      <c r="F947" s="143" t="s">
        <v>168</v>
      </c>
      <c r="G947" s="143" t="s">
        <v>7542</v>
      </c>
      <c r="H947" s="143" t="s">
        <v>26</v>
      </c>
      <c r="I947" s="143" t="s">
        <v>176</v>
      </c>
      <c r="J947" s="143" t="s">
        <v>643</v>
      </c>
      <c r="K947" s="144">
        <f>1.27*13035</f>
        <v>16554.45</v>
      </c>
      <c r="L947" s="145" t="s">
        <v>172</v>
      </c>
      <c r="M947" s="143" t="s">
        <v>6709</v>
      </c>
    </row>
    <row r="948" spans="1:13">
      <c r="A948" s="27" t="s">
        <v>6705</v>
      </c>
      <c r="B948" s="150" t="s">
        <v>8594</v>
      </c>
      <c r="C948" s="150" t="s">
        <v>7540</v>
      </c>
      <c r="D948" s="142" t="s">
        <v>8595</v>
      </c>
      <c r="E948" s="145">
        <v>1</v>
      </c>
      <c r="F948" s="143" t="s">
        <v>168</v>
      </c>
      <c r="G948" s="143" t="s">
        <v>7542</v>
      </c>
      <c r="H948" s="143" t="s">
        <v>26</v>
      </c>
      <c r="I948" s="143" t="s">
        <v>176</v>
      </c>
      <c r="J948" s="143" t="s">
        <v>643</v>
      </c>
      <c r="K948" s="144">
        <f>1.33*13035</f>
        <v>17336.55</v>
      </c>
      <c r="L948" s="145" t="s">
        <v>172</v>
      </c>
      <c r="M948" s="143" t="s">
        <v>6709</v>
      </c>
    </row>
    <row r="949" spans="1:13">
      <c r="A949" s="27" t="s">
        <v>6705</v>
      </c>
      <c r="B949" s="150" t="s">
        <v>8596</v>
      </c>
      <c r="C949" s="150" t="s">
        <v>7540</v>
      </c>
      <c r="D949" s="142" t="s">
        <v>8597</v>
      </c>
      <c r="E949" s="145">
        <v>1</v>
      </c>
      <c r="F949" s="143" t="s">
        <v>168</v>
      </c>
      <c r="G949" s="143" t="s">
        <v>7542</v>
      </c>
      <c r="H949" s="143" t="s">
        <v>26</v>
      </c>
      <c r="I949" s="143" t="s">
        <v>176</v>
      </c>
      <c r="J949" s="143" t="s">
        <v>643</v>
      </c>
      <c r="K949" s="144">
        <f>1488+20570</f>
        <v>22058</v>
      </c>
      <c r="L949" s="145" t="s">
        <v>172</v>
      </c>
      <c r="M949" s="143" t="s">
        <v>6709</v>
      </c>
    </row>
    <row r="950" spans="1:13">
      <c r="A950" s="27" t="s">
        <v>6705</v>
      </c>
      <c r="B950" s="150" t="s">
        <v>8598</v>
      </c>
      <c r="C950" s="150" t="s">
        <v>7540</v>
      </c>
      <c r="D950" s="142" t="s">
        <v>8599</v>
      </c>
      <c r="E950" s="145">
        <v>1</v>
      </c>
      <c r="F950" s="143" t="s">
        <v>168</v>
      </c>
      <c r="G950" s="143" t="s">
        <v>7542</v>
      </c>
      <c r="H950" s="143" t="s">
        <v>26</v>
      </c>
      <c r="I950" s="143" t="s">
        <v>176</v>
      </c>
      <c r="J950" s="143" t="s">
        <v>643</v>
      </c>
      <c r="K950" s="144">
        <f>1.22*20570</f>
        <v>25095.399999999998</v>
      </c>
      <c r="L950" s="145" t="s">
        <v>172</v>
      </c>
      <c r="M950" s="143" t="s">
        <v>6709</v>
      </c>
    </row>
    <row r="951" spans="1:13">
      <c r="A951" s="27" t="s">
        <v>6705</v>
      </c>
      <c r="B951" s="150" t="s">
        <v>8600</v>
      </c>
      <c r="C951" s="150" t="s">
        <v>7540</v>
      </c>
      <c r="D951" s="142" t="s">
        <v>8601</v>
      </c>
      <c r="E951" s="145">
        <v>1</v>
      </c>
      <c r="F951" s="143" t="s">
        <v>168</v>
      </c>
      <c r="G951" s="143" t="s">
        <v>7542</v>
      </c>
      <c r="H951" s="143" t="s">
        <v>26</v>
      </c>
      <c r="I951" s="143" t="s">
        <v>176</v>
      </c>
      <c r="J951" s="143" t="s">
        <v>643</v>
      </c>
      <c r="K951" s="144">
        <f>1.27*20570</f>
        <v>26123.9</v>
      </c>
      <c r="L951" s="145" t="s">
        <v>172</v>
      </c>
      <c r="M951" s="143" t="s">
        <v>6709</v>
      </c>
    </row>
    <row r="952" spans="1:13">
      <c r="A952" s="27" t="s">
        <v>6705</v>
      </c>
      <c r="B952" s="150" t="s">
        <v>8602</v>
      </c>
      <c r="C952" s="150" t="s">
        <v>7540</v>
      </c>
      <c r="D952" s="142" t="s">
        <v>8603</v>
      </c>
      <c r="E952" s="145">
        <v>1</v>
      </c>
      <c r="F952" s="143" t="s">
        <v>168</v>
      </c>
      <c r="G952" s="143" t="s">
        <v>7542</v>
      </c>
      <c r="H952" s="143" t="s">
        <v>26</v>
      </c>
      <c r="I952" s="143" t="s">
        <v>176</v>
      </c>
      <c r="J952" s="143" t="s">
        <v>643</v>
      </c>
      <c r="K952" s="144">
        <f>1.33*20570</f>
        <v>27358.100000000002</v>
      </c>
      <c r="L952" s="145" t="s">
        <v>172</v>
      </c>
      <c r="M952" s="143" t="s">
        <v>6709</v>
      </c>
    </row>
    <row r="953" spans="1:13">
      <c r="A953" s="27" t="s">
        <v>6705</v>
      </c>
      <c r="B953" s="150" t="s">
        <v>8604</v>
      </c>
      <c r="C953" s="150" t="s">
        <v>7540</v>
      </c>
      <c r="D953" s="142" t="s">
        <v>8605</v>
      </c>
      <c r="E953" s="145">
        <v>1</v>
      </c>
      <c r="F953" s="143" t="s">
        <v>168</v>
      </c>
      <c r="G953" s="143" t="s">
        <v>7542</v>
      </c>
      <c r="H953" s="143" t="s">
        <v>26</v>
      </c>
      <c r="I953" s="143" t="s">
        <v>176</v>
      </c>
      <c r="J953" s="143" t="s">
        <v>643</v>
      </c>
      <c r="K953" s="144">
        <f>3282+45100</f>
        <v>48382</v>
      </c>
      <c r="L953" s="145" t="s">
        <v>172</v>
      </c>
      <c r="M953" s="143" t="s">
        <v>6709</v>
      </c>
    </row>
    <row r="954" spans="1:13">
      <c r="A954" s="27" t="s">
        <v>6705</v>
      </c>
      <c r="B954" s="150" t="s">
        <v>8606</v>
      </c>
      <c r="C954" s="150" t="s">
        <v>7540</v>
      </c>
      <c r="D954" s="142" t="s">
        <v>8607</v>
      </c>
      <c r="E954" s="145">
        <v>1</v>
      </c>
      <c r="F954" s="143" t="s">
        <v>168</v>
      </c>
      <c r="G954" s="143" t="s">
        <v>7542</v>
      </c>
      <c r="H954" s="143" t="s">
        <v>26</v>
      </c>
      <c r="I954" s="143" t="s">
        <v>176</v>
      </c>
      <c r="J954" s="143" t="s">
        <v>643</v>
      </c>
      <c r="K954" s="144">
        <f>1.22*45100</f>
        <v>55022</v>
      </c>
      <c r="L954" s="145" t="s">
        <v>172</v>
      </c>
      <c r="M954" s="143" t="s">
        <v>6709</v>
      </c>
    </row>
    <row r="955" spans="1:13">
      <c r="A955" s="27" t="s">
        <v>6705</v>
      </c>
      <c r="B955" s="150" t="s">
        <v>8608</v>
      </c>
      <c r="C955" s="150" t="s">
        <v>7540</v>
      </c>
      <c r="D955" s="142" t="s">
        <v>8609</v>
      </c>
      <c r="E955" s="145">
        <v>1</v>
      </c>
      <c r="F955" s="143" t="s">
        <v>168</v>
      </c>
      <c r="G955" s="143" t="s">
        <v>7542</v>
      </c>
      <c r="H955" s="143" t="s">
        <v>26</v>
      </c>
      <c r="I955" s="143" t="s">
        <v>176</v>
      </c>
      <c r="J955" s="143" t="s">
        <v>643</v>
      </c>
      <c r="K955" s="144">
        <f>1.27*45100</f>
        <v>57277</v>
      </c>
      <c r="L955" s="145" t="s">
        <v>172</v>
      </c>
      <c r="M955" s="143" t="s">
        <v>6709</v>
      </c>
    </row>
    <row r="956" spans="1:13">
      <c r="A956" s="27" t="s">
        <v>6705</v>
      </c>
      <c r="B956" s="150" t="s">
        <v>8610</v>
      </c>
      <c r="C956" s="150" t="s">
        <v>7540</v>
      </c>
      <c r="D956" s="142" t="s">
        <v>8611</v>
      </c>
      <c r="E956" s="145">
        <v>1</v>
      </c>
      <c r="F956" s="143" t="s">
        <v>168</v>
      </c>
      <c r="G956" s="143" t="s">
        <v>7542</v>
      </c>
      <c r="H956" s="143" t="s">
        <v>26</v>
      </c>
      <c r="I956" s="143" t="s">
        <v>176</v>
      </c>
      <c r="J956" s="143" t="s">
        <v>643</v>
      </c>
      <c r="K956" s="144">
        <f>1.33*45100</f>
        <v>59983</v>
      </c>
      <c r="L956" s="145" t="s">
        <v>172</v>
      </c>
      <c r="M956" s="143" t="s">
        <v>6709</v>
      </c>
    </row>
    <row r="957" spans="1:13">
      <c r="A957" s="27" t="s">
        <v>6705</v>
      </c>
      <c r="B957" s="150" t="s">
        <v>8612</v>
      </c>
      <c r="C957" s="150" t="s">
        <v>7540</v>
      </c>
      <c r="D957" s="142" t="s">
        <v>8613</v>
      </c>
      <c r="E957" s="145">
        <v>1</v>
      </c>
      <c r="F957" s="143" t="s">
        <v>168</v>
      </c>
      <c r="G957" s="143" t="s">
        <v>7542</v>
      </c>
      <c r="H957" s="143" t="s">
        <v>26</v>
      </c>
      <c r="I957" s="143" t="s">
        <v>176</v>
      </c>
      <c r="J957" s="143" t="s">
        <v>643</v>
      </c>
      <c r="K957" s="144">
        <f>5205+71500</f>
        <v>76705</v>
      </c>
      <c r="L957" s="145" t="s">
        <v>172</v>
      </c>
      <c r="M957" s="143" t="s">
        <v>6709</v>
      </c>
    </row>
    <row r="958" spans="1:13">
      <c r="A958" s="27" t="s">
        <v>6705</v>
      </c>
      <c r="B958" s="150" t="s">
        <v>8614</v>
      </c>
      <c r="C958" s="150" t="s">
        <v>7540</v>
      </c>
      <c r="D958" s="142" t="s">
        <v>8615</v>
      </c>
      <c r="E958" s="145">
        <v>1</v>
      </c>
      <c r="F958" s="143" t="s">
        <v>168</v>
      </c>
      <c r="G958" s="143" t="s">
        <v>7542</v>
      </c>
      <c r="H958" s="143" t="s">
        <v>26</v>
      </c>
      <c r="I958" s="143" t="s">
        <v>176</v>
      </c>
      <c r="J958" s="143" t="s">
        <v>643</v>
      </c>
      <c r="K958" s="144">
        <f>1.22*71500</f>
        <v>87230</v>
      </c>
      <c r="L958" s="145" t="s">
        <v>172</v>
      </c>
      <c r="M958" s="143" t="s">
        <v>6709</v>
      </c>
    </row>
    <row r="959" spans="1:13">
      <c r="A959" s="27" t="s">
        <v>6705</v>
      </c>
      <c r="B959" s="150" t="s">
        <v>8616</v>
      </c>
      <c r="C959" s="150" t="s">
        <v>7540</v>
      </c>
      <c r="D959" s="142" t="s">
        <v>8617</v>
      </c>
      <c r="E959" s="145">
        <v>1</v>
      </c>
      <c r="F959" s="143" t="s">
        <v>168</v>
      </c>
      <c r="G959" s="143" t="s">
        <v>7542</v>
      </c>
      <c r="H959" s="143" t="s">
        <v>26</v>
      </c>
      <c r="I959" s="143" t="s">
        <v>176</v>
      </c>
      <c r="J959" s="143" t="s">
        <v>643</v>
      </c>
      <c r="K959" s="144">
        <f>1.27*71500</f>
        <v>90805</v>
      </c>
      <c r="L959" s="145" t="s">
        <v>172</v>
      </c>
      <c r="M959" s="143" t="s">
        <v>6709</v>
      </c>
    </row>
    <row r="960" spans="1:13">
      <c r="A960" s="27" t="s">
        <v>6705</v>
      </c>
      <c r="B960" s="150" t="s">
        <v>8618</v>
      </c>
      <c r="C960" s="150" t="s">
        <v>7540</v>
      </c>
      <c r="D960" s="142" t="s">
        <v>8619</v>
      </c>
      <c r="E960" s="145">
        <v>1</v>
      </c>
      <c r="F960" s="143" t="s">
        <v>168</v>
      </c>
      <c r="G960" s="143" t="s">
        <v>7542</v>
      </c>
      <c r="H960" s="143" t="s">
        <v>26</v>
      </c>
      <c r="I960" s="143" t="s">
        <v>176</v>
      </c>
      <c r="J960" s="143" t="s">
        <v>643</v>
      </c>
      <c r="K960" s="144">
        <f>1.33*71500</f>
        <v>95095</v>
      </c>
      <c r="L960" s="145" t="s">
        <v>172</v>
      </c>
      <c r="M960" s="143" t="s">
        <v>6709</v>
      </c>
    </row>
    <row r="961" spans="1:13">
      <c r="A961" s="27" t="s">
        <v>6705</v>
      </c>
      <c r="B961" s="150" t="s">
        <v>8620</v>
      </c>
      <c r="C961" s="150" t="s">
        <v>7540</v>
      </c>
      <c r="D961" s="142" t="s">
        <v>8621</v>
      </c>
      <c r="E961" s="145">
        <v>1</v>
      </c>
      <c r="F961" s="143" t="s">
        <v>168</v>
      </c>
      <c r="G961" s="143" t="s">
        <v>7542</v>
      </c>
      <c r="H961" s="143" t="s">
        <v>26</v>
      </c>
      <c r="I961" s="143" t="s">
        <v>176</v>
      </c>
      <c r="J961" s="143" t="s">
        <v>643</v>
      </c>
      <c r="K961" s="144">
        <f>8165+112200</f>
        <v>120365</v>
      </c>
      <c r="L961" s="145" t="s">
        <v>172</v>
      </c>
      <c r="M961" s="143" t="s">
        <v>6709</v>
      </c>
    </row>
    <row r="962" spans="1:13">
      <c r="A962" s="27" t="s">
        <v>6705</v>
      </c>
      <c r="B962" s="150" t="s">
        <v>8622</v>
      </c>
      <c r="C962" s="150" t="s">
        <v>7540</v>
      </c>
      <c r="D962" s="142" t="s">
        <v>8623</v>
      </c>
      <c r="E962" s="145">
        <v>1</v>
      </c>
      <c r="F962" s="143" t="s">
        <v>168</v>
      </c>
      <c r="G962" s="143" t="s">
        <v>7542</v>
      </c>
      <c r="H962" s="143" t="s">
        <v>26</v>
      </c>
      <c r="I962" s="143" t="s">
        <v>176</v>
      </c>
      <c r="J962" s="143" t="s">
        <v>643</v>
      </c>
      <c r="K962" s="144">
        <f>1.22*112200</f>
        <v>136884</v>
      </c>
      <c r="L962" s="145" t="s">
        <v>172</v>
      </c>
      <c r="M962" s="143" t="s">
        <v>6709</v>
      </c>
    </row>
    <row r="963" spans="1:13">
      <c r="A963" s="27" t="s">
        <v>6705</v>
      </c>
      <c r="B963" s="150" t="s">
        <v>8624</v>
      </c>
      <c r="C963" s="150" t="s">
        <v>7540</v>
      </c>
      <c r="D963" s="142" t="s">
        <v>8625</v>
      </c>
      <c r="E963" s="145">
        <v>1</v>
      </c>
      <c r="F963" s="143" t="s">
        <v>168</v>
      </c>
      <c r="G963" s="143" t="s">
        <v>7542</v>
      </c>
      <c r="H963" s="143" t="s">
        <v>26</v>
      </c>
      <c r="I963" s="143" t="s">
        <v>176</v>
      </c>
      <c r="J963" s="143" t="s">
        <v>643</v>
      </c>
      <c r="K963" s="144">
        <f>1.27*112200</f>
        <v>142494</v>
      </c>
      <c r="L963" s="145" t="s">
        <v>172</v>
      </c>
      <c r="M963" s="143" t="s">
        <v>6709</v>
      </c>
    </row>
    <row r="964" spans="1:13">
      <c r="A964" s="27" t="s">
        <v>6705</v>
      </c>
      <c r="B964" s="150" t="s">
        <v>8626</v>
      </c>
      <c r="C964" s="150" t="s">
        <v>7540</v>
      </c>
      <c r="D964" s="142" t="s">
        <v>8627</v>
      </c>
      <c r="E964" s="145">
        <v>1</v>
      </c>
      <c r="F964" s="143" t="s">
        <v>168</v>
      </c>
      <c r="G964" s="143" t="s">
        <v>7542</v>
      </c>
      <c r="H964" s="143" t="s">
        <v>26</v>
      </c>
      <c r="I964" s="143" t="s">
        <v>176</v>
      </c>
      <c r="J964" s="143" t="s">
        <v>643</v>
      </c>
      <c r="K964" s="144">
        <f>1.33*112200</f>
        <v>149226</v>
      </c>
      <c r="L964" s="145" t="s">
        <v>172</v>
      </c>
      <c r="M964" s="143" t="s">
        <v>6709</v>
      </c>
    </row>
    <row r="965" spans="1:13">
      <c r="A965" s="27" t="s">
        <v>6705</v>
      </c>
      <c r="B965" s="150" t="s">
        <v>8628</v>
      </c>
      <c r="C965" s="150" t="s">
        <v>7540</v>
      </c>
      <c r="D965" s="142" t="s">
        <v>8629</v>
      </c>
      <c r="E965" s="145">
        <v>1</v>
      </c>
      <c r="F965" s="143" t="s">
        <v>168</v>
      </c>
      <c r="G965" s="143" t="s">
        <v>7542</v>
      </c>
      <c r="H965" s="143" t="s">
        <v>26</v>
      </c>
      <c r="I965" s="143" t="s">
        <v>176</v>
      </c>
      <c r="J965" s="143" t="s">
        <v>643</v>
      </c>
      <c r="K965" s="144">
        <f>17598+242000</f>
        <v>259598</v>
      </c>
      <c r="L965" s="145" t="s">
        <v>172</v>
      </c>
      <c r="M965" s="143" t="s">
        <v>6709</v>
      </c>
    </row>
    <row r="966" spans="1:13">
      <c r="A966" s="27" t="s">
        <v>6705</v>
      </c>
      <c r="B966" s="150" t="s">
        <v>8630</v>
      </c>
      <c r="C966" s="150" t="s">
        <v>7540</v>
      </c>
      <c r="D966" s="142" t="s">
        <v>8631</v>
      </c>
      <c r="E966" s="145">
        <v>1</v>
      </c>
      <c r="F966" s="143" t="s">
        <v>168</v>
      </c>
      <c r="G966" s="143" t="s">
        <v>7542</v>
      </c>
      <c r="H966" s="143" t="s">
        <v>26</v>
      </c>
      <c r="I966" s="143" t="s">
        <v>176</v>
      </c>
      <c r="J966" s="143" t="s">
        <v>643</v>
      </c>
      <c r="K966" s="144">
        <f>1.22*242000</f>
        <v>295240</v>
      </c>
      <c r="L966" s="145" t="s">
        <v>172</v>
      </c>
      <c r="M966" s="143" t="s">
        <v>6709</v>
      </c>
    </row>
    <row r="967" spans="1:13">
      <c r="A967" s="27" t="s">
        <v>6705</v>
      </c>
      <c r="B967" s="150" t="s">
        <v>8632</v>
      </c>
      <c r="C967" s="150" t="s">
        <v>7540</v>
      </c>
      <c r="D967" s="142" t="s">
        <v>8633</v>
      </c>
      <c r="E967" s="145">
        <v>1</v>
      </c>
      <c r="F967" s="143" t="s">
        <v>168</v>
      </c>
      <c r="G967" s="143" t="s">
        <v>7542</v>
      </c>
      <c r="H967" s="143" t="s">
        <v>26</v>
      </c>
      <c r="I967" s="143" t="s">
        <v>176</v>
      </c>
      <c r="J967" s="143" t="s">
        <v>643</v>
      </c>
      <c r="K967" s="144">
        <f>1.27*242000</f>
        <v>307340</v>
      </c>
      <c r="L967" s="145" t="s">
        <v>172</v>
      </c>
      <c r="M967" s="143" t="s">
        <v>6709</v>
      </c>
    </row>
    <row r="968" spans="1:13">
      <c r="A968" s="27" t="s">
        <v>6705</v>
      </c>
      <c r="B968" s="150" t="s">
        <v>8634</v>
      </c>
      <c r="C968" s="150" t="s">
        <v>7540</v>
      </c>
      <c r="D968" s="142" t="s">
        <v>8635</v>
      </c>
      <c r="E968" s="145">
        <v>1</v>
      </c>
      <c r="F968" s="143" t="s">
        <v>168</v>
      </c>
      <c r="G968" s="143" t="s">
        <v>7542</v>
      </c>
      <c r="H968" s="143" t="s">
        <v>26</v>
      </c>
      <c r="I968" s="143" t="s">
        <v>176</v>
      </c>
      <c r="J968" s="143" t="s">
        <v>643</v>
      </c>
      <c r="K968" s="144">
        <f>1.33*242000</f>
        <v>321860</v>
      </c>
      <c r="L968" s="145" t="s">
        <v>172</v>
      </c>
      <c r="M968" s="143" t="s">
        <v>6709</v>
      </c>
    </row>
    <row r="969" spans="1:13">
      <c r="A969" s="27" t="s">
        <v>6705</v>
      </c>
      <c r="B969" s="150" t="s">
        <v>8636</v>
      </c>
      <c r="C969" s="150" t="s">
        <v>7540</v>
      </c>
      <c r="D969" s="142" t="s">
        <v>8637</v>
      </c>
      <c r="E969" s="145">
        <v>1</v>
      </c>
      <c r="F969" s="143" t="s">
        <v>168</v>
      </c>
      <c r="G969" s="143" t="s">
        <v>7542</v>
      </c>
      <c r="H969" s="143" t="s">
        <v>26</v>
      </c>
      <c r="I969" s="143" t="s">
        <v>176</v>
      </c>
      <c r="J969" s="143" t="s">
        <v>643</v>
      </c>
      <c r="K969" s="144">
        <f>32004+440000</f>
        <v>472004</v>
      </c>
      <c r="L969" s="145" t="s">
        <v>172</v>
      </c>
      <c r="M969" s="143" t="s">
        <v>6709</v>
      </c>
    </row>
    <row r="970" spans="1:13">
      <c r="A970" s="27" t="s">
        <v>6705</v>
      </c>
      <c r="B970" s="150" t="s">
        <v>8638</v>
      </c>
      <c r="C970" s="150" t="s">
        <v>7540</v>
      </c>
      <c r="D970" s="142" t="s">
        <v>8639</v>
      </c>
      <c r="E970" s="145">
        <v>1</v>
      </c>
      <c r="F970" s="143" t="s">
        <v>168</v>
      </c>
      <c r="G970" s="143" t="s">
        <v>7542</v>
      </c>
      <c r="H970" s="143" t="s">
        <v>26</v>
      </c>
      <c r="I970" s="143" t="s">
        <v>176</v>
      </c>
      <c r="J970" s="143" t="s">
        <v>643</v>
      </c>
      <c r="K970" s="144">
        <f>1.22*440000</f>
        <v>536800</v>
      </c>
      <c r="L970" s="145" t="s">
        <v>172</v>
      </c>
      <c r="M970" s="143" t="s">
        <v>6709</v>
      </c>
    </row>
    <row r="971" spans="1:13">
      <c r="A971" s="27" t="s">
        <v>6705</v>
      </c>
      <c r="B971" s="150" t="s">
        <v>8640</v>
      </c>
      <c r="C971" s="150" t="s">
        <v>7540</v>
      </c>
      <c r="D971" s="142" t="s">
        <v>8641</v>
      </c>
      <c r="E971" s="145">
        <v>1</v>
      </c>
      <c r="F971" s="143" t="s">
        <v>168</v>
      </c>
      <c r="G971" s="143" t="s">
        <v>7542</v>
      </c>
      <c r="H971" s="143" t="s">
        <v>26</v>
      </c>
      <c r="I971" s="143" t="s">
        <v>176</v>
      </c>
      <c r="J971" s="143" t="s">
        <v>643</v>
      </c>
      <c r="K971" s="144">
        <f>1.27*440000</f>
        <v>558800</v>
      </c>
      <c r="L971" s="145" t="s">
        <v>172</v>
      </c>
      <c r="M971" s="143" t="s">
        <v>6709</v>
      </c>
    </row>
    <row r="972" spans="1:13">
      <c r="A972" s="27" t="s">
        <v>6705</v>
      </c>
      <c r="B972" s="150" t="s">
        <v>8642</v>
      </c>
      <c r="C972" s="150" t="s">
        <v>7540</v>
      </c>
      <c r="D972" s="142" t="s">
        <v>8643</v>
      </c>
      <c r="E972" s="145">
        <v>1</v>
      </c>
      <c r="F972" s="143" t="s">
        <v>168</v>
      </c>
      <c r="G972" s="143" t="s">
        <v>7542</v>
      </c>
      <c r="H972" s="143" t="s">
        <v>26</v>
      </c>
      <c r="I972" s="143" t="s">
        <v>176</v>
      </c>
      <c r="J972" s="143" t="s">
        <v>643</v>
      </c>
      <c r="K972" s="144">
        <f>1.33*440000</f>
        <v>585200</v>
      </c>
      <c r="L972" s="145" t="s">
        <v>172</v>
      </c>
      <c r="M972" s="143" t="s">
        <v>6709</v>
      </c>
    </row>
    <row r="973" spans="1:13">
      <c r="A973" s="27" t="s">
        <v>6705</v>
      </c>
      <c r="B973" s="150" t="s">
        <v>8644</v>
      </c>
      <c r="C973" s="150" t="s">
        <v>7540</v>
      </c>
      <c r="D973" s="142" t="s">
        <v>8645</v>
      </c>
      <c r="E973" s="145">
        <v>1</v>
      </c>
      <c r="F973" s="143" t="s">
        <v>168</v>
      </c>
      <c r="G973" s="143" t="s">
        <v>7542</v>
      </c>
      <c r="H973" s="143" t="s">
        <v>26</v>
      </c>
      <c r="I973" s="143" t="s">
        <v>176</v>
      </c>
      <c r="J973" s="143" t="s">
        <v>643</v>
      </c>
      <c r="K973" s="144">
        <f>55214+759000</f>
        <v>814214</v>
      </c>
      <c r="L973" s="145" t="s">
        <v>172</v>
      </c>
      <c r="M973" s="143" t="s">
        <v>6709</v>
      </c>
    </row>
    <row r="974" spans="1:13">
      <c r="A974" s="27" t="s">
        <v>6705</v>
      </c>
      <c r="B974" s="150" t="s">
        <v>8646</v>
      </c>
      <c r="C974" s="150" t="s">
        <v>7540</v>
      </c>
      <c r="D974" s="142" t="s">
        <v>8647</v>
      </c>
      <c r="E974" s="145">
        <v>1</v>
      </c>
      <c r="F974" s="143" t="s">
        <v>168</v>
      </c>
      <c r="G974" s="143" t="s">
        <v>7542</v>
      </c>
      <c r="H974" s="143" t="s">
        <v>26</v>
      </c>
      <c r="I974" s="143" t="s">
        <v>176</v>
      </c>
      <c r="J974" s="143" t="s">
        <v>643</v>
      </c>
      <c r="K974" s="144">
        <f>1.22*759000</f>
        <v>925980</v>
      </c>
      <c r="L974" s="145" t="s">
        <v>172</v>
      </c>
      <c r="M974" s="143" t="s">
        <v>6709</v>
      </c>
    </row>
    <row r="975" spans="1:13">
      <c r="A975" s="27" t="s">
        <v>6705</v>
      </c>
      <c r="B975" s="150" t="s">
        <v>8648</v>
      </c>
      <c r="C975" s="150" t="s">
        <v>7540</v>
      </c>
      <c r="D975" s="142" t="s">
        <v>8649</v>
      </c>
      <c r="E975" s="145">
        <v>1</v>
      </c>
      <c r="F975" s="143" t="s">
        <v>168</v>
      </c>
      <c r="G975" s="143" t="s">
        <v>7542</v>
      </c>
      <c r="H975" s="143" t="s">
        <v>26</v>
      </c>
      <c r="I975" s="143" t="s">
        <v>176</v>
      </c>
      <c r="J975" s="143" t="s">
        <v>643</v>
      </c>
      <c r="K975" s="144">
        <f>1.27*759000</f>
        <v>963930</v>
      </c>
      <c r="L975" s="145" t="s">
        <v>172</v>
      </c>
      <c r="M975" s="143" t="s">
        <v>6709</v>
      </c>
    </row>
    <row r="976" spans="1:13">
      <c r="A976" s="27" t="s">
        <v>6705</v>
      </c>
      <c r="B976" s="150" t="s">
        <v>8650</v>
      </c>
      <c r="C976" s="150" t="s">
        <v>7540</v>
      </c>
      <c r="D976" s="142" t="s">
        <v>8651</v>
      </c>
      <c r="E976" s="145">
        <v>1</v>
      </c>
      <c r="F976" s="143" t="s">
        <v>168</v>
      </c>
      <c r="G976" s="143" t="s">
        <v>7542</v>
      </c>
      <c r="H976" s="143" t="s">
        <v>26</v>
      </c>
      <c r="I976" s="143" t="s">
        <v>176</v>
      </c>
      <c r="J976" s="143" t="s">
        <v>643</v>
      </c>
      <c r="K976" s="144">
        <f>1.33*759000</f>
        <v>1009470</v>
      </c>
      <c r="L976" s="145" t="s">
        <v>172</v>
      </c>
      <c r="M976" s="143" t="s">
        <v>6709</v>
      </c>
    </row>
    <row r="977" spans="1:13">
      <c r="A977" s="27" t="s">
        <v>6705</v>
      </c>
      <c r="B977" s="150" t="s">
        <v>8652</v>
      </c>
      <c r="C977" s="150" t="s">
        <v>7540</v>
      </c>
      <c r="D977" s="142" t="s">
        <v>8653</v>
      </c>
      <c r="E977" s="145">
        <v>1</v>
      </c>
      <c r="F977" s="143" t="s">
        <v>168</v>
      </c>
      <c r="G977" s="143" t="s">
        <v>7542</v>
      </c>
      <c r="H977" s="143" t="s">
        <v>26</v>
      </c>
      <c r="I977" s="143" t="s">
        <v>176</v>
      </c>
      <c r="J977" s="143" t="s">
        <v>643</v>
      </c>
      <c r="K977" s="144">
        <v>10761.6</v>
      </c>
      <c r="L977" s="145" t="s">
        <v>172</v>
      </c>
      <c r="M977" s="143" t="s">
        <v>6709</v>
      </c>
    </row>
    <row r="978" spans="1:13">
      <c r="A978" s="27" t="s">
        <v>6705</v>
      </c>
      <c r="B978" s="150" t="s">
        <v>8654</v>
      </c>
      <c r="C978" s="150" t="s">
        <v>7540</v>
      </c>
      <c r="D978" s="142" t="s">
        <v>8655</v>
      </c>
      <c r="E978" s="145">
        <v>1</v>
      </c>
      <c r="F978" s="143" t="s">
        <v>168</v>
      </c>
      <c r="G978" s="143" t="s">
        <v>7542</v>
      </c>
      <c r="H978" s="143" t="s">
        <v>26</v>
      </c>
      <c r="I978" s="143" t="s">
        <v>176</v>
      </c>
      <c r="J978" s="143" t="s">
        <v>643</v>
      </c>
      <c r="K978" s="144">
        <v>21705.599999999999</v>
      </c>
      <c r="L978" s="145" t="s">
        <v>172</v>
      </c>
      <c r="M978" s="143" t="s">
        <v>6709</v>
      </c>
    </row>
    <row r="979" spans="1:13">
      <c r="A979" s="27" t="s">
        <v>6705</v>
      </c>
      <c r="B979" s="150" t="s">
        <v>8656</v>
      </c>
      <c r="C979" s="150" t="s">
        <v>7540</v>
      </c>
      <c r="D979" s="142" t="s">
        <v>8657</v>
      </c>
      <c r="E979" s="145">
        <v>1</v>
      </c>
      <c r="F979" s="143" t="s">
        <v>168</v>
      </c>
      <c r="G979" s="143" t="s">
        <v>7542</v>
      </c>
      <c r="H979" s="143" t="s">
        <v>26</v>
      </c>
      <c r="I979" s="143" t="s">
        <v>176</v>
      </c>
      <c r="J979" s="143" t="s">
        <v>643</v>
      </c>
      <c r="K979" s="144">
        <v>33926.400000000001</v>
      </c>
      <c r="L979" s="145" t="s">
        <v>172</v>
      </c>
      <c r="M979" s="143" t="s">
        <v>6709</v>
      </c>
    </row>
    <row r="980" spans="1:13">
      <c r="A980" s="27" t="s">
        <v>6705</v>
      </c>
      <c r="B980" s="150" t="s">
        <v>8658</v>
      </c>
      <c r="C980" s="150" t="s">
        <v>7540</v>
      </c>
      <c r="D980" s="142" t="s">
        <v>8659</v>
      </c>
      <c r="E980" s="145">
        <v>1</v>
      </c>
      <c r="F980" s="143" t="s">
        <v>168</v>
      </c>
      <c r="G980" s="143" t="s">
        <v>7542</v>
      </c>
      <c r="H980" s="143" t="s">
        <v>26</v>
      </c>
      <c r="I980" s="143" t="s">
        <v>176</v>
      </c>
      <c r="J980" s="143" t="s">
        <v>643</v>
      </c>
      <c r="K980" s="144">
        <v>13452</v>
      </c>
      <c r="L980" s="145" t="s">
        <v>172</v>
      </c>
      <c r="M980" s="143" t="s">
        <v>6709</v>
      </c>
    </row>
    <row r="981" spans="1:13">
      <c r="A981" s="27" t="s">
        <v>6705</v>
      </c>
      <c r="B981" s="150" t="s">
        <v>8660</v>
      </c>
      <c r="C981" s="150" t="s">
        <v>7540</v>
      </c>
      <c r="D981" s="142" t="s">
        <v>8661</v>
      </c>
      <c r="E981" s="145">
        <v>1</v>
      </c>
      <c r="F981" s="143" t="s">
        <v>168</v>
      </c>
      <c r="G981" s="143" t="s">
        <v>7542</v>
      </c>
      <c r="H981" s="143" t="s">
        <v>26</v>
      </c>
      <c r="I981" s="143" t="s">
        <v>176</v>
      </c>
      <c r="J981" s="143" t="s">
        <v>643</v>
      </c>
      <c r="K981" s="144">
        <v>27132</v>
      </c>
      <c r="L981" s="145" t="s">
        <v>172</v>
      </c>
      <c r="M981" s="143" t="s">
        <v>6709</v>
      </c>
    </row>
    <row r="982" spans="1:13">
      <c r="A982" s="27" t="s">
        <v>6705</v>
      </c>
      <c r="B982" s="150" t="s">
        <v>8662</v>
      </c>
      <c r="C982" s="150" t="s">
        <v>7540</v>
      </c>
      <c r="D982" s="142" t="s">
        <v>8663</v>
      </c>
      <c r="E982" s="145">
        <v>1</v>
      </c>
      <c r="F982" s="143" t="s">
        <v>168</v>
      </c>
      <c r="G982" s="143" t="s">
        <v>7542</v>
      </c>
      <c r="H982" s="143" t="s">
        <v>26</v>
      </c>
      <c r="I982" s="143" t="s">
        <v>176</v>
      </c>
      <c r="J982" s="143" t="s">
        <v>643</v>
      </c>
      <c r="K982" s="144">
        <v>42408</v>
      </c>
      <c r="L982" s="145" t="s">
        <v>172</v>
      </c>
      <c r="M982" s="143" t="s">
        <v>6709</v>
      </c>
    </row>
    <row r="983" spans="1:13">
      <c r="A983" s="27" t="s">
        <v>6705</v>
      </c>
      <c r="B983" s="150" t="s">
        <v>8664</v>
      </c>
      <c r="C983" s="150" t="s">
        <v>7540</v>
      </c>
      <c r="D983" s="142" t="s">
        <v>8665</v>
      </c>
      <c r="E983" s="145">
        <v>1</v>
      </c>
      <c r="F983" s="143" t="s">
        <v>168</v>
      </c>
      <c r="G983" s="143" t="s">
        <v>7542</v>
      </c>
      <c r="H983" s="143" t="s">
        <v>26</v>
      </c>
      <c r="I983" s="143" t="s">
        <v>176</v>
      </c>
      <c r="J983" s="143" t="s">
        <v>643</v>
      </c>
      <c r="K983" s="144">
        <v>1143.42</v>
      </c>
      <c r="L983" s="145" t="s">
        <v>172</v>
      </c>
      <c r="M983" s="143" t="s">
        <v>6709</v>
      </c>
    </row>
    <row r="984" spans="1:13">
      <c r="A984" s="27" t="s">
        <v>6705</v>
      </c>
      <c r="B984" s="150" t="s">
        <v>8666</v>
      </c>
      <c r="C984" s="150" t="s">
        <v>7540</v>
      </c>
      <c r="D984" s="142" t="s">
        <v>8667</v>
      </c>
      <c r="E984" s="145">
        <v>1</v>
      </c>
      <c r="F984" s="143" t="s">
        <v>168</v>
      </c>
      <c r="G984" s="143" t="s">
        <v>7542</v>
      </c>
      <c r="H984" s="143" t="s">
        <v>26</v>
      </c>
      <c r="I984" s="143" t="s">
        <v>176</v>
      </c>
      <c r="J984" s="143" t="s">
        <v>643</v>
      </c>
      <c r="K984" s="144">
        <v>2306.2199999999998</v>
      </c>
      <c r="L984" s="145" t="s">
        <v>172</v>
      </c>
      <c r="M984" s="143" t="s">
        <v>6709</v>
      </c>
    </row>
    <row r="985" spans="1:13">
      <c r="A985" s="27" t="s">
        <v>6705</v>
      </c>
      <c r="B985" s="150" t="s">
        <v>8668</v>
      </c>
      <c r="C985" s="150" t="s">
        <v>7540</v>
      </c>
      <c r="D985" s="142" t="s">
        <v>8669</v>
      </c>
      <c r="E985" s="145">
        <v>1</v>
      </c>
      <c r="F985" s="143" t="s">
        <v>168</v>
      </c>
      <c r="G985" s="143" t="s">
        <v>7542</v>
      </c>
      <c r="H985" s="143" t="s">
        <v>26</v>
      </c>
      <c r="I985" s="143" t="s">
        <v>176</v>
      </c>
      <c r="J985" s="143" t="s">
        <v>643</v>
      </c>
      <c r="K985" s="144">
        <v>3604.68</v>
      </c>
      <c r="L985" s="145" t="s">
        <v>172</v>
      </c>
      <c r="M985" s="143" t="s">
        <v>6709</v>
      </c>
    </row>
    <row r="986" spans="1:13">
      <c r="A986" s="27" t="s">
        <v>6705</v>
      </c>
      <c r="B986" s="150" t="s">
        <v>8670</v>
      </c>
      <c r="C986" s="150" t="s">
        <v>7540</v>
      </c>
      <c r="D986" s="142" t="s">
        <v>8671</v>
      </c>
      <c r="E986" s="145">
        <v>1</v>
      </c>
      <c r="F986" s="143" t="s">
        <v>168</v>
      </c>
      <c r="G986" s="143" t="s">
        <v>7542</v>
      </c>
      <c r="H986" s="143" t="s">
        <v>26</v>
      </c>
      <c r="I986" s="143" t="s">
        <v>176</v>
      </c>
      <c r="J986" s="143" t="s">
        <v>643</v>
      </c>
      <c r="K986" s="144">
        <v>5290.74</v>
      </c>
      <c r="L986" s="145" t="s">
        <v>172</v>
      </c>
      <c r="M986" s="143" t="s">
        <v>6709</v>
      </c>
    </row>
    <row r="987" spans="1:13">
      <c r="A987" s="27" t="s">
        <v>6705</v>
      </c>
      <c r="B987" s="150" t="s">
        <v>8672</v>
      </c>
      <c r="C987" s="150" t="s">
        <v>7540</v>
      </c>
      <c r="D987" s="142" t="s">
        <v>8673</v>
      </c>
      <c r="E987" s="145">
        <v>1</v>
      </c>
      <c r="F987" s="143" t="s">
        <v>168</v>
      </c>
      <c r="G987" s="143" t="s">
        <v>7542</v>
      </c>
      <c r="H987" s="143" t="s">
        <v>26</v>
      </c>
      <c r="I987" s="143" t="s">
        <v>176</v>
      </c>
      <c r="J987" s="143" t="s">
        <v>643</v>
      </c>
      <c r="K987" s="144">
        <v>7848.9</v>
      </c>
      <c r="L987" s="145" t="s">
        <v>172</v>
      </c>
      <c r="M987" s="143" t="s">
        <v>6709</v>
      </c>
    </row>
    <row r="988" spans="1:13">
      <c r="A988" s="27" t="s">
        <v>6705</v>
      </c>
      <c r="B988" s="150" t="s">
        <v>8674</v>
      </c>
      <c r="C988" s="150" t="s">
        <v>7540</v>
      </c>
      <c r="D988" s="142" t="s">
        <v>8675</v>
      </c>
      <c r="E988" s="145">
        <v>1</v>
      </c>
      <c r="F988" s="143" t="s">
        <v>168</v>
      </c>
      <c r="G988" s="143" t="s">
        <v>7542</v>
      </c>
      <c r="H988" s="143" t="s">
        <v>26</v>
      </c>
      <c r="I988" s="143" t="s">
        <v>176</v>
      </c>
      <c r="J988" s="143" t="s">
        <v>643</v>
      </c>
      <c r="K988" s="144">
        <v>2152.3200000000002</v>
      </c>
      <c r="L988" s="145" t="s">
        <v>172</v>
      </c>
      <c r="M988" s="143" t="s">
        <v>6709</v>
      </c>
    </row>
    <row r="989" spans="1:13">
      <c r="A989" s="27" t="s">
        <v>6705</v>
      </c>
      <c r="B989" s="150" t="s">
        <v>8676</v>
      </c>
      <c r="C989" s="150" t="s">
        <v>7540</v>
      </c>
      <c r="D989" s="142" t="s">
        <v>8677</v>
      </c>
      <c r="E989" s="145">
        <v>1</v>
      </c>
      <c r="F989" s="143" t="s">
        <v>168</v>
      </c>
      <c r="G989" s="143" t="s">
        <v>7542</v>
      </c>
      <c r="H989" s="143" t="s">
        <v>26</v>
      </c>
      <c r="I989" s="143" t="s">
        <v>176</v>
      </c>
      <c r="J989" s="143" t="s">
        <v>643</v>
      </c>
      <c r="K989" s="144">
        <v>4341.12</v>
      </c>
      <c r="L989" s="145" t="s">
        <v>172</v>
      </c>
      <c r="M989" s="143" t="s">
        <v>6709</v>
      </c>
    </row>
    <row r="990" spans="1:13">
      <c r="A990" s="27" t="s">
        <v>6705</v>
      </c>
      <c r="B990" s="150" t="s">
        <v>8678</v>
      </c>
      <c r="C990" s="150" t="s">
        <v>7540</v>
      </c>
      <c r="D990" s="142" t="s">
        <v>8679</v>
      </c>
      <c r="E990" s="145">
        <v>1</v>
      </c>
      <c r="F990" s="143" t="s">
        <v>168</v>
      </c>
      <c r="G990" s="143" t="s">
        <v>7542</v>
      </c>
      <c r="H990" s="143" t="s">
        <v>26</v>
      </c>
      <c r="I990" s="143" t="s">
        <v>176</v>
      </c>
      <c r="J990" s="143" t="s">
        <v>643</v>
      </c>
      <c r="K990" s="144">
        <v>6785.28</v>
      </c>
      <c r="L990" s="145" t="s">
        <v>172</v>
      </c>
      <c r="M990" s="143" t="s">
        <v>6709</v>
      </c>
    </row>
    <row r="991" spans="1:13">
      <c r="A991" s="27" t="s">
        <v>6705</v>
      </c>
      <c r="B991" s="150" t="s">
        <v>8680</v>
      </c>
      <c r="C991" s="150" t="s">
        <v>7540</v>
      </c>
      <c r="D991" s="142" t="s">
        <v>8681</v>
      </c>
      <c r="E991" s="145">
        <v>1</v>
      </c>
      <c r="F991" s="143" t="s">
        <v>168</v>
      </c>
      <c r="G991" s="143" t="s">
        <v>7542</v>
      </c>
      <c r="H991" s="143" t="s">
        <v>26</v>
      </c>
      <c r="I991" s="143" t="s">
        <v>176</v>
      </c>
      <c r="J991" s="143" t="s">
        <v>643</v>
      </c>
      <c r="K991" s="144">
        <v>9959.0400000000009</v>
      </c>
      <c r="L991" s="145" t="s">
        <v>172</v>
      </c>
      <c r="M991" s="143" t="s">
        <v>6709</v>
      </c>
    </row>
    <row r="992" spans="1:13">
      <c r="A992" s="27" t="s">
        <v>6705</v>
      </c>
      <c r="B992" s="150" t="s">
        <v>8682</v>
      </c>
      <c r="C992" s="150" t="s">
        <v>7540</v>
      </c>
      <c r="D992" s="142" t="s">
        <v>8683</v>
      </c>
      <c r="E992" s="145">
        <v>1</v>
      </c>
      <c r="F992" s="143" t="s">
        <v>168</v>
      </c>
      <c r="G992" s="143" t="s">
        <v>7542</v>
      </c>
      <c r="H992" s="143" t="s">
        <v>26</v>
      </c>
      <c r="I992" s="143" t="s">
        <v>176</v>
      </c>
      <c r="J992" s="143" t="s">
        <v>643</v>
      </c>
      <c r="K992" s="144">
        <v>14774.4</v>
      </c>
      <c r="L992" s="145" t="s">
        <v>172</v>
      </c>
      <c r="M992" s="143" t="s">
        <v>6709</v>
      </c>
    </row>
    <row r="993" spans="1:13">
      <c r="A993" s="27" t="s">
        <v>6705</v>
      </c>
      <c r="B993" s="150" t="s">
        <v>8684</v>
      </c>
      <c r="C993" s="150" t="s">
        <v>7540</v>
      </c>
      <c r="D993" s="142" t="s">
        <v>8685</v>
      </c>
      <c r="E993" s="145">
        <v>1</v>
      </c>
      <c r="F993" s="143" t="s">
        <v>168</v>
      </c>
      <c r="G993" s="143" t="s">
        <v>7542</v>
      </c>
      <c r="H993" s="143" t="s">
        <v>26</v>
      </c>
      <c r="I993" s="143" t="s">
        <v>176</v>
      </c>
      <c r="J993" s="143" t="s">
        <v>643</v>
      </c>
      <c r="K993" s="144">
        <v>2959.44</v>
      </c>
      <c r="L993" s="145" t="s">
        <v>172</v>
      </c>
      <c r="M993" s="143" t="s">
        <v>6709</v>
      </c>
    </row>
    <row r="994" spans="1:13">
      <c r="A994" s="27" t="s">
        <v>6705</v>
      </c>
      <c r="B994" s="150" t="s">
        <v>8686</v>
      </c>
      <c r="C994" s="150" t="s">
        <v>7540</v>
      </c>
      <c r="D994" s="142" t="s">
        <v>8687</v>
      </c>
      <c r="E994" s="145">
        <v>1</v>
      </c>
      <c r="F994" s="143" t="s">
        <v>168</v>
      </c>
      <c r="G994" s="143" t="s">
        <v>7542</v>
      </c>
      <c r="H994" s="143" t="s">
        <v>26</v>
      </c>
      <c r="I994" s="143" t="s">
        <v>176</v>
      </c>
      <c r="J994" s="143" t="s">
        <v>643</v>
      </c>
      <c r="K994" s="144">
        <v>5969.04</v>
      </c>
      <c r="L994" s="145" t="s">
        <v>172</v>
      </c>
      <c r="M994" s="143" t="s">
        <v>6709</v>
      </c>
    </row>
    <row r="995" spans="1:13">
      <c r="A995" s="27" t="s">
        <v>6705</v>
      </c>
      <c r="B995" s="150" t="s">
        <v>8688</v>
      </c>
      <c r="C995" s="150" t="s">
        <v>7540</v>
      </c>
      <c r="D995" s="142" t="s">
        <v>8689</v>
      </c>
      <c r="E995" s="145">
        <v>1</v>
      </c>
      <c r="F995" s="143" t="s">
        <v>168</v>
      </c>
      <c r="G995" s="143" t="s">
        <v>7542</v>
      </c>
      <c r="H995" s="143" t="s">
        <v>26</v>
      </c>
      <c r="I995" s="143" t="s">
        <v>176</v>
      </c>
      <c r="J995" s="143" t="s">
        <v>643</v>
      </c>
      <c r="K995" s="144">
        <v>9329.76</v>
      </c>
      <c r="L995" s="145" t="s">
        <v>172</v>
      </c>
      <c r="M995" s="143" t="s">
        <v>6709</v>
      </c>
    </row>
    <row r="996" spans="1:13">
      <c r="A996" s="27" t="s">
        <v>6705</v>
      </c>
      <c r="B996" s="150" t="s">
        <v>8690</v>
      </c>
      <c r="C996" s="150" t="s">
        <v>7540</v>
      </c>
      <c r="D996" s="142" t="s">
        <v>8691</v>
      </c>
      <c r="E996" s="145">
        <v>1</v>
      </c>
      <c r="F996" s="143" t="s">
        <v>168</v>
      </c>
      <c r="G996" s="143" t="s">
        <v>7542</v>
      </c>
      <c r="H996" s="143" t="s">
        <v>26</v>
      </c>
      <c r="I996" s="143" t="s">
        <v>176</v>
      </c>
      <c r="J996" s="143" t="s">
        <v>643</v>
      </c>
      <c r="K996" s="144">
        <v>13693.68</v>
      </c>
      <c r="L996" s="145" t="s">
        <v>172</v>
      </c>
      <c r="M996" s="143" t="s">
        <v>6709</v>
      </c>
    </row>
    <row r="997" spans="1:13">
      <c r="A997" s="27" t="s">
        <v>6705</v>
      </c>
      <c r="B997" s="150" t="s">
        <v>8692</v>
      </c>
      <c r="C997" s="150" t="s">
        <v>7540</v>
      </c>
      <c r="D997" s="142" t="s">
        <v>8693</v>
      </c>
      <c r="E997" s="145">
        <v>1</v>
      </c>
      <c r="F997" s="143" t="s">
        <v>168</v>
      </c>
      <c r="G997" s="143" t="s">
        <v>7542</v>
      </c>
      <c r="H997" s="143" t="s">
        <v>26</v>
      </c>
      <c r="I997" s="143" t="s">
        <v>176</v>
      </c>
      <c r="J997" s="143" t="s">
        <v>643</v>
      </c>
      <c r="K997" s="144">
        <v>20314.8</v>
      </c>
      <c r="L997" s="145" t="s">
        <v>172</v>
      </c>
      <c r="M997" s="143" t="s">
        <v>6709</v>
      </c>
    </row>
    <row r="998" spans="1:13">
      <c r="A998" s="27" t="s">
        <v>6705</v>
      </c>
      <c r="B998" s="150" t="s">
        <v>8694</v>
      </c>
      <c r="C998" s="150" t="s">
        <v>7540</v>
      </c>
      <c r="D998" s="142" t="s">
        <v>8695</v>
      </c>
      <c r="E998" s="145">
        <v>1</v>
      </c>
      <c r="F998" s="143" t="s">
        <v>168</v>
      </c>
      <c r="G998" s="143" t="s">
        <v>7542</v>
      </c>
      <c r="H998" s="143" t="s">
        <v>26</v>
      </c>
      <c r="I998" s="143" t="s">
        <v>176</v>
      </c>
      <c r="J998" s="143" t="s">
        <v>643</v>
      </c>
      <c r="K998" s="144">
        <v>1075</v>
      </c>
      <c r="L998" s="145" t="s">
        <v>172</v>
      </c>
      <c r="M998" s="143" t="s">
        <v>6709</v>
      </c>
    </row>
    <row r="999" spans="1:13">
      <c r="A999" s="27" t="s">
        <v>6705</v>
      </c>
      <c r="B999" s="150" t="s">
        <v>8696</v>
      </c>
      <c r="C999" s="150" t="s">
        <v>7540</v>
      </c>
      <c r="D999" s="142" t="s">
        <v>8697</v>
      </c>
      <c r="E999" s="145">
        <v>1</v>
      </c>
      <c r="F999" s="143" t="s">
        <v>168</v>
      </c>
      <c r="G999" s="143" t="s">
        <v>7542</v>
      </c>
      <c r="H999" s="143" t="s">
        <v>26</v>
      </c>
      <c r="I999" s="143" t="s">
        <v>176</v>
      </c>
      <c r="J999" s="143" t="s">
        <v>643</v>
      </c>
      <c r="K999" s="144">
        <v>2169</v>
      </c>
      <c r="L999" s="145" t="s">
        <v>172</v>
      </c>
      <c r="M999" s="143" t="s">
        <v>6709</v>
      </c>
    </row>
    <row r="1000" spans="1:13">
      <c r="A1000" s="27" t="s">
        <v>6705</v>
      </c>
      <c r="B1000" s="150" t="s">
        <v>8698</v>
      </c>
      <c r="C1000" s="150" t="s">
        <v>7540</v>
      </c>
      <c r="D1000" s="142" t="s">
        <v>8699</v>
      </c>
      <c r="E1000" s="145">
        <v>1</v>
      </c>
      <c r="F1000" s="143" t="s">
        <v>168</v>
      </c>
      <c r="G1000" s="143" t="s">
        <v>7542</v>
      </c>
      <c r="H1000" s="143" t="s">
        <v>26</v>
      </c>
      <c r="I1000" s="143" t="s">
        <v>176</v>
      </c>
      <c r="J1000" s="143" t="s">
        <v>643</v>
      </c>
      <c r="K1000" s="144">
        <v>3391</v>
      </c>
      <c r="L1000" s="145" t="s">
        <v>172</v>
      </c>
      <c r="M1000" s="143" t="s">
        <v>6709</v>
      </c>
    </row>
    <row r="1001" spans="1:13">
      <c r="A1001" s="27" t="s">
        <v>6705</v>
      </c>
      <c r="B1001" s="150" t="s">
        <v>8700</v>
      </c>
      <c r="C1001" s="150" t="s">
        <v>7540</v>
      </c>
      <c r="D1001" s="142" t="s">
        <v>8701</v>
      </c>
      <c r="E1001" s="145">
        <v>1</v>
      </c>
      <c r="F1001" s="143" t="s">
        <v>168</v>
      </c>
      <c r="G1001" s="143" t="s">
        <v>7542</v>
      </c>
      <c r="H1001" s="143" t="s">
        <v>26</v>
      </c>
      <c r="I1001" s="143" t="s">
        <v>176</v>
      </c>
      <c r="J1001" s="143" t="s">
        <v>643</v>
      </c>
      <c r="K1001" s="144">
        <v>133</v>
      </c>
      <c r="L1001" s="145" t="s">
        <v>172</v>
      </c>
      <c r="M1001" s="143" t="s">
        <v>6709</v>
      </c>
    </row>
    <row r="1002" spans="1:13">
      <c r="A1002" s="27" t="s">
        <v>6705</v>
      </c>
      <c r="B1002" s="150" t="s">
        <v>8702</v>
      </c>
      <c r="C1002" s="150" t="s">
        <v>7540</v>
      </c>
      <c r="D1002" s="142" t="s">
        <v>8703</v>
      </c>
      <c r="E1002" s="145">
        <v>1</v>
      </c>
      <c r="F1002" s="143" t="s">
        <v>168</v>
      </c>
      <c r="G1002" s="143" t="s">
        <v>7542</v>
      </c>
      <c r="H1002" s="143" t="s">
        <v>26</v>
      </c>
      <c r="I1002" s="143" t="s">
        <v>176</v>
      </c>
      <c r="J1002" s="143" t="s">
        <v>643</v>
      </c>
      <c r="K1002" s="144">
        <v>406</v>
      </c>
      <c r="L1002" s="145" t="s">
        <v>172</v>
      </c>
      <c r="M1002" s="143" t="s">
        <v>6709</v>
      </c>
    </row>
    <row r="1003" spans="1:13">
      <c r="A1003" s="27" t="s">
        <v>6705</v>
      </c>
      <c r="B1003" s="150" t="s">
        <v>8704</v>
      </c>
      <c r="C1003" s="150" t="s">
        <v>7540</v>
      </c>
      <c r="D1003" s="142" t="s">
        <v>8705</v>
      </c>
      <c r="E1003" s="145">
        <v>1</v>
      </c>
      <c r="F1003" s="143" t="s">
        <v>168</v>
      </c>
      <c r="G1003" s="143" t="s">
        <v>7542</v>
      </c>
      <c r="H1003" s="143" t="s">
        <v>26</v>
      </c>
      <c r="I1003" s="143" t="s">
        <v>176</v>
      </c>
      <c r="J1003" s="143" t="s">
        <v>643</v>
      </c>
      <c r="K1003" s="144">
        <v>705</v>
      </c>
      <c r="L1003" s="145" t="s">
        <v>172</v>
      </c>
      <c r="M1003" s="143" t="s">
        <v>6709</v>
      </c>
    </row>
    <row r="1004" spans="1:13">
      <c r="A1004" s="27" t="s">
        <v>6705</v>
      </c>
      <c r="B1004" s="151" t="s">
        <v>8706</v>
      </c>
      <c r="C1004" s="151" t="s">
        <v>7519</v>
      </c>
      <c r="D1004" s="146" t="s">
        <v>8707</v>
      </c>
      <c r="E1004" s="143">
        <v>1</v>
      </c>
      <c r="F1004" s="143" t="s">
        <v>168</v>
      </c>
      <c r="G1004" s="143" t="s">
        <v>26</v>
      </c>
      <c r="H1004" s="143" t="s">
        <v>26</v>
      </c>
      <c r="I1004" s="143" t="s">
        <v>176</v>
      </c>
      <c r="J1004" s="143" t="s">
        <v>643</v>
      </c>
      <c r="K1004" s="144">
        <v>23394</v>
      </c>
      <c r="L1004" s="145" t="s">
        <v>172</v>
      </c>
      <c r="M1004" s="143" t="s">
        <v>6709</v>
      </c>
    </row>
    <row r="1005" spans="1:13">
      <c r="A1005" s="27" t="s">
        <v>6705</v>
      </c>
      <c r="B1005" s="151" t="s">
        <v>8708</v>
      </c>
      <c r="C1005" s="151" t="s">
        <v>7519</v>
      </c>
      <c r="D1005" s="146" t="s">
        <v>8709</v>
      </c>
      <c r="E1005" s="143">
        <v>1</v>
      </c>
      <c r="F1005" s="143" t="s">
        <v>168</v>
      </c>
      <c r="G1005" s="143" t="s">
        <v>26</v>
      </c>
      <c r="H1005" s="143" t="s">
        <v>26</v>
      </c>
      <c r="I1005" s="143" t="s">
        <v>176</v>
      </c>
      <c r="J1005" s="143" t="s">
        <v>643</v>
      </c>
      <c r="K1005" s="144">
        <v>88650</v>
      </c>
      <c r="L1005" s="145" t="s">
        <v>172</v>
      </c>
      <c r="M1005" s="143" t="s">
        <v>6709</v>
      </c>
    </row>
    <row r="1006" spans="1:13">
      <c r="A1006" s="27" t="s">
        <v>6705</v>
      </c>
      <c r="B1006" s="151" t="s">
        <v>8710</v>
      </c>
      <c r="C1006" s="151" t="s">
        <v>7519</v>
      </c>
      <c r="D1006" s="146" t="s">
        <v>8711</v>
      </c>
      <c r="E1006" s="143">
        <v>1</v>
      </c>
      <c r="F1006" s="143" t="s">
        <v>168</v>
      </c>
      <c r="G1006" s="143" t="s">
        <v>26</v>
      </c>
      <c r="H1006" s="143" t="s">
        <v>26</v>
      </c>
      <c r="I1006" s="143" t="s">
        <v>176</v>
      </c>
      <c r="J1006" s="143" t="s">
        <v>643</v>
      </c>
      <c r="K1006" s="144">
        <v>200</v>
      </c>
      <c r="L1006" s="145" t="s">
        <v>172</v>
      </c>
      <c r="M1006" s="143" t="s">
        <v>6709</v>
      </c>
    </row>
    <row r="1007" spans="1:13">
      <c r="A1007" s="27" t="s">
        <v>6705</v>
      </c>
      <c r="B1007" s="151" t="s">
        <v>8712</v>
      </c>
      <c r="C1007" s="151" t="s">
        <v>7519</v>
      </c>
      <c r="D1007" s="146" t="s">
        <v>8713</v>
      </c>
      <c r="E1007" s="143">
        <v>1</v>
      </c>
      <c r="F1007" s="143" t="s">
        <v>168</v>
      </c>
      <c r="G1007" s="143" t="s">
        <v>26</v>
      </c>
      <c r="H1007" s="143" t="s">
        <v>26</v>
      </c>
      <c r="I1007" s="143" t="s">
        <v>176</v>
      </c>
      <c r="J1007" s="143" t="s">
        <v>643</v>
      </c>
      <c r="K1007" s="144">
        <v>350</v>
      </c>
      <c r="L1007" s="145" t="s">
        <v>172</v>
      </c>
      <c r="M1007" s="143" t="s">
        <v>6709</v>
      </c>
    </row>
    <row r="1008" spans="1:13">
      <c r="A1008" s="27" t="s">
        <v>6705</v>
      </c>
      <c r="B1008" s="151" t="s">
        <v>8714</v>
      </c>
      <c r="C1008" s="151" t="s">
        <v>7519</v>
      </c>
      <c r="D1008" s="146" t="s">
        <v>8715</v>
      </c>
      <c r="E1008" s="143">
        <v>1</v>
      </c>
      <c r="F1008" s="143" t="s">
        <v>168</v>
      </c>
      <c r="G1008" s="143" t="s">
        <v>26</v>
      </c>
      <c r="H1008" s="143" t="s">
        <v>26</v>
      </c>
      <c r="I1008" s="143" t="s">
        <v>176</v>
      </c>
      <c r="J1008" s="143" t="s">
        <v>643</v>
      </c>
      <c r="K1008" s="144">
        <v>985</v>
      </c>
      <c r="L1008" s="145" t="s">
        <v>172</v>
      </c>
      <c r="M1008" s="143" t="s">
        <v>6709</v>
      </c>
    </row>
    <row r="1009" spans="1:13">
      <c r="A1009" s="27" t="s">
        <v>6705</v>
      </c>
      <c r="B1009" s="151" t="s">
        <v>8716</v>
      </c>
      <c r="C1009" s="151" t="s">
        <v>7519</v>
      </c>
      <c r="D1009" s="146" t="s">
        <v>8717</v>
      </c>
      <c r="E1009" s="143">
        <v>1</v>
      </c>
      <c r="F1009" s="143" t="s">
        <v>168</v>
      </c>
      <c r="G1009" s="143" t="s">
        <v>26</v>
      </c>
      <c r="H1009" s="143" t="s">
        <v>26</v>
      </c>
      <c r="I1009" s="143" t="s">
        <v>176</v>
      </c>
      <c r="J1009" s="143" t="s">
        <v>643</v>
      </c>
      <c r="K1009" s="144">
        <v>599</v>
      </c>
      <c r="L1009" s="145" t="s">
        <v>172</v>
      </c>
      <c r="M1009" s="143" t="s">
        <v>6709</v>
      </c>
    </row>
    <row r="1010" spans="1:13">
      <c r="A1010" s="27" t="s">
        <v>6705</v>
      </c>
      <c r="B1010" s="151" t="s">
        <v>8718</v>
      </c>
      <c r="C1010" s="151" t="s">
        <v>7519</v>
      </c>
      <c r="D1010" s="146" t="s">
        <v>8719</v>
      </c>
      <c r="E1010" s="143">
        <v>1</v>
      </c>
      <c r="F1010" s="143" t="s">
        <v>168</v>
      </c>
      <c r="G1010" s="143" t="s">
        <v>26</v>
      </c>
      <c r="H1010" s="143" t="s">
        <v>26</v>
      </c>
      <c r="I1010" s="143" t="s">
        <v>176</v>
      </c>
      <c r="J1010" s="143" t="s">
        <v>643</v>
      </c>
      <c r="K1010" s="144">
        <v>14227</v>
      </c>
      <c r="L1010" s="145" t="s">
        <v>172</v>
      </c>
      <c r="M1010" s="143" t="s">
        <v>6709</v>
      </c>
    </row>
    <row r="1011" spans="1:13">
      <c r="A1011" s="27" t="s">
        <v>6705</v>
      </c>
      <c r="B1011" s="151" t="s">
        <v>8720</v>
      </c>
      <c r="C1011" s="151" t="s">
        <v>7519</v>
      </c>
      <c r="D1011" s="146" t="s">
        <v>8721</v>
      </c>
      <c r="E1011" s="143">
        <v>1</v>
      </c>
      <c r="F1011" s="143" t="s">
        <v>168</v>
      </c>
      <c r="G1011" s="143" t="s">
        <v>26</v>
      </c>
      <c r="H1011" s="143" t="s">
        <v>26</v>
      </c>
      <c r="I1011" s="143" t="s">
        <v>176</v>
      </c>
      <c r="J1011" s="143" t="s">
        <v>643</v>
      </c>
      <c r="K1011" s="144">
        <v>53910</v>
      </c>
      <c r="L1011" s="145" t="s">
        <v>172</v>
      </c>
      <c r="M1011" s="143" t="s">
        <v>6709</v>
      </c>
    </row>
    <row r="1012" spans="1:13">
      <c r="A1012" s="27" t="s">
        <v>6705</v>
      </c>
      <c r="B1012" s="151" t="s">
        <v>8722</v>
      </c>
      <c r="C1012" s="151" t="s">
        <v>7519</v>
      </c>
      <c r="D1012" s="146" t="s">
        <v>8723</v>
      </c>
      <c r="E1012" s="143">
        <v>1</v>
      </c>
      <c r="F1012" s="143" t="s">
        <v>168</v>
      </c>
      <c r="G1012" s="143" t="s">
        <v>26</v>
      </c>
      <c r="H1012" s="143" t="s">
        <v>26</v>
      </c>
      <c r="I1012" s="143" t="s">
        <v>176</v>
      </c>
      <c r="J1012" s="143" t="s">
        <v>643</v>
      </c>
      <c r="K1012" s="144">
        <v>1797</v>
      </c>
      <c r="L1012" s="145" t="s">
        <v>172</v>
      </c>
      <c r="M1012" s="143" t="s">
        <v>6709</v>
      </c>
    </row>
    <row r="1013" spans="1:13">
      <c r="A1013" s="27" t="s">
        <v>6705</v>
      </c>
      <c r="B1013" s="151" t="s">
        <v>8724</v>
      </c>
      <c r="C1013" s="151" t="s">
        <v>7519</v>
      </c>
      <c r="D1013" s="146" t="s">
        <v>8725</v>
      </c>
      <c r="E1013" s="143">
        <v>1</v>
      </c>
      <c r="F1013" s="143" t="s">
        <v>168</v>
      </c>
      <c r="G1013" s="143" t="s">
        <v>26</v>
      </c>
      <c r="H1013" s="143" t="s">
        <v>26</v>
      </c>
      <c r="I1013" s="143" t="s">
        <v>176</v>
      </c>
      <c r="J1013" s="143" t="s">
        <v>643</v>
      </c>
      <c r="K1013" s="144">
        <v>42681</v>
      </c>
      <c r="L1013" s="145" t="s">
        <v>172</v>
      </c>
      <c r="M1013" s="143" t="s">
        <v>6709</v>
      </c>
    </row>
    <row r="1014" spans="1:13">
      <c r="A1014" s="27" t="s">
        <v>6705</v>
      </c>
      <c r="B1014" s="151" t="s">
        <v>8726</v>
      </c>
      <c r="C1014" s="151" t="s">
        <v>7519</v>
      </c>
      <c r="D1014" s="146" t="s">
        <v>8727</v>
      </c>
      <c r="E1014" s="143">
        <v>1</v>
      </c>
      <c r="F1014" s="143" t="s">
        <v>168</v>
      </c>
      <c r="G1014" s="143" t="s">
        <v>26</v>
      </c>
      <c r="H1014" s="143" t="s">
        <v>26</v>
      </c>
      <c r="I1014" s="143" t="s">
        <v>176</v>
      </c>
      <c r="J1014" s="143" t="s">
        <v>643</v>
      </c>
      <c r="K1014" s="144">
        <v>161730</v>
      </c>
      <c r="L1014" s="145" t="s">
        <v>172</v>
      </c>
      <c r="M1014" s="143" t="s">
        <v>6709</v>
      </c>
    </row>
    <row r="1015" spans="1:13">
      <c r="A1015" s="27" t="s">
        <v>6705</v>
      </c>
      <c r="B1015" s="151" t="s">
        <v>8728</v>
      </c>
      <c r="C1015" s="151" t="s">
        <v>7519</v>
      </c>
      <c r="D1015" s="146" t="s">
        <v>8729</v>
      </c>
      <c r="E1015" s="143">
        <v>1</v>
      </c>
      <c r="F1015" s="143" t="s">
        <v>168</v>
      </c>
      <c r="G1015" s="143" t="s">
        <v>26</v>
      </c>
      <c r="H1015" s="143" t="s">
        <v>26</v>
      </c>
      <c r="I1015" s="143" t="s">
        <v>176</v>
      </c>
      <c r="J1015" s="143" t="s">
        <v>643</v>
      </c>
      <c r="K1015" s="144">
        <v>2995</v>
      </c>
      <c r="L1015" s="145" t="s">
        <v>172</v>
      </c>
      <c r="M1015" s="143" t="s">
        <v>6709</v>
      </c>
    </row>
    <row r="1016" spans="1:13">
      <c r="A1016" s="27" t="s">
        <v>6705</v>
      </c>
      <c r="B1016" s="151" t="s">
        <v>8730</v>
      </c>
      <c r="C1016" s="151" t="s">
        <v>7519</v>
      </c>
      <c r="D1016" s="146" t="s">
        <v>8731</v>
      </c>
      <c r="E1016" s="143">
        <v>1</v>
      </c>
      <c r="F1016" s="143" t="s">
        <v>168</v>
      </c>
      <c r="G1016" s="143" t="s">
        <v>26</v>
      </c>
      <c r="H1016" s="143" t="s">
        <v>26</v>
      </c>
      <c r="I1016" s="143" t="s">
        <v>176</v>
      </c>
      <c r="J1016" s="143" t="s">
        <v>643</v>
      </c>
      <c r="K1016" s="144">
        <v>71135</v>
      </c>
      <c r="L1016" s="145" t="s">
        <v>172</v>
      </c>
      <c r="M1016" s="143" t="s">
        <v>6709</v>
      </c>
    </row>
    <row r="1017" spans="1:13">
      <c r="A1017" s="27" t="s">
        <v>6705</v>
      </c>
      <c r="B1017" s="151" t="s">
        <v>8732</v>
      </c>
      <c r="C1017" s="151" t="s">
        <v>7519</v>
      </c>
      <c r="D1017" s="146" t="s">
        <v>8733</v>
      </c>
      <c r="E1017" s="143">
        <v>1</v>
      </c>
      <c r="F1017" s="143" t="s">
        <v>168</v>
      </c>
      <c r="G1017" s="143" t="s">
        <v>26</v>
      </c>
      <c r="H1017" s="143" t="s">
        <v>26</v>
      </c>
      <c r="I1017" s="143" t="s">
        <v>176</v>
      </c>
      <c r="J1017" s="143" t="s">
        <v>643</v>
      </c>
      <c r="K1017" s="144">
        <v>269550</v>
      </c>
      <c r="L1017" s="145" t="s">
        <v>172</v>
      </c>
      <c r="M1017" s="143" t="s">
        <v>6709</v>
      </c>
    </row>
    <row r="1018" spans="1:13">
      <c r="A1018" s="27" t="s">
        <v>6705</v>
      </c>
      <c r="B1018" s="150" t="s">
        <v>8734</v>
      </c>
      <c r="C1018" s="150" t="s">
        <v>7540</v>
      </c>
      <c r="D1018" s="142" t="s">
        <v>8735</v>
      </c>
      <c r="E1018" s="145">
        <v>1</v>
      </c>
      <c r="F1018" s="143" t="s">
        <v>168</v>
      </c>
      <c r="G1018" s="143" t="s">
        <v>7542</v>
      </c>
      <c r="H1018" s="143" t="s">
        <v>26</v>
      </c>
      <c r="I1018" s="143" t="s">
        <v>176</v>
      </c>
      <c r="J1018" s="143" t="s">
        <v>643</v>
      </c>
      <c r="K1018" s="144">
        <v>195</v>
      </c>
      <c r="L1018" s="145" t="s">
        <v>172</v>
      </c>
      <c r="M1018" s="143" t="s">
        <v>6709</v>
      </c>
    </row>
    <row r="1019" spans="1:13">
      <c r="A1019" s="27" t="s">
        <v>6705</v>
      </c>
      <c r="B1019" s="150" t="s">
        <v>8736</v>
      </c>
      <c r="C1019" s="150" t="s">
        <v>7540</v>
      </c>
      <c r="D1019" s="142" t="s">
        <v>8737</v>
      </c>
      <c r="E1019" s="145">
        <v>1</v>
      </c>
      <c r="F1019" s="143" t="s">
        <v>168</v>
      </c>
      <c r="G1019" s="143" t="s">
        <v>7542</v>
      </c>
      <c r="H1019" s="143" t="s">
        <v>26</v>
      </c>
      <c r="I1019" s="143" t="s">
        <v>176</v>
      </c>
      <c r="J1019" s="143" t="s">
        <v>643</v>
      </c>
      <c r="K1019" s="144">
        <v>393</v>
      </c>
      <c r="L1019" s="145" t="s">
        <v>172</v>
      </c>
      <c r="M1019" s="143" t="s">
        <v>6709</v>
      </c>
    </row>
    <row r="1020" spans="1:13">
      <c r="A1020" s="27" t="s">
        <v>6705</v>
      </c>
      <c r="B1020" s="150" t="s">
        <v>8738</v>
      </c>
      <c r="C1020" s="150" t="s">
        <v>7540</v>
      </c>
      <c r="D1020" s="142" t="s">
        <v>8739</v>
      </c>
      <c r="E1020" s="145">
        <v>1</v>
      </c>
      <c r="F1020" s="143" t="s">
        <v>168</v>
      </c>
      <c r="G1020" s="143" t="s">
        <v>7542</v>
      </c>
      <c r="H1020" s="143" t="s">
        <v>26</v>
      </c>
      <c r="I1020" s="143" t="s">
        <v>176</v>
      </c>
      <c r="J1020" s="143" t="s">
        <v>643</v>
      </c>
      <c r="K1020" s="144">
        <v>614</v>
      </c>
      <c r="L1020" s="145" t="s">
        <v>172</v>
      </c>
      <c r="M1020" s="143" t="s">
        <v>6709</v>
      </c>
    </row>
    <row r="1021" spans="1:13">
      <c r="A1021" s="27" t="s">
        <v>6705</v>
      </c>
      <c r="B1021" s="150" t="s">
        <v>8740</v>
      </c>
      <c r="C1021" s="150" t="s">
        <v>7540</v>
      </c>
      <c r="D1021" s="142" t="s">
        <v>8741</v>
      </c>
      <c r="E1021" s="145">
        <v>1</v>
      </c>
      <c r="F1021" s="143" t="s">
        <v>168</v>
      </c>
      <c r="G1021" s="143" t="s">
        <v>7542</v>
      </c>
      <c r="H1021" s="143" t="s">
        <v>26</v>
      </c>
      <c r="I1021" s="143" t="s">
        <v>176</v>
      </c>
      <c r="J1021" s="143" t="s">
        <v>643</v>
      </c>
      <c r="K1021" s="144">
        <v>901</v>
      </c>
      <c r="L1021" s="145" t="s">
        <v>172</v>
      </c>
      <c r="M1021" s="143" t="s">
        <v>6709</v>
      </c>
    </row>
    <row r="1022" spans="1:13">
      <c r="A1022" s="27" t="s">
        <v>6705</v>
      </c>
      <c r="B1022" s="150" t="s">
        <v>8742</v>
      </c>
      <c r="C1022" s="150" t="s">
        <v>7540</v>
      </c>
      <c r="D1022" s="142" t="s">
        <v>8743</v>
      </c>
      <c r="E1022" s="145">
        <v>1</v>
      </c>
      <c r="F1022" s="143" t="s">
        <v>168</v>
      </c>
      <c r="G1022" s="143" t="s">
        <v>7542</v>
      </c>
      <c r="H1022" s="143" t="s">
        <v>26</v>
      </c>
      <c r="I1022" s="143" t="s">
        <v>176</v>
      </c>
      <c r="J1022" s="143" t="s">
        <v>643</v>
      </c>
      <c r="K1022" s="144">
        <v>1337</v>
      </c>
      <c r="L1022" s="145" t="s">
        <v>172</v>
      </c>
      <c r="M1022" s="143" t="s">
        <v>6709</v>
      </c>
    </row>
    <row r="1023" spans="1:13">
      <c r="A1023" s="27" t="s">
        <v>6705</v>
      </c>
      <c r="B1023" s="150" t="s">
        <v>8744</v>
      </c>
      <c r="C1023" s="150" t="s">
        <v>7540</v>
      </c>
      <c r="D1023" s="142" t="s">
        <v>8745</v>
      </c>
      <c r="E1023" s="145">
        <v>1</v>
      </c>
      <c r="F1023" s="143" t="s">
        <v>168</v>
      </c>
      <c r="G1023" s="143" t="s">
        <v>7542</v>
      </c>
      <c r="H1023" s="143" t="s">
        <v>26</v>
      </c>
      <c r="I1023" s="143" t="s">
        <v>176</v>
      </c>
      <c r="J1023" s="143" t="s">
        <v>643</v>
      </c>
      <c r="K1023" s="144">
        <v>195</v>
      </c>
      <c r="L1023" s="145" t="s">
        <v>172</v>
      </c>
      <c r="M1023" s="143" t="s">
        <v>6709</v>
      </c>
    </row>
    <row r="1024" spans="1:13">
      <c r="A1024" s="27" t="s">
        <v>6705</v>
      </c>
      <c r="B1024" s="150" t="s">
        <v>8746</v>
      </c>
      <c r="C1024" s="150" t="s">
        <v>7540</v>
      </c>
      <c r="D1024" s="142" t="s">
        <v>8747</v>
      </c>
      <c r="E1024" s="145">
        <v>1</v>
      </c>
      <c r="F1024" s="143" t="s">
        <v>168</v>
      </c>
      <c r="G1024" s="143" t="s">
        <v>7542</v>
      </c>
      <c r="H1024" s="143" t="s">
        <v>26</v>
      </c>
      <c r="I1024" s="143" t="s">
        <v>176</v>
      </c>
      <c r="J1024" s="143" t="s">
        <v>643</v>
      </c>
      <c r="K1024" s="144">
        <v>393</v>
      </c>
      <c r="L1024" s="145" t="s">
        <v>172</v>
      </c>
      <c r="M1024" s="143" t="s">
        <v>6709</v>
      </c>
    </row>
    <row r="1025" spans="1:13">
      <c r="A1025" s="27" t="s">
        <v>6705</v>
      </c>
      <c r="B1025" s="150" t="s">
        <v>8748</v>
      </c>
      <c r="C1025" s="150" t="s">
        <v>7540</v>
      </c>
      <c r="D1025" s="142" t="s">
        <v>8749</v>
      </c>
      <c r="E1025" s="145">
        <v>1</v>
      </c>
      <c r="F1025" s="143" t="s">
        <v>168</v>
      </c>
      <c r="G1025" s="143" t="s">
        <v>7542</v>
      </c>
      <c r="H1025" s="143" t="s">
        <v>26</v>
      </c>
      <c r="I1025" s="143" t="s">
        <v>176</v>
      </c>
      <c r="J1025" s="143" t="s">
        <v>643</v>
      </c>
      <c r="K1025" s="144">
        <v>614</v>
      </c>
      <c r="L1025" s="145" t="s">
        <v>172</v>
      </c>
      <c r="M1025" s="143" t="s">
        <v>6709</v>
      </c>
    </row>
    <row r="1026" spans="1:13">
      <c r="A1026" s="27" t="s">
        <v>6705</v>
      </c>
      <c r="B1026" s="150" t="s">
        <v>8750</v>
      </c>
      <c r="C1026" s="150" t="s">
        <v>7540</v>
      </c>
      <c r="D1026" s="142" t="s">
        <v>8751</v>
      </c>
      <c r="E1026" s="145">
        <v>1</v>
      </c>
      <c r="F1026" s="143" t="s">
        <v>168</v>
      </c>
      <c r="G1026" s="143" t="s">
        <v>7542</v>
      </c>
      <c r="H1026" s="143" t="s">
        <v>26</v>
      </c>
      <c r="I1026" s="143" t="s">
        <v>176</v>
      </c>
      <c r="J1026" s="143" t="s">
        <v>643</v>
      </c>
      <c r="K1026" s="144">
        <v>901</v>
      </c>
      <c r="L1026" s="145" t="s">
        <v>172</v>
      </c>
      <c r="M1026" s="143" t="s">
        <v>6709</v>
      </c>
    </row>
    <row r="1027" spans="1:13">
      <c r="A1027" s="27" t="s">
        <v>6705</v>
      </c>
      <c r="B1027" s="150" t="s">
        <v>8752</v>
      </c>
      <c r="C1027" s="150" t="s">
        <v>7540</v>
      </c>
      <c r="D1027" s="142" t="s">
        <v>8753</v>
      </c>
      <c r="E1027" s="145">
        <v>1</v>
      </c>
      <c r="F1027" s="143" t="s">
        <v>168</v>
      </c>
      <c r="G1027" s="143" t="s">
        <v>7542</v>
      </c>
      <c r="H1027" s="143" t="s">
        <v>26</v>
      </c>
      <c r="I1027" s="143" t="s">
        <v>176</v>
      </c>
      <c r="J1027" s="143" t="s">
        <v>643</v>
      </c>
      <c r="K1027" s="144">
        <v>1337</v>
      </c>
      <c r="L1027" s="145" t="s">
        <v>172</v>
      </c>
      <c r="M1027" s="143" t="s">
        <v>6709</v>
      </c>
    </row>
    <row r="1028" spans="1:13">
      <c r="A1028" s="27" t="s">
        <v>6705</v>
      </c>
      <c r="B1028" s="152" t="s">
        <v>8754</v>
      </c>
      <c r="C1028" s="152" t="s">
        <v>7540</v>
      </c>
      <c r="D1028" s="153" t="s">
        <v>8755</v>
      </c>
      <c r="E1028" s="154">
        <v>1</v>
      </c>
      <c r="F1028" s="155" t="s">
        <v>168</v>
      </c>
      <c r="G1028" s="155" t="s">
        <v>7542</v>
      </c>
      <c r="H1028" s="155" t="s">
        <v>26</v>
      </c>
      <c r="I1028" s="155" t="s">
        <v>176</v>
      </c>
      <c r="J1028" s="155" t="s">
        <v>643</v>
      </c>
      <c r="K1028" s="156">
        <v>195</v>
      </c>
      <c r="L1028" s="154" t="s">
        <v>172</v>
      </c>
      <c r="M1028" s="155" t="s">
        <v>6709</v>
      </c>
    </row>
    <row r="1029" spans="1:13">
      <c r="A1029" s="27" t="s">
        <v>6705</v>
      </c>
      <c r="B1029" s="157" t="s">
        <v>8756</v>
      </c>
      <c r="C1029" s="157" t="s">
        <v>7540</v>
      </c>
      <c r="D1029" s="157" t="s">
        <v>8757</v>
      </c>
      <c r="E1029" s="28">
        <v>1</v>
      </c>
      <c r="F1029" s="158" t="s">
        <v>168</v>
      </c>
      <c r="G1029" s="158" t="s">
        <v>7542</v>
      </c>
      <c r="H1029" s="158" t="s">
        <v>26</v>
      </c>
      <c r="I1029" s="158" t="s">
        <v>176</v>
      </c>
      <c r="J1029" s="158" t="s">
        <v>643</v>
      </c>
      <c r="K1029" s="159">
        <v>393</v>
      </c>
      <c r="L1029" s="28" t="s">
        <v>172</v>
      </c>
      <c r="M1029" s="158" t="s">
        <v>6709</v>
      </c>
    </row>
    <row r="1030" spans="1:13">
      <c r="A1030" s="27" t="s">
        <v>6705</v>
      </c>
      <c r="B1030" s="157" t="s">
        <v>8758</v>
      </c>
      <c r="C1030" s="157" t="s">
        <v>7540</v>
      </c>
      <c r="D1030" s="157" t="s">
        <v>8759</v>
      </c>
      <c r="E1030" s="28">
        <v>1</v>
      </c>
      <c r="F1030" s="158" t="s">
        <v>168</v>
      </c>
      <c r="G1030" s="158" t="s">
        <v>7542</v>
      </c>
      <c r="H1030" s="158" t="s">
        <v>26</v>
      </c>
      <c r="I1030" s="158" t="s">
        <v>176</v>
      </c>
      <c r="J1030" s="158" t="s">
        <v>643</v>
      </c>
      <c r="K1030" s="159">
        <v>614</v>
      </c>
      <c r="L1030" s="28" t="s">
        <v>172</v>
      </c>
      <c r="M1030" s="158" t="s">
        <v>6709</v>
      </c>
    </row>
    <row r="1031" spans="1:13">
      <c r="A1031" s="27" t="s">
        <v>6705</v>
      </c>
      <c r="B1031" s="157" t="s">
        <v>8760</v>
      </c>
      <c r="C1031" s="157" t="s">
        <v>7540</v>
      </c>
      <c r="D1031" s="157" t="s">
        <v>8761</v>
      </c>
      <c r="E1031" s="28">
        <v>1</v>
      </c>
      <c r="F1031" s="158" t="s">
        <v>168</v>
      </c>
      <c r="G1031" s="158" t="s">
        <v>7542</v>
      </c>
      <c r="H1031" s="158" t="s">
        <v>26</v>
      </c>
      <c r="I1031" s="158" t="s">
        <v>176</v>
      </c>
      <c r="J1031" s="158" t="s">
        <v>643</v>
      </c>
      <c r="K1031" s="159">
        <v>901</v>
      </c>
      <c r="L1031" s="28" t="s">
        <v>172</v>
      </c>
      <c r="M1031" s="158" t="s">
        <v>6709</v>
      </c>
    </row>
    <row r="1032" spans="1:13">
      <c r="A1032" s="27" t="s">
        <v>6705</v>
      </c>
      <c r="B1032" s="157" t="s">
        <v>8762</v>
      </c>
      <c r="C1032" s="157" t="s">
        <v>7540</v>
      </c>
      <c r="D1032" s="157" t="s">
        <v>8763</v>
      </c>
      <c r="E1032" s="28">
        <v>1</v>
      </c>
      <c r="F1032" s="158" t="s">
        <v>168</v>
      </c>
      <c r="G1032" s="158" t="s">
        <v>7542</v>
      </c>
      <c r="H1032" s="158" t="s">
        <v>26</v>
      </c>
      <c r="I1032" s="158" t="s">
        <v>176</v>
      </c>
      <c r="J1032" s="158" t="s">
        <v>643</v>
      </c>
      <c r="K1032" s="159">
        <v>1337</v>
      </c>
      <c r="L1032" s="28" t="s">
        <v>172</v>
      </c>
      <c r="M1032" s="158" t="s">
        <v>6709</v>
      </c>
    </row>
    <row r="1033" spans="1:13">
      <c r="A1033" s="27" t="s">
        <v>6705</v>
      </c>
      <c r="B1033" s="157" t="s">
        <v>8764</v>
      </c>
      <c r="C1033" s="157" t="s">
        <v>7540</v>
      </c>
      <c r="D1033" s="157" t="s">
        <v>8765</v>
      </c>
      <c r="E1033" s="28">
        <v>1</v>
      </c>
      <c r="F1033" s="158" t="s">
        <v>168</v>
      </c>
      <c r="G1033" s="158" t="s">
        <v>7542</v>
      </c>
      <c r="H1033" s="158" t="s">
        <v>26</v>
      </c>
      <c r="I1033" s="158" t="s">
        <v>176</v>
      </c>
      <c r="J1033" s="158" t="s">
        <v>643</v>
      </c>
      <c r="K1033" s="159">
        <v>454</v>
      </c>
      <c r="L1033" s="28" t="s">
        <v>172</v>
      </c>
      <c r="M1033" s="158" t="s">
        <v>6709</v>
      </c>
    </row>
    <row r="1034" spans="1:13">
      <c r="A1034" s="27" t="s">
        <v>6705</v>
      </c>
      <c r="B1034" s="157" t="s">
        <v>8766</v>
      </c>
      <c r="C1034" s="157" t="s">
        <v>7540</v>
      </c>
      <c r="D1034" s="157" t="s">
        <v>8767</v>
      </c>
      <c r="E1034" s="28">
        <v>1</v>
      </c>
      <c r="F1034" s="158" t="s">
        <v>168</v>
      </c>
      <c r="G1034" s="158" t="s">
        <v>7542</v>
      </c>
      <c r="H1034" s="158" t="s">
        <v>26</v>
      </c>
      <c r="I1034" s="158" t="s">
        <v>176</v>
      </c>
      <c r="J1034" s="158" t="s">
        <v>643</v>
      </c>
      <c r="K1034" s="159">
        <v>916</v>
      </c>
      <c r="L1034" s="28" t="s">
        <v>172</v>
      </c>
      <c r="M1034" s="158" t="s">
        <v>6709</v>
      </c>
    </row>
    <row r="1035" spans="1:13">
      <c r="A1035" s="27" t="s">
        <v>6705</v>
      </c>
      <c r="B1035" s="157" t="s">
        <v>8768</v>
      </c>
      <c r="C1035" s="157" t="s">
        <v>7540</v>
      </c>
      <c r="D1035" s="157" t="s">
        <v>8769</v>
      </c>
      <c r="E1035" s="28">
        <v>1</v>
      </c>
      <c r="F1035" s="158" t="s">
        <v>168</v>
      </c>
      <c r="G1035" s="158" t="s">
        <v>7542</v>
      </c>
      <c r="H1035" s="158" t="s">
        <v>26</v>
      </c>
      <c r="I1035" s="158" t="s">
        <v>176</v>
      </c>
      <c r="J1035" s="158" t="s">
        <v>643</v>
      </c>
      <c r="K1035" s="159">
        <v>1432</v>
      </c>
      <c r="L1035" s="28" t="s">
        <v>172</v>
      </c>
      <c r="M1035" s="158" t="s">
        <v>6709</v>
      </c>
    </row>
    <row r="1036" spans="1:13">
      <c r="A1036" s="27" t="s">
        <v>6705</v>
      </c>
      <c r="B1036" s="157" t="s">
        <v>8770</v>
      </c>
      <c r="C1036" s="157" t="s">
        <v>7540</v>
      </c>
      <c r="D1036" s="157" t="s">
        <v>8771</v>
      </c>
      <c r="E1036" s="28">
        <v>1</v>
      </c>
      <c r="F1036" s="158" t="s">
        <v>168</v>
      </c>
      <c r="G1036" s="158" t="s">
        <v>7542</v>
      </c>
      <c r="H1036" s="158" t="s">
        <v>26</v>
      </c>
      <c r="I1036" s="158" t="s">
        <v>176</v>
      </c>
      <c r="J1036" s="158" t="s">
        <v>643</v>
      </c>
      <c r="K1036" s="159">
        <v>2074</v>
      </c>
      <c r="L1036" s="28" t="s">
        <v>172</v>
      </c>
      <c r="M1036" s="158" t="s">
        <v>6709</v>
      </c>
    </row>
    <row r="1037" spans="1:13">
      <c r="A1037" s="27" t="s">
        <v>6705</v>
      </c>
      <c r="B1037" s="157" t="s">
        <v>8772</v>
      </c>
      <c r="C1037" s="157" t="s">
        <v>7540</v>
      </c>
      <c r="D1037" s="157" t="s">
        <v>8773</v>
      </c>
      <c r="E1037" s="28">
        <v>1</v>
      </c>
      <c r="F1037" s="158" t="s">
        <v>168</v>
      </c>
      <c r="G1037" s="158" t="s">
        <v>7542</v>
      </c>
      <c r="H1037" s="158" t="s">
        <v>26</v>
      </c>
      <c r="I1037" s="158" t="s">
        <v>176</v>
      </c>
      <c r="J1037" s="158" t="s">
        <v>643</v>
      </c>
      <c r="K1037" s="159">
        <v>3119</v>
      </c>
      <c r="L1037" s="28" t="s">
        <v>172</v>
      </c>
      <c r="M1037" s="158" t="s">
        <v>6709</v>
      </c>
    </row>
    <row r="1038" spans="1:13">
      <c r="A1038" s="27" t="s">
        <v>6705</v>
      </c>
      <c r="B1038" s="157" t="s">
        <v>8774</v>
      </c>
      <c r="C1038" s="157" t="s">
        <v>7540</v>
      </c>
      <c r="D1038" s="157" t="s">
        <v>8775</v>
      </c>
      <c r="E1038" s="28">
        <v>1</v>
      </c>
      <c r="F1038" s="158" t="s">
        <v>168</v>
      </c>
      <c r="G1038" s="158" t="s">
        <v>7542</v>
      </c>
      <c r="H1038" s="158" t="s">
        <v>26</v>
      </c>
      <c r="I1038" s="158" t="s">
        <v>176</v>
      </c>
      <c r="J1038" s="158" t="s">
        <v>643</v>
      </c>
      <c r="K1038" s="159">
        <v>714</v>
      </c>
      <c r="L1038" s="28" t="s">
        <v>172</v>
      </c>
      <c r="M1038" s="158" t="s">
        <v>6709</v>
      </c>
    </row>
    <row r="1039" spans="1:13">
      <c r="A1039" s="27" t="s">
        <v>6705</v>
      </c>
      <c r="B1039" s="157" t="s">
        <v>8776</v>
      </c>
      <c r="C1039" s="157" t="s">
        <v>7540</v>
      </c>
      <c r="D1039" s="157" t="s">
        <v>8777</v>
      </c>
      <c r="E1039" s="28">
        <v>1</v>
      </c>
      <c r="F1039" s="158" t="s">
        <v>168</v>
      </c>
      <c r="G1039" s="158" t="s">
        <v>7542</v>
      </c>
      <c r="H1039" s="158" t="s">
        <v>26</v>
      </c>
      <c r="I1039" s="158" t="s">
        <v>176</v>
      </c>
      <c r="J1039" s="158" t="s">
        <v>643</v>
      </c>
      <c r="K1039" s="159">
        <v>1440</v>
      </c>
      <c r="L1039" s="28" t="s">
        <v>172</v>
      </c>
      <c r="M1039" s="158" t="s">
        <v>6709</v>
      </c>
    </row>
    <row r="1040" spans="1:13">
      <c r="A1040" s="27" t="s">
        <v>6705</v>
      </c>
      <c r="B1040" s="157" t="s">
        <v>8778</v>
      </c>
      <c r="C1040" s="157" t="s">
        <v>7540</v>
      </c>
      <c r="D1040" s="157" t="s">
        <v>8779</v>
      </c>
      <c r="E1040" s="28">
        <v>1</v>
      </c>
      <c r="F1040" s="158" t="s">
        <v>168</v>
      </c>
      <c r="G1040" s="158" t="s">
        <v>7542</v>
      </c>
      <c r="H1040" s="158" t="s">
        <v>26</v>
      </c>
      <c r="I1040" s="158" t="s">
        <v>176</v>
      </c>
      <c r="J1040" s="158" t="s">
        <v>643</v>
      </c>
      <c r="K1040" s="159">
        <v>2251</v>
      </c>
      <c r="L1040" s="28" t="s">
        <v>172</v>
      </c>
      <c r="M1040" s="158" t="s">
        <v>6709</v>
      </c>
    </row>
    <row r="1041" spans="1:13">
      <c r="A1041" s="27" t="s">
        <v>6705</v>
      </c>
      <c r="B1041" s="157" t="s">
        <v>8780</v>
      </c>
      <c r="C1041" s="157" t="s">
        <v>7540</v>
      </c>
      <c r="D1041" s="157" t="s">
        <v>8781</v>
      </c>
      <c r="E1041" s="28">
        <v>1</v>
      </c>
      <c r="F1041" s="158" t="s">
        <v>168</v>
      </c>
      <c r="G1041" s="158" t="s">
        <v>7542</v>
      </c>
      <c r="H1041" s="158" t="s">
        <v>26</v>
      </c>
      <c r="I1041" s="158" t="s">
        <v>176</v>
      </c>
      <c r="J1041" s="158" t="s">
        <v>643</v>
      </c>
      <c r="K1041" s="159">
        <v>3289</v>
      </c>
      <c r="L1041" s="28" t="s">
        <v>172</v>
      </c>
      <c r="M1041" s="158" t="s">
        <v>6709</v>
      </c>
    </row>
    <row r="1042" spans="1:13">
      <c r="A1042" s="27" t="s">
        <v>6705</v>
      </c>
      <c r="B1042" s="157" t="s">
        <v>8782</v>
      </c>
      <c r="C1042" s="157" t="s">
        <v>7540</v>
      </c>
      <c r="D1042" s="157" t="s">
        <v>8783</v>
      </c>
      <c r="E1042" s="28">
        <v>1</v>
      </c>
      <c r="F1042" s="158" t="s">
        <v>168</v>
      </c>
      <c r="G1042" s="158" t="s">
        <v>7542</v>
      </c>
      <c r="H1042" s="158" t="s">
        <v>26</v>
      </c>
      <c r="I1042" s="158" t="s">
        <v>176</v>
      </c>
      <c r="J1042" s="158" t="s">
        <v>643</v>
      </c>
      <c r="K1042" s="159">
        <v>4901</v>
      </c>
      <c r="L1042" s="28" t="s">
        <v>172</v>
      </c>
      <c r="M1042" s="158" t="s">
        <v>6709</v>
      </c>
    </row>
    <row r="1043" spans="1:13">
      <c r="A1043" s="27" t="s">
        <v>6705</v>
      </c>
      <c r="B1043" s="157" t="s">
        <v>8784</v>
      </c>
      <c r="C1043" s="157" t="s">
        <v>7540</v>
      </c>
      <c r="D1043" s="157" t="s">
        <v>8785</v>
      </c>
      <c r="E1043" s="28">
        <v>1</v>
      </c>
      <c r="F1043" s="158" t="s">
        <v>168</v>
      </c>
      <c r="G1043" s="158" t="s">
        <v>7542</v>
      </c>
      <c r="H1043" s="158" t="s">
        <v>26</v>
      </c>
      <c r="I1043" s="158" t="s">
        <v>176</v>
      </c>
      <c r="J1043" s="158" t="s">
        <v>643</v>
      </c>
      <c r="K1043" s="159">
        <v>2012</v>
      </c>
      <c r="L1043" s="28" t="s">
        <v>172</v>
      </c>
      <c r="M1043" s="158" t="s">
        <v>6709</v>
      </c>
    </row>
    <row r="1044" spans="1:13">
      <c r="A1044" s="27" t="s">
        <v>6705</v>
      </c>
      <c r="B1044" s="157" t="s">
        <v>8786</v>
      </c>
      <c r="C1044" s="157" t="s">
        <v>7540</v>
      </c>
      <c r="D1044" s="157" t="s">
        <v>8787</v>
      </c>
      <c r="E1044" s="28">
        <v>1</v>
      </c>
      <c r="F1044" s="158" t="s">
        <v>168</v>
      </c>
      <c r="G1044" s="158" t="s">
        <v>7542</v>
      </c>
      <c r="H1044" s="158" t="s">
        <v>26</v>
      </c>
      <c r="I1044" s="158" t="s">
        <v>176</v>
      </c>
      <c r="J1044" s="158" t="s">
        <v>643</v>
      </c>
      <c r="K1044" s="159">
        <v>4058</v>
      </c>
      <c r="L1044" s="28" t="s">
        <v>172</v>
      </c>
      <c r="M1044" s="158" t="s">
        <v>6709</v>
      </c>
    </row>
    <row r="1045" spans="1:13">
      <c r="A1045" s="27" t="s">
        <v>6705</v>
      </c>
      <c r="B1045" s="157" t="s">
        <v>8788</v>
      </c>
      <c r="C1045" s="157" t="s">
        <v>7540</v>
      </c>
      <c r="D1045" s="157" t="s">
        <v>8789</v>
      </c>
      <c r="E1045" s="28">
        <v>1</v>
      </c>
      <c r="F1045" s="158" t="s">
        <v>168</v>
      </c>
      <c r="G1045" s="158" t="s">
        <v>7542</v>
      </c>
      <c r="H1045" s="158" t="s">
        <v>26</v>
      </c>
      <c r="I1045" s="158" t="s">
        <v>176</v>
      </c>
      <c r="J1045" s="158" t="s">
        <v>643</v>
      </c>
      <c r="K1045" s="159">
        <v>6343</v>
      </c>
      <c r="L1045" s="28" t="s">
        <v>172</v>
      </c>
      <c r="M1045" s="158" t="s">
        <v>6709</v>
      </c>
    </row>
    <row r="1046" spans="1:13">
      <c r="A1046" s="27" t="s">
        <v>6705</v>
      </c>
      <c r="B1046" s="157" t="s">
        <v>8790</v>
      </c>
      <c r="C1046" s="157" t="s">
        <v>7540</v>
      </c>
      <c r="D1046" s="157" t="s">
        <v>8791</v>
      </c>
      <c r="E1046" s="28">
        <v>1</v>
      </c>
      <c r="F1046" s="158" t="s">
        <v>168</v>
      </c>
      <c r="G1046" s="158" t="s">
        <v>7542</v>
      </c>
      <c r="H1046" s="158" t="s">
        <v>26</v>
      </c>
      <c r="I1046" s="158" t="s">
        <v>176</v>
      </c>
      <c r="J1046" s="158" t="s">
        <v>643</v>
      </c>
      <c r="K1046" s="159">
        <v>9295</v>
      </c>
      <c r="L1046" s="28" t="s">
        <v>172</v>
      </c>
      <c r="M1046" s="158" t="s">
        <v>6709</v>
      </c>
    </row>
    <row r="1047" spans="1:13">
      <c r="A1047" s="27" t="s">
        <v>6705</v>
      </c>
      <c r="B1047" s="157" t="s">
        <v>8792</v>
      </c>
      <c r="C1047" s="157" t="s">
        <v>7540</v>
      </c>
      <c r="D1047" s="157" t="s">
        <v>8793</v>
      </c>
      <c r="E1047" s="28">
        <v>1</v>
      </c>
      <c r="F1047" s="158" t="s">
        <v>168</v>
      </c>
      <c r="G1047" s="158" t="s">
        <v>7542</v>
      </c>
      <c r="H1047" s="158" t="s">
        <v>26</v>
      </c>
      <c r="I1047" s="158" t="s">
        <v>176</v>
      </c>
      <c r="J1047" s="158" t="s">
        <v>643</v>
      </c>
      <c r="K1047" s="159">
        <v>13811</v>
      </c>
      <c r="L1047" s="28" t="s">
        <v>172</v>
      </c>
      <c r="M1047" s="158" t="s">
        <v>6709</v>
      </c>
    </row>
    <row r="1048" spans="1:13">
      <c r="A1048" s="27" t="s">
        <v>6705</v>
      </c>
      <c r="B1048" s="157" t="s">
        <v>8794</v>
      </c>
      <c r="C1048" s="157" t="s">
        <v>7540</v>
      </c>
      <c r="D1048" s="157" t="s">
        <v>8795</v>
      </c>
      <c r="E1048" s="28">
        <v>1</v>
      </c>
      <c r="F1048" s="158" t="s">
        <v>168</v>
      </c>
      <c r="G1048" s="158" t="s">
        <v>7542</v>
      </c>
      <c r="H1048" s="158" t="s">
        <v>26</v>
      </c>
      <c r="I1048" s="158" t="s">
        <v>176</v>
      </c>
      <c r="J1048" s="158" t="s">
        <v>643</v>
      </c>
      <c r="K1048" s="159">
        <v>5030</v>
      </c>
      <c r="L1048" s="28" t="s">
        <v>172</v>
      </c>
      <c r="M1048" s="158" t="s">
        <v>6709</v>
      </c>
    </row>
    <row r="1049" spans="1:13">
      <c r="A1049" s="27" t="s">
        <v>6705</v>
      </c>
      <c r="B1049" s="157" t="s">
        <v>8796</v>
      </c>
      <c r="C1049" s="157" t="s">
        <v>7540</v>
      </c>
      <c r="D1049" s="157" t="s">
        <v>8797</v>
      </c>
      <c r="E1049" s="28">
        <v>1</v>
      </c>
      <c r="F1049" s="158" t="s">
        <v>168</v>
      </c>
      <c r="G1049" s="158" t="s">
        <v>7542</v>
      </c>
      <c r="H1049" s="158" t="s">
        <v>26</v>
      </c>
      <c r="I1049" s="158" t="s">
        <v>176</v>
      </c>
      <c r="J1049" s="158" t="s">
        <v>643</v>
      </c>
      <c r="K1049" s="159">
        <v>10145</v>
      </c>
      <c r="L1049" s="28" t="s">
        <v>172</v>
      </c>
      <c r="M1049" s="158" t="s">
        <v>6709</v>
      </c>
    </row>
    <row r="1050" spans="1:13">
      <c r="A1050" s="27" t="s">
        <v>6705</v>
      </c>
      <c r="B1050" s="157" t="s">
        <v>8798</v>
      </c>
      <c r="C1050" s="157" t="s">
        <v>7540</v>
      </c>
      <c r="D1050" s="157" t="s">
        <v>8799</v>
      </c>
      <c r="E1050" s="28">
        <v>1</v>
      </c>
      <c r="F1050" s="158" t="s">
        <v>168</v>
      </c>
      <c r="G1050" s="158" t="s">
        <v>7542</v>
      </c>
      <c r="H1050" s="158" t="s">
        <v>26</v>
      </c>
      <c r="I1050" s="158" t="s">
        <v>176</v>
      </c>
      <c r="J1050" s="158" t="s">
        <v>643</v>
      </c>
      <c r="K1050" s="159">
        <v>15857</v>
      </c>
      <c r="L1050" s="28" t="s">
        <v>172</v>
      </c>
      <c r="M1050" s="158" t="s">
        <v>6709</v>
      </c>
    </row>
    <row r="1051" spans="1:13">
      <c r="A1051" s="27" t="s">
        <v>6705</v>
      </c>
      <c r="B1051" s="157" t="s">
        <v>8800</v>
      </c>
      <c r="C1051" s="157" t="s">
        <v>7540</v>
      </c>
      <c r="D1051" s="157" t="s">
        <v>8801</v>
      </c>
      <c r="E1051" s="28">
        <v>1</v>
      </c>
      <c r="F1051" s="158" t="s">
        <v>168</v>
      </c>
      <c r="G1051" s="158" t="s">
        <v>7542</v>
      </c>
      <c r="H1051" s="158" t="s">
        <v>26</v>
      </c>
      <c r="I1051" s="158" t="s">
        <v>176</v>
      </c>
      <c r="J1051" s="158" t="s">
        <v>643</v>
      </c>
      <c r="K1051" s="159">
        <v>23238</v>
      </c>
      <c r="L1051" s="28" t="s">
        <v>172</v>
      </c>
      <c r="M1051" s="158" t="s">
        <v>6709</v>
      </c>
    </row>
    <row r="1052" spans="1:13">
      <c r="A1052" s="27" t="s">
        <v>6705</v>
      </c>
      <c r="B1052" s="157" t="s">
        <v>8802</v>
      </c>
      <c r="C1052" s="157" t="s">
        <v>7540</v>
      </c>
      <c r="D1052" s="157" t="s">
        <v>8803</v>
      </c>
      <c r="E1052" s="28">
        <v>1</v>
      </c>
      <c r="F1052" s="158" t="s">
        <v>168</v>
      </c>
      <c r="G1052" s="158" t="s">
        <v>7542</v>
      </c>
      <c r="H1052" s="158" t="s">
        <v>26</v>
      </c>
      <c r="I1052" s="158" t="s">
        <v>176</v>
      </c>
      <c r="J1052" s="158" t="s">
        <v>643</v>
      </c>
      <c r="K1052" s="159">
        <v>34526</v>
      </c>
      <c r="L1052" s="28" t="s">
        <v>172</v>
      </c>
      <c r="M1052" s="158" t="s">
        <v>6709</v>
      </c>
    </row>
    <row r="1053" spans="1:13">
      <c r="A1053" s="27" t="s">
        <v>6705</v>
      </c>
      <c r="B1053" s="27" t="s">
        <v>8804</v>
      </c>
      <c r="C1053" s="27" t="s">
        <v>7519</v>
      </c>
      <c r="D1053" s="27" t="s">
        <v>8805</v>
      </c>
      <c r="E1053" s="158">
        <v>1</v>
      </c>
      <c r="F1053" s="158" t="s">
        <v>168</v>
      </c>
      <c r="G1053" s="158" t="s">
        <v>26</v>
      </c>
      <c r="H1053" s="158" t="s">
        <v>26</v>
      </c>
      <c r="I1053" s="158" t="s">
        <v>176</v>
      </c>
      <c r="J1053" s="158" t="s">
        <v>643</v>
      </c>
      <c r="K1053" s="159">
        <v>475</v>
      </c>
      <c r="L1053" s="28" t="s">
        <v>172</v>
      </c>
      <c r="M1053" s="158" t="s">
        <v>6709</v>
      </c>
    </row>
    <row r="1054" spans="1:13">
      <c r="A1054" s="27" t="s">
        <v>6705</v>
      </c>
      <c r="B1054" s="27" t="s">
        <v>8806</v>
      </c>
      <c r="C1054" s="27" t="s">
        <v>7519</v>
      </c>
      <c r="D1054" s="27" t="s">
        <v>8807</v>
      </c>
      <c r="E1054" s="158">
        <v>1</v>
      </c>
      <c r="F1054" s="158" t="s">
        <v>168</v>
      </c>
      <c r="G1054" s="158" t="s">
        <v>26</v>
      </c>
      <c r="H1054" s="158" t="s">
        <v>26</v>
      </c>
      <c r="I1054" s="158" t="s">
        <v>176</v>
      </c>
      <c r="J1054" s="158" t="s">
        <v>643</v>
      </c>
      <c r="K1054" s="159">
        <v>276</v>
      </c>
      <c r="L1054" s="28" t="s">
        <v>172</v>
      </c>
      <c r="M1054" s="158" t="s">
        <v>6709</v>
      </c>
    </row>
    <row r="1055" spans="1:13">
      <c r="A1055" s="27" t="s">
        <v>6705</v>
      </c>
      <c r="B1055" s="27" t="s">
        <v>8808</v>
      </c>
      <c r="C1055" s="27" t="s">
        <v>7519</v>
      </c>
      <c r="D1055" s="27" t="s">
        <v>8809</v>
      </c>
      <c r="E1055" s="158">
        <v>1</v>
      </c>
      <c r="F1055" s="158" t="s">
        <v>168</v>
      </c>
      <c r="G1055" s="158" t="s">
        <v>26</v>
      </c>
      <c r="H1055" s="158" t="s">
        <v>26</v>
      </c>
      <c r="I1055" s="158" t="s">
        <v>176</v>
      </c>
      <c r="J1055" s="158" t="s">
        <v>643</v>
      </c>
      <c r="K1055" s="159">
        <v>552</v>
      </c>
      <c r="L1055" s="28" t="s">
        <v>172</v>
      </c>
      <c r="M1055" s="158" t="s">
        <v>6709</v>
      </c>
    </row>
    <row r="1056" spans="1:13">
      <c r="A1056" s="27" t="s">
        <v>6705</v>
      </c>
      <c r="B1056" s="27" t="s">
        <v>8810</v>
      </c>
      <c r="C1056" s="27" t="s">
        <v>7519</v>
      </c>
      <c r="D1056" s="27" t="s">
        <v>8811</v>
      </c>
      <c r="E1056" s="158">
        <v>1</v>
      </c>
      <c r="F1056" s="158" t="s">
        <v>168</v>
      </c>
      <c r="G1056" s="158" t="s">
        <v>26</v>
      </c>
      <c r="H1056" s="158" t="s">
        <v>26</v>
      </c>
      <c r="I1056" s="158" t="s">
        <v>176</v>
      </c>
      <c r="J1056" s="158" t="s">
        <v>643</v>
      </c>
      <c r="K1056" s="159">
        <v>828</v>
      </c>
      <c r="L1056" s="28" t="s">
        <v>172</v>
      </c>
      <c r="M1056" s="158" t="s">
        <v>6709</v>
      </c>
    </row>
    <row r="1057" spans="1:13">
      <c r="A1057" s="27" t="s">
        <v>6705</v>
      </c>
      <c r="B1057" s="27" t="s">
        <v>8812</v>
      </c>
      <c r="C1057" s="27" t="s">
        <v>7519</v>
      </c>
      <c r="D1057" s="27" t="s">
        <v>8813</v>
      </c>
      <c r="E1057" s="158">
        <v>1</v>
      </c>
      <c r="F1057" s="158" t="s">
        <v>168</v>
      </c>
      <c r="G1057" s="158" t="s">
        <v>26</v>
      </c>
      <c r="H1057" s="158" t="s">
        <v>26</v>
      </c>
      <c r="I1057" s="158" t="s">
        <v>176</v>
      </c>
      <c r="J1057" s="158" t="s">
        <v>643</v>
      </c>
      <c r="K1057" s="159">
        <v>1104</v>
      </c>
      <c r="L1057" s="28" t="s">
        <v>172</v>
      </c>
      <c r="M1057" s="158" t="s">
        <v>6709</v>
      </c>
    </row>
    <row r="1058" spans="1:13">
      <c r="A1058" s="27" t="s">
        <v>6705</v>
      </c>
      <c r="B1058" s="27" t="s">
        <v>8814</v>
      </c>
      <c r="C1058" s="27" t="s">
        <v>7519</v>
      </c>
      <c r="D1058" s="27" t="s">
        <v>8815</v>
      </c>
      <c r="E1058" s="158">
        <v>1</v>
      </c>
      <c r="F1058" s="158" t="s">
        <v>168</v>
      </c>
      <c r="G1058" s="158" t="s">
        <v>26</v>
      </c>
      <c r="H1058" s="158" t="s">
        <v>26</v>
      </c>
      <c r="I1058" s="158" t="s">
        <v>176</v>
      </c>
      <c r="J1058" s="158" t="s">
        <v>643</v>
      </c>
      <c r="K1058" s="159">
        <v>1380</v>
      </c>
      <c r="L1058" s="28" t="s">
        <v>172</v>
      </c>
      <c r="M1058" s="158" t="s">
        <v>6709</v>
      </c>
    </row>
    <row r="1059" spans="1:13">
      <c r="A1059" s="27" t="s">
        <v>6705</v>
      </c>
      <c r="B1059" s="27" t="s">
        <v>8816</v>
      </c>
      <c r="C1059" s="27" t="s">
        <v>7519</v>
      </c>
      <c r="D1059" s="27" t="s">
        <v>8817</v>
      </c>
      <c r="E1059" s="158">
        <v>1</v>
      </c>
      <c r="F1059" s="158" t="s">
        <v>168</v>
      </c>
      <c r="G1059" s="158" t="s">
        <v>26</v>
      </c>
      <c r="H1059" s="158" t="s">
        <v>26</v>
      </c>
      <c r="I1059" s="158" t="s">
        <v>176</v>
      </c>
      <c r="J1059" s="158" t="s">
        <v>643</v>
      </c>
      <c r="K1059" s="159">
        <v>25</v>
      </c>
      <c r="L1059" s="28" t="s">
        <v>172</v>
      </c>
      <c r="M1059" s="158" t="s">
        <v>6709</v>
      </c>
    </row>
    <row r="1060" spans="1:13">
      <c r="A1060" s="27" t="s">
        <v>6705</v>
      </c>
      <c r="B1060" s="27" t="s">
        <v>8818</v>
      </c>
      <c r="C1060" s="27" t="s">
        <v>7519</v>
      </c>
      <c r="D1060" s="27" t="s">
        <v>8819</v>
      </c>
      <c r="E1060" s="158">
        <v>1</v>
      </c>
      <c r="F1060" s="158" t="s">
        <v>168</v>
      </c>
      <c r="G1060" s="158" t="s">
        <v>26</v>
      </c>
      <c r="H1060" s="158" t="s">
        <v>26</v>
      </c>
      <c r="I1060" s="158" t="s">
        <v>176</v>
      </c>
      <c r="J1060" s="158" t="s">
        <v>643</v>
      </c>
      <c r="K1060" s="159">
        <v>612</v>
      </c>
      <c r="L1060" s="28" t="s">
        <v>172</v>
      </c>
      <c r="M1060" s="158" t="s">
        <v>6709</v>
      </c>
    </row>
    <row r="1061" spans="1:13">
      <c r="A1061" s="27" t="s">
        <v>6705</v>
      </c>
      <c r="B1061" s="27" t="s">
        <v>8820</v>
      </c>
      <c r="C1061" s="27" t="s">
        <v>7519</v>
      </c>
      <c r="D1061" s="27" t="s">
        <v>8821</v>
      </c>
      <c r="E1061" s="158">
        <v>1</v>
      </c>
      <c r="F1061" s="158" t="s">
        <v>168</v>
      </c>
      <c r="G1061" s="158" t="s">
        <v>26</v>
      </c>
      <c r="H1061" s="158" t="s">
        <v>26</v>
      </c>
      <c r="I1061" s="158" t="s">
        <v>176</v>
      </c>
      <c r="J1061" s="158" t="s">
        <v>643</v>
      </c>
      <c r="K1061" s="159">
        <v>50</v>
      </c>
      <c r="L1061" s="28" t="s">
        <v>172</v>
      </c>
      <c r="M1061" s="158" t="s">
        <v>6709</v>
      </c>
    </row>
    <row r="1062" spans="1:13">
      <c r="A1062" s="27" t="s">
        <v>6705</v>
      </c>
      <c r="B1062" s="27" t="s">
        <v>8822</v>
      </c>
      <c r="C1062" s="27" t="s">
        <v>7519</v>
      </c>
      <c r="D1062" s="27" t="s">
        <v>8823</v>
      </c>
      <c r="E1062" s="158">
        <v>1</v>
      </c>
      <c r="F1062" s="158" t="s">
        <v>168</v>
      </c>
      <c r="G1062" s="158" t="s">
        <v>26</v>
      </c>
      <c r="H1062" s="158" t="s">
        <v>26</v>
      </c>
      <c r="I1062" s="158" t="s">
        <v>176</v>
      </c>
      <c r="J1062" s="158" t="s">
        <v>643</v>
      </c>
      <c r="K1062" s="159">
        <v>1248</v>
      </c>
      <c r="L1062" s="28" t="s">
        <v>172</v>
      </c>
      <c r="M1062" s="158" t="s">
        <v>6709</v>
      </c>
    </row>
    <row r="1063" spans="1:13">
      <c r="A1063" s="27" t="s">
        <v>6705</v>
      </c>
      <c r="B1063" s="27" t="s">
        <v>8824</v>
      </c>
      <c r="C1063" s="27" t="s">
        <v>7519</v>
      </c>
      <c r="D1063" s="27" t="s">
        <v>8825</v>
      </c>
      <c r="E1063" s="158">
        <v>1</v>
      </c>
      <c r="F1063" s="158" t="s">
        <v>168</v>
      </c>
      <c r="G1063" s="158" t="s">
        <v>26</v>
      </c>
      <c r="H1063" s="158" t="s">
        <v>26</v>
      </c>
      <c r="I1063" s="158" t="s">
        <v>176</v>
      </c>
      <c r="J1063" s="158" t="s">
        <v>643</v>
      </c>
      <c r="K1063" s="159">
        <v>4992</v>
      </c>
      <c r="L1063" s="28" t="s">
        <v>172</v>
      </c>
      <c r="M1063" s="158" t="s">
        <v>6709</v>
      </c>
    </row>
    <row r="1064" spans="1:13">
      <c r="A1064" s="27" t="s">
        <v>6705</v>
      </c>
      <c r="B1064" s="27" t="s">
        <v>8826</v>
      </c>
      <c r="C1064" s="27" t="s">
        <v>7519</v>
      </c>
      <c r="D1064" s="27" t="s">
        <v>8827</v>
      </c>
      <c r="E1064" s="158">
        <v>1</v>
      </c>
      <c r="F1064" s="158" t="s">
        <v>168</v>
      </c>
      <c r="G1064" s="158" t="s">
        <v>26</v>
      </c>
      <c r="H1064" s="158" t="s">
        <v>26</v>
      </c>
      <c r="I1064" s="158" t="s">
        <v>176</v>
      </c>
      <c r="J1064" s="158" t="s">
        <v>643</v>
      </c>
      <c r="K1064" s="159">
        <v>7500</v>
      </c>
      <c r="L1064" s="28" t="s">
        <v>172</v>
      </c>
      <c r="M1064" s="158" t="s">
        <v>6709</v>
      </c>
    </row>
    <row r="1065" spans="1:13">
      <c r="A1065" s="27" t="s">
        <v>6705</v>
      </c>
      <c r="B1065" s="27" t="s">
        <v>8828</v>
      </c>
      <c r="C1065" s="27" t="s">
        <v>7519</v>
      </c>
      <c r="D1065" s="27" t="s">
        <v>8829</v>
      </c>
      <c r="E1065" s="158">
        <v>1</v>
      </c>
      <c r="F1065" s="158" t="s">
        <v>168</v>
      </c>
      <c r="G1065" s="158" t="s">
        <v>26</v>
      </c>
      <c r="H1065" s="158" t="s">
        <v>26</v>
      </c>
      <c r="I1065" s="158" t="s">
        <v>176</v>
      </c>
      <c r="J1065" s="158" t="s">
        <v>643</v>
      </c>
      <c r="K1065" s="159">
        <v>7500</v>
      </c>
      <c r="L1065" s="28" t="s">
        <v>172</v>
      </c>
      <c r="M1065" s="158" t="s">
        <v>6709</v>
      </c>
    </row>
    <row r="1066" spans="1:13">
      <c r="A1066" s="27" t="s">
        <v>6705</v>
      </c>
      <c r="B1066" s="27" t="s">
        <v>8830</v>
      </c>
      <c r="C1066" s="27" t="s">
        <v>7519</v>
      </c>
      <c r="D1066" s="27" t="s">
        <v>8831</v>
      </c>
      <c r="E1066" s="158">
        <v>1</v>
      </c>
      <c r="F1066" s="158" t="s">
        <v>168</v>
      </c>
      <c r="G1066" s="158" t="s">
        <v>26</v>
      </c>
      <c r="H1066" s="158" t="s">
        <v>26</v>
      </c>
      <c r="I1066" s="158" t="s">
        <v>176</v>
      </c>
      <c r="J1066" s="158" t="s">
        <v>643</v>
      </c>
      <c r="K1066" s="159">
        <v>7500</v>
      </c>
      <c r="L1066" s="28" t="s">
        <v>172</v>
      </c>
      <c r="M1066" s="158" t="s">
        <v>6709</v>
      </c>
    </row>
    <row r="1067" spans="1:13">
      <c r="A1067" s="27" t="s">
        <v>6705</v>
      </c>
      <c r="B1067" s="27" t="s">
        <v>8832</v>
      </c>
      <c r="C1067" s="27" t="s">
        <v>7519</v>
      </c>
      <c r="D1067" s="27" t="s">
        <v>8833</v>
      </c>
      <c r="E1067" s="158">
        <v>1</v>
      </c>
      <c r="F1067" s="158" t="s">
        <v>168</v>
      </c>
      <c r="G1067" s="158" t="s">
        <v>26</v>
      </c>
      <c r="H1067" s="158" t="s">
        <v>26</v>
      </c>
      <c r="I1067" s="158" t="s">
        <v>176</v>
      </c>
      <c r="J1067" s="158" t="s">
        <v>643</v>
      </c>
      <c r="K1067" s="159">
        <v>7500</v>
      </c>
      <c r="L1067" s="28" t="s">
        <v>172</v>
      </c>
      <c r="M1067" s="158" t="s">
        <v>6709</v>
      </c>
    </row>
    <row r="1068" spans="1:13">
      <c r="A1068" s="27" t="s">
        <v>6705</v>
      </c>
      <c r="B1068" s="27" t="s">
        <v>8834</v>
      </c>
      <c r="C1068" s="27" t="s">
        <v>7519</v>
      </c>
      <c r="D1068" s="27" t="s">
        <v>8835</v>
      </c>
      <c r="E1068" s="158">
        <v>1</v>
      </c>
      <c r="F1068" s="158" t="s">
        <v>168</v>
      </c>
      <c r="G1068" s="158" t="s">
        <v>26</v>
      </c>
      <c r="H1068" s="158" t="s">
        <v>26</v>
      </c>
      <c r="I1068" s="158" t="s">
        <v>176</v>
      </c>
      <c r="J1068" s="158" t="s">
        <v>643</v>
      </c>
      <c r="K1068" s="159">
        <v>7500</v>
      </c>
      <c r="L1068" s="28" t="s">
        <v>172</v>
      </c>
      <c r="M1068" s="158" t="s">
        <v>6709</v>
      </c>
    </row>
    <row r="1069" spans="1:13">
      <c r="A1069" s="27" t="s">
        <v>6705</v>
      </c>
      <c r="B1069" s="27" t="s">
        <v>8836</v>
      </c>
      <c r="C1069" s="27" t="s">
        <v>7519</v>
      </c>
      <c r="D1069" s="27" t="s">
        <v>8837</v>
      </c>
      <c r="E1069" s="158">
        <v>1</v>
      </c>
      <c r="F1069" s="158" t="s">
        <v>168</v>
      </c>
      <c r="G1069" s="158" t="s">
        <v>26</v>
      </c>
      <c r="H1069" s="158" t="s">
        <v>26</v>
      </c>
      <c r="I1069" s="158" t="s">
        <v>176</v>
      </c>
      <c r="J1069" s="158" t="s">
        <v>643</v>
      </c>
      <c r="K1069" s="159">
        <v>7500</v>
      </c>
      <c r="L1069" s="28" t="s">
        <v>172</v>
      </c>
      <c r="M1069" s="158" t="s">
        <v>6709</v>
      </c>
    </row>
    <row r="1070" spans="1:13">
      <c r="A1070" s="27" t="s">
        <v>6705</v>
      </c>
      <c r="B1070" s="27" t="s">
        <v>8838</v>
      </c>
      <c r="C1070" s="27" t="s">
        <v>7519</v>
      </c>
      <c r="D1070" s="27" t="s">
        <v>8839</v>
      </c>
      <c r="E1070" s="158">
        <v>1</v>
      </c>
      <c r="F1070" s="158" t="s">
        <v>168</v>
      </c>
      <c r="G1070" s="158" t="s">
        <v>26</v>
      </c>
      <c r="H1070" s="158" t="s">
        <v>26</v>
      </c>
      <c r="I1070" s="158" t="s">
        <v>176</v>
      </c>
      <c r="J1070" s="158" t="s">
        <v>643</v>
      </c>
      <c r="K1070" s="159">
        <v>200000</v>
      </c>
      <c r="L1070" s="28" t="s">
        <v>172</v>
      </c>
      <c r="M1070" s="158" t="s">
        <v>6709</v>
      </c>
    </row>
    <row r="1071" spans="1:13">
      <c r="A1071" s="27" t="s">
        <v>6705</v>
      </c>
      <c r="B1071" s="27" t="s">
        <v>8840</v>
      </c>
      <c r="C1071" s="27" t="s">
        <v>7519</v>
      </c>
      <c r="D1071" s="27" t="s">
        <v>8841</v>
      </c>
      <c r="E1071" s="158">
        <v>1</v>
      </c>
      <c r="F1071" s="158" t="s">
        <v>168</v>
      </c>
      <c r="G1071" s="158" t="s">
        <v>26</v>
      </c>
      <c r="H1071" s="158" t="s">
        <v>26</v>
      </c>
      <c r="I1071" s="158" t="s">
        <v>176</v>
      </c>
      <c r="J1071" s="158" t="s">
        <v>643</v>
      </c>
      <c r="K1071" s="159">
        <v>100000</v>
      </c>
      <c r="L1071" s="28" t="s">
        <v>172</v>
      </c>
      <c r="M1071" s="158" t="s">
        <v>6709</v>
      </c>
    </row>
    <row r="1072" spans="1:13">
      <c r="A1072" s="27" t="s">
        <v>6705</v>
      </c>
      <c r="B1072" s="27" t="s">
        <v>8842</v>
      </c>
      <c r="C1072" s="27" t="s">
        <v>7519</v>
      </c>
      <c r="D1072" s="27" t="s">
        <v>8843</v>
      </c>
      <c r="E1072" s="158">
        <v>1</v>
      </c>
      <c r="F1072" s="158" t="s">
        <v>168</v>
      </c>
      <c r="G1072" s="158" t="s">
        <v>26</v>
      </c>
      <c r="H1072" s="158" t="s">
        <v>26</v>
      </c>
      <c r="I1072" s="158" t="s">
        <v>176</v>
      </c>
      <c r="J1072" s="158" t="s">
        <v>643</v>
      </c>
      <c r="K1072" s="159">
        <v>3500</v>
      </c>
      <c r="L1072" s="28" t="s">
        <v>172</v>
      </c>
      <c r="M1072" s="158" t="s">
        <v>6709</v>
      </c>
    </row>
    <row r="1073" spans="1:13">
      <c r="A1073" s="27" t="s">
        <v>6705</v>
      </c>
      <c r="B1073" s="27" t="s">
        <v>8844</v>
      </c>
      <c r="C1073" s="27" t="s">
        <v>7519</v>
      </c>
      <c r="D1073" s="27" t="s">
        <v>8845</v>
      </c>
      <c r="E1073" s="158">
        <v>1</v>
      </c>
      <c r="F1073" s="158" t="s">
        <v>168</v>
      </c>
      <c r="G1073" s="158" t="s">
        <v>26</v>
      </c>
      <c r="H1073" s="158" t="s">
        <v>26</v>
      </c>
      <c r="I1073" s="158" t="s">
        <v>176</v>
      </c>
      <c r="J1073" s="158" t="s">
        <v>643</v>
      </c>
      <c r="K1073" s="159">
        <v>10000</v>
      </c>
      <c r="L1073" s="28" t="s">
        <v>172</v>
      </c>
      <c r="M1073" s="158" t="s">
        <v>6709</v>
      </c>
    </row>
    <row r="1074" spans="1:13">
      <c r="A1074" s="27" t="s">
        <v>6705</v>
      </c>
      <c r="B1074" s="27" t="s">
        <v>8846</v>
      </c>
      <c r="C1074" s="27" t="s">
        <v>7519</v>
      </c>
      <c r="D1074" s="27" t="s">
        <v>8847</v>
      </c>
      <c r="E1074" s="158">
        <v>1</v>
      </c>
      <c r="F1074" s="158" t="s">
        <v>168</v>
      </c>
      <c r="G1074" s="158" t="s">
        <v>26</v>
      </c>
      <c r="H1074" s="158" t="s">
        <v>26</v>
      </c>
      <c r="I1074" s="158" t="s">
        <v>176</v>
      </c>
      <c r="J1074" s="158" t="s">
        <v>643</v>
      </c>
      <c r="K1074" s="159">
        <v>1478</v>
      </c>
      <c r="L1074" s="28" t="s">
        <v>172</v>
      </c>
      <c r="M1074" s="158" t="s">
        <v>6709</v>
      </c>
    </row>
    <row r="1075" spans="1:13">
      <c r="A1075" s="27" t="s">
        <v>6705</v>
      </c>
      <c r="B1075" s="27" t="s">
        <v>8848</v>
      </c>
      <c r="C1075" s="27" t="s">
        <v>7519</v>
      </c>
      <c r="D1075" s="27" t="s">
        <v>8849</v>
      </c>
      <c r="E1075" s="158">
        <v>1</v>
      </c>
      <c r="F1075" s="158" t="s">
        <v>168</v>
      </c>
      <c r="G1075" s="158" t="s">
        <v>26</v>
      </c>
      <c r="H1075" s="158" t="s">
        <v>26</v>
      </c>
      <c r="I1075" s="158" t="s">
        <v>176</v>
      </c>
      <c r="J1075" s="158" t="s">
        <v>643</v>
      </c>
      <c r="K1075" s="159">
        <v>899</v>
      </c>
      <c r="L1075" s="28" t="s">
        <v>172</v>
      </c>
      <c r="M1075" s="158" t="s">
        <v>6709</v>
      </c>
    </row>
    <row r="1076" spans="1:13">
      <c r="A1076" s="27" t="s">
        <v>6705</v>
      </c>
      <c r="B1076" s="27" t="s">
        <v>8850</v>
      </c>
      <c r="C1076" s="27" t="s">
        <v>7519</v>
      </c>
      <c r="D1076" s="27" t="s">
        <v>8851</v>
      </c>
      <c r="E1076" s="158">
        <v>1</v>
      </c>
      <c r="F1076" s="158" t="s">
        <v>168</v>
      </c>
      <c r="G1076" s="158" t="s">
        <v>26</v>
      </c>
      <c r="H1076" s="158" t="s">
        <v>26</v>
      </c>
      <c r="I1076" s="158" t="s">
        <v>176</v>
      </c>
      <c r="J1076" s="158" t="s">
        <v>643</v>
      </c>
      <c r="K1076" s="159">
        <v>76</v>
      </c>
      <c r="L1076" s="28" t="s">
        <v>172</v>
      </c>
      <c r="M1076" s="158" t="s">
        <v>6709</v>
      </c>
    </row>
    <row r="1077" spans="1:13">
      <c r="A1077" s="27" t="s">
        <v>6705</v>
      </c>
      <c r="B1077" s="27" t="s">
        <v>8852</v>
      </c>
      <c r="C1077" s="27" t="s">
        <v>7519</v>
      </c>
      <c r="D1077" s="27" t="s">
        <v>8853</v>
      </c>
      <c r="E1077" s="158">
        <v>1</v>
      </c>
      <c r="F1077" s="158" t="s">
        <v>168</v>
      </c>
      <c r="G1077" s="158" t="s">
        <v>26</v>
      </c>
      <c r="H1077" s="158" t="s">
        <v>26</v>
      </c>
      <c r="I1077" s="158" t="s">
        <v>176</v>
      </c>
      <c r="J1077" s="158" t="s">
        <v>643</v>
      </c>
      <c r="K1077" s="159">
        <v>713</v>
      </c>
      <c r="L1077" s="28" t="s">
        <v>172</v>
      </c>
      <c r="M1077" s="158" t="s">
        <v>6709</v>
      </c>
    </row>
    <row r="1078" spans="1:13">
      <c r="A1078" s="27" t="s">
        <v>6705</v>
      </c>
      <c r="B1078" s="27" t="s">
        <v>8854</v>
      </c>
      <c r="C1078" s="27" t="s">
        <v>7519</v>
      </c>
      <c r="D1078" s="27" t="s">
        <v>8855</v>
      </c>
      <c r="E1078" s="158">
        <v>1</v>
      </c>
      <c r="F1078" s="158" t="s">
        <v>168</v>
      </c>
      <c r="G1078" s="158" t="s">
        <v>26</v>
      </c>
      <c r="H1078" s="158" t="s">
        <v>26</v>
      </c>
      <c r="I1078" s="158" t="s">
        <v>176</v>
      </c>
      <c r="J1078" s="158" t="s">
        <v>643</v>
      </c>
      <c r="K1078" s="159">
        <v>414</v>
      </c>
      <c r="L1078" s="28" t="s">
        <v>172</v>
      </c>
      <c r="M1078" s="158" t="s">
        <v>6709</v>
      </c>
    </row>
    <row r="1079" spans="1:13">
      <c r="A1079" s="27" t="s">
        <v>6705</v>
      </c>
      <c r="B1079" s="27" t="s">
        <v>8856</v>
      </c>
      <c r="C1079" s="27" t="s">
        <v>7519</v>
      </c>
      <c r="D1079" s="27" t="s">
        <v>8857</v>
      </c>
      <c r="E1079" s="158">
        <v>1</v>
      </c>
      <c r="F1079" s="158" t="s">
        <v>168</v>
      </c>
      <c r="G1079" s="158" t="s">
        <v>26</v>
      </c>
      <c r="H1079" s="158" t="s">
        <v>26</v>
      </c>
      <c r="I1079" s="158" t="s">
        <v>176</v>
      </c>
      <c r="J1079" s="158" t="s">
        <v>643</v>
      </c>
      <c r="K1079" s="159">
        <v>36</v>
      </c>
      <c r="L1079" s="28" t="s">
        <v>172</v>
      </c>
      <c r="M1079" s="158" t="s">
        <v>6709</v>
      </c>
    </row>
    <row r="1080" spans="1:13">
      <c r="A1080" s="27" t="s">
        <v>6705</v>
      </c>
      <c r="B1080" s="27" t="s">
        <v>8858</v>
      </c>
      <c r="C1080" s="27" t="s">
        <v>7519</v>
      </c>
      <c r="D1080" s="27" t="s">
        <v>8859</v>
      </c>
      <c r="E1080" s="158">
        <v>1</v>
      </c>
      <c r="F1080" s="158" t="s">
        <v>168</v>
      </c>
      <c r="G1080" s="158" t="s">
        <v>26</v>
      </c>
      <c r="H1080" s="158" t="s">
        <v>26</v>
      </c>
      <c r="I1080" s="158" t="s">
        <v>176</v>
      </c>
      <c r="J1080" s="158" t="s">
        <v>643</v>
      </c>
      <c r="K1080" s="159">
        <v>918</v>
      </c>
      <c r="L1080" s="28" t="s">
        <v>172</v>
      </c>
      <c r="M1080" s="158" t="s">
        <v>6709</v>
      </c>
    </row>
    <row r="1081" spans="1:13">
      <c r="A1081" s="27" t="s">
        <v>6705</v>
      </c>
      <c r="B1081" s="27" t="s">
        <v>8860</v>
      </c>
      <c r="C1081" s="27" t="s">
        <v>7519</v>
      </c>
      <c r="D1081" s="27" t="s">
        <v>8861</v>
      </c>
      <c r="E1081" s="158">
        <v>1</v>
      </c>
      <c r="F1081" s="158" t="s">
        <v>168</v>
      </c>
      <c r="G1081" s="158" t="s">
        <v>26</v>
      </c>
      <c r="H1081" s="158" t="s">
        <v>26</v>
      </c>
      <c r="I1081" s="158" t="s">
        <v>176</v>
      </c>
      <c r="J1081" s="158" t="s">
        <v>643</v>
      </c>
      <c r="K1081" s="159">
        <v>50</v>
      </c>
      <c r="L1081" s="28" t="s">
        <v>172</v>
      </c>
      <c r="M1081" s="158" t="s">
        <v>6709</v>
      </c>
    </row>
    <row r="1082" spans="1:13">
      <c r="A1082" s="27" t="s">
        <v>6705</v>
      </c>
      <c r="B1082" s="27" t="s">
        <v>9010</v>
      </c>
      <c r="C1082" s="27" t="s">
        <v>9011</v>
      </c>
      <c r="D1082" s="27" t="s">
        <v>9012</v>
      </c>
      <c r="E1082" s="27" t="s">
        <v>9013</v>
      </c>
      <c r="F1082" s="27" t="s">
        <v>9014</v>
      </c>
      <c r="G1082" s="27" t="s">
        <v>7542</v>
      </c>
      <c r="H1082" s="27" t="s">
        <v>26</v>
      </c>
      <c r="I1082" s="27" t="s">
        <v>9015</v>
      </c>
      <c r="J1082" s="27" t="s">
        <v>9016</v>
      </c>
      <c r="K1082" s="27">
        <v>50</v>
      </c>
      <c r="L1082" s="27" t="s">
        <v>173</v>
      </c>
      <c r="M1082" s="27" t="s">
        <v>175</v>
      </c>
    </row>
    <row r="1083" spans="1:13">
      <c r="A1083" s="27" t="s">
        <v>6705</v>
      </c>
      <c r="B1083" s="27" t="s">
        <v>9017</v>
      </c>
      <c r="C1083" s="27" t="s">
        <v>9011</v>
      </c>
      <c r="D1083" s="27" t="s">
        <v>9018</v>
      </c>
      <c r="E1083" s="27" t="s">
        <v>9013</v>
      </c>
      <c r="F1083" s="27" t="s">
        <v>9014</v>
      </c>
      <c r="G1083" s="27" t="s">
        <v>7542</v>
      </c>
      <c r="H1083" s="27" t="s">
        <v>26</v>
      </c>
      <c r="I1083" s="27" t="s">
        <v>9015</v>
      </c>
      <c r="J1083" s="27" t="s">
        <v>9016</v>
      </c>
      <c r="K1083" s="27">
        <v>50</v>
      </c>
      <c r="L1083" s="27" t="s">
        <v>173</v>
      </c>
      <c r="M1083" s="27" t="s">
        <v>175</v>
      </c>
    </row>
    <row r="1084" spans="1:13">
      <c r="A1084" s="27" t="s">
        <v>6705</v>
      </c>
      <c r="B1084" s="27" t="s">
        <v>9019</v>
      </c>
      <c r="C1084" s="27" t="s">
        <v>9011</v>
      </c>
      <c r="D1084" s="27" t="s">
        <v>9020</v>
      </c>
      <c r="E1084" s="27" t="s">
        <v>9013</v>
      </c>
      <c r="F1084" s="27" t="s">
        <v>9014</v>
      </c>
      <c r="G1084" s="27" t="s">
        <v>7542</v>
      </c>
      <c r="H1084" s="27" t="s">
        <v>26</v>
      </c>
      <c r="I1084" s="27" t="s">
        <v>9015</v>
      </c>
      <c r="J1084" s="27" t="s">
        <v>8866</v>
      </c>
      <c r="K1084" s="27">
        <v>1350</v>
      </c>
      <c r="L1084" s="27" t="s">
        <v>173</v>
      </c>
      <c r="M1084" s="27" t="s">
        <v>175</v>
      </c>
    </row>
    <row r="1085" spans="1:13">
      <c r="A1085" s="27" t="s">
        <v>6705</v>
      </c>
      <c r="B1085" s="27" t="s">
        <v>9021</v>
      </c>
      <c r="C1085" s="27" t="s">
        <v>9011</v>
      </c>
      <c r="D1085" s="27" t="s">
        <v>9022</v>
      </c>
      <c r="E1085" s="27" t="s">
        <v>9013</v>
      </c>
      <c r="F1085" s="27" t="s">
        <v>9014</v>
      </c>
      <c r="G1085" s="27" t="s">
        <v>7542</v>
      </c>
      <c r="H1085" s="27" t="s">
        <v>9023</v>
      </c>
      <c r="I1085" s="27" t="s">
        <v>167</v>
      </c>
      <c r="J1085" s="27" t="s">
        <v>9016</v>
      </c>
      <c r="K1085" s="27">
        <v>8500</v>
      </c>
      <c r="L1085" s="27" t="s">
        <v>173</v>
      </c>
      <c r="M1085" s="27" t="s">
        <v>175</v>
      </c>
    </row>
    <row r="1086" spans="1:13">
      <c r="A1086" s="27" t="s">
        <v>6705</v>
      </c>
      <c r="B1086" s="27" t="s">
        <v>9024</v>
      </c>
      <c r="C1086" s="27" t="s">
        <v>9011</v>
      </c>
      <c r="D1086" s="27" t="s">
        <v>9055</v>
      </c>
      <c r="E1086" s="27" t="s">
        <v>9013</v>
      </c>
      <c r="F1086" s="27" t="s">
        <v>9014</v>
      </c>
      <c r="G1086" s="27" t="s">
        <v>7542</v>
      </c>
      <c r="H1086" s="27" t="s">
        <v>9025</v>
      </c>
      <c r="I1086" s="27" t="s">
        <v>167</v>
      </c>
      <c r="J1086" s="27" t="s">
        <v>9016</v>
      </c>
      <c r="K1086" s="27">
        <v>65000</v>
      </c>
      <c r="L1086" s="27" t="s">
        <v>173</v>
      </c>
      <c r="M1086" s="27" t="s">
        <v>175</v>
      </c>
    </row>
    <row r="1087" spans="1:13">
      <c r="A1087" s="27" t="s">
        <v>6705</v>
      </c>
      <c r="B1087" s="27" t="s">
        <v>9026</v>
      </c>
      <c r="C1087" s="27" t="s">
        <v>9011</v>
      </c>
      <c r="D1087" s="27" t="s">
        <v>9027</v>
      </c>
      <c r="E1087" s="27" t="s">
        <v>9013</v>
      </c>
      <c r="F1087" s="27" t="s">
        <v>9014</v>
      </c>
      <c r="G1087" s="27" t="s">
        <v>7542</v>
      </c>
      <c r="H1087" s="27" t="s">
        <v>9025</v>
      </c>
      <c r="I1087" s="27" t="s">
        <v>167</v>
      </c>
      <c r="J1087" s="27" t="s">
        <v>9016</v>
      </c>
      <c r="K1087" s="27">
        <v>240000</v>
      </c>
      <c r="L1087" s="27" t="s">
        <v>173</v>
      </c>
      <c r="M1087" s="27" t="s">
        <v>175</v>
      </c>
    </row>
    <row r="1088" spans="1:13">
      <c r="A1088" s="27" t="s">
        <v>6705</v>
      </c>
      <c r="B1088" s="27" t="s">
        <v>9028</v>
      </c>
      <c r="C1088" s="27" t="s">
        <v>9011</v>
      </c>
      <c r="D1088" s="27" t="s">
        <v>9029</v>
      </c>
      <c r="E1088" s="27" t="s">
        <v>9013</v>
      </c>
      <c r="F1088" s="27" t="s">
        <v>9014</v>
      </c>
      <c r="G1088" s="27" t="s">
        <v>7542</v>
      </c>
      <c r="H1088" s="27" t="s">
        <v>9025</v>
      </c>
      <c r="I1088" s="27" t="s">
        <v>167</v>
      </c>
      <c r="J1088" s="27" t="s">
        <v>9016</v>
      </c>
      <c r="K1088" s="27">
        <v>1500</v>
      </c>
      <c r="L1088" s="27" t="s">
        <v>173</v>
      </c>
      <c r="M1088" s="27" t="s">
        <v>175</v>
      </c>
    </row>
    <row r="1089" spans="1:13">
      <c r="A1089" s="27" t="s">
        <v>6705</v>
      </c>
      <c r="B1089" s="27" t="s">
        <v>9030</v>
      </c>
      <c r="C1089" s="27" t="s">
        <v>9011</v>
      </c>
      <c r="D1089" s="27" t="s">
        <v>9031</v>
      </c>
      <c r="E1089" s="27" t="s">
        <v>9013</v>
      </c>
      <c r="F1089" s="27" t="s">
        <v>9014</v>
      </c>
      <c r="G1089" s="27" t="s">
        <v>7542</v>
      </c>
      <c r="H1089" s="27" t="s">
        <v>26</v>
      </c>
      <c r="I1089" s="27" t="s">
        <v>167</v>
      </c>
      <c r="J1089" s="27" t="s">
        <v>9016</v>
      </c>
      <c r="K1089" s="27">
        <v>4500</v>
      </c>
      <c r="L1089" s="27" t="s">
        <v>173</v>
      </c>
      <c r="M1089" s="27" t="s">
        <v>175</v>
      </c>
    </row>
    <row r="1090" spans="1:13">
      <c r="A1090" s="27" t="s">
        <v>6705</v>
      </c>
      <c r="B1090" s="27" t="s">
        <v>9032</v>
      </c>
      <c r="C1090" s="27" t="s">
        <v>9011</v>
      </c>
      <c r="D1090" s="27" t="s">
        <v>9033</v>
      </c>
      <c r="E1090" s="27" t="s">
        <v>9013</v>
      </c>
      <c r="F1090" s="27" t="s">
        <v>9014</v>
      </c>
      <c r="G1090" s="27" t="s">
        <v>7542</v>
      </c>
      <c r="H1090" s="27" t="s">
        <v>26</v>
      </c>
      <c r="I1090" s="27" t="s">
        <v>167</v>
      </c>
      <c r="J1090" s="27" t="s">
        <v>9016</v>
      </c>
      <c r="K1090" s="27">
        <v>4500</v>
      </c>
      <c r="L1090" s="27" t="s">
        <v>173</v>
      </c>
      <c r="M1090" s="27" t="s">
        <v>175</v>
      </c>
    </row>
    <row r="1091" spans="1:13">
      <c r="A1091" s="27" t="s">
        <v>6705</v>
      </c>
      <c r="B1091" s="27" t="s">
        <v>9034</v>
      </c>
      <c r="C1091" s="27" t="s">
        <v>9011</v>
      </c>
      <c r="D1091" s="27" t="s">
        <v>9035</v>
      </c>
      <c r="E1091" s="27" t="s">
        <v>9013</v>
      </c>
      <c r="F1091" s="27" t="s">
        <v>9014</v>
      </c>
      <c r="G1091" s="27" t="s">
        <v>7542</v>
      </c>
      <c r="H1091" s="27" t="s">
        <v>26</v>
      </c>
      <c r="I1091" s="27" t="s">
        <v>167</v>
      </c>
      <c r="J1091" s="27" t="s">
        <v>9016</v>
      </c>
      <c r="K1091" s="27">
        <v>1850</v>
      </c>
      <c r="L1091" s="27" t="s">
        <v>173</v>
      </c>
      <c r="M1091" s="27" t="s">
        <v>175</v>
      </c>
    </row>
    <row r="1092" spans="1:13">
      <c r="A1092" s="27" t="s">
        <v>6705</v>
      </c>
      <c r="B1092" s="27" t="s">
        <v>9036</v>
      </c>
      <c r="C1092" s="27" t="s">
        <v>9011</v>
      </c>
      <c r="D1092" s="27" t="s">
        <v>9037</v>
      </c>
      <c r="E1092" s="27" t="s">
        <v>9013</v>
      </c>
      <c r="F1092" s="27" t="s">
        <v>9014</v>
      </c>
      <c r="G1092" s="27" t="s">
        <v>7542</v>
      </c>
      <c r="H1092" s="27" t="s">
        <v>9025</v>
      </c>
      <c r="I1092" s="27" t="s">
        <v>167</v>
      </c>
      <c r="J1092" s="27" t="s">
        <v>9016</v>
      </c>
      <c r="K1092" s="27">
        <v>3000</v>
      </c>
      <c r="L1092" s="27" t="s">
        <v>173</v>
      </c>
      <c r="M1092" s="27" t="s">
        <v>175</v>
      </c>
    </row>
    <row r="1093" spans="1:13">
      <c r="A1093" s="27" t="s">
        <v>6705</v>
      </c>
      <c r="B1093" s="27" t="s">
        <v>9038</v>
      </c>
      <c r="C1093" s="27" t="s">
        <v>9011</v>
      </c>
      <c r="D1093" s="27" t="s">
        <v>9039</v>
      </c>
      <c r="E1093" s="27" t="s">
        <v>9013</v>
      </c>
      <c r="F1093" s="27" t="s">
        <v>9014</v>
      </c>
      <c r="G1093" s="27" t="s">
        <v>7542</v>
      </c>
      <c r="H1093" s="27" t="s">
        <v>9025</v>
      </c>
      <c r="I1093" s="27" t="s">
        <v>167</v>
      </c>
      <c r="J1093" s="27" t="s">
        <v>9016</v>
      </c>
      <c r="K1093" s="27">
        <v>18500</v>
      </c>
      <c r="L1093" s="27" t="s">
        <v>173</v>
      </c>
      <c r="M1093" s="27" t="s">
        <v>175</v>
      </c>
    </row>
    <row r="1094" spans="1:13">
      <c r="A1094" s="27" t="s">
        <v>6705</v>
      </c>
      <c r="B1094" s="27" t="s">
        <v>9040</v>
      </c>
      <c r="C1094" s="27" t="s">
        <v>9011</v>
      </c>
      <c r="D1094" s="27" t="s">
        <v>9041</v>
      </c>
      <c r="E1094" s="27" t="s">
        <v>9013</v>
      </c>
      <c r="F1094" s="27" t="s">
        <v>9014</v>
      </c>
      <c r="G1094" s="27" t="s">
        <v>7542</v>
      </c>
      <c r="H1094" s="27" t="s">
        <v>9025</v>
      </c>
      <c r="I1094" s="27" t="s">
        <v>167</v>
      </c>
      <c r="J1094" s="27" t="s">
        <v>9016</v>
      </c>
      <c r="K1094" s="27">
        <v>34500</v>
      </c>
      <c r="L1094" s="27" t="s">
        <v>173</v>
      </c>
      <c r="M1094" s="27" t="s">
        <v>175</v>
      </c>
    </row>
    <row r="1095" spans="1:13">
      <c r="A1095" s="27" t="s">
        <v>6705</v>
      </c>
      <c r="B1095" s="27" t="s">
        <v>9042</v>
      </c>
      <c r="C1095" s="27" t="s">
        <v>9011</v>
      </c>
      <c r="D1095" s="27" t="s">
        <v>9043</v>
      </c>
      <c r="E1095" s="27" t="s">
        <v>9013</v>
      </c>
      <c r="F1095" s="27" t="s">
        <v>9014</v>
      </c>
      <c r="G1095" s="27" t="s">
        <v>7542</v>
      </c>
      <c r="H1095" s="27" t="s">
        <v>9025</v>
      </c>
      <c r="I1095" s="27" t="s">
        <v>167</v>
      </c>
      <c r="J1095" s="27" t="s">
        <v>9016</v>
      </c>
      <c r="K1095" s="27">
        <v>3000</v>
      </c>
      <c r="L1095" s="27" t="s">
        <v>173</v>
      </c>
      <c r="M1095" s="27" t="s">
        <v>175</v>
      </c>
    </row>
    <row r="1096" spans="1:13">
      <c r="A1096" s="27" t="s">
        <v>6705</v>
      </c>
      <c r="B1096" s="27" t="s">
        <v>9044</v>
      </c>
      <c r="C1096" s="27" t="s">
        <v>9011</v>
      </c>
      <c r="D1096" s="27" t="s">
        <v>9045</v>
      </c>
      <c r="E1096" s="27" t="s">
        <v>9013</v>
      </c>
      <c r="F1096" s="27" t="s">
        <v>9014</v>
      </c>
      <c r="G1096" s="27" t="s">
        <v>7542</v>
      </c>
      <c r="H1096" s="27" t="s">
        <v>9025</v>
      </c>
      <c r="I1096" s="27" t="s">
        <v>167</v>
      </c>
      <c r="J1096" s="27" t="s">
        <v>9016</v>
      </c>
      <c r="K1096" s="27">
        <v>2250</v>
      </c>
      <c r="L1096" s="27" t="s">
        <v>173</v>
      </c>
      <c r="M1096" s="27" t="s">
        <v>175</v>
      </c>
    </row>
    <row r="1097" spans="1:13">
      <c r="A1097" s="27" t="s">
        <v>6705</v>
      </c>
      <c r="B1097" s="27" t="s">
        <v>9046</v>
      </c>
      <c r="C1097" s="27" t="s">
        <v>9011</v>
      </c>
      <c r="D1097" s="27" t="s">
        <v>9047</v>
      </c>
      <c r="E1097" s="27" t="s">
        <v>9013</v>
      </c>
      <c r="F1097" s="27" t="s">
        <v>9014</v>
      </c>
      <c r="G1097" s="27" t="s">
        <v>7542</v>
      </c>
      <c r="H1097" s="27" t="s">
        <v>9025</v>
      </c>
      <c r="I1097" s="27" t="s">
        <v>167</v>
      </c>
      <c r="J1097" s="27" t="s">
        <v>9016</v>
      </c>
      <c r="K1097" s="27">
        <v>2250</v>
      </c>
      <c r="L1097" s="27" t="s">
        <v>173</v>
      </c>
      <c r="M1097" s="27" t="s">
        <v>175</v>
      </c>
    </row>
    <row r="1098" spans="1:13">
      <c r="A1098" s="27" t="s">
        <v>6705</v>
      </c>
      <c r="B1098" s="27" t="s">
        <v>9048</v>
      </c>
      <c r="C1098" s="27" t="s">
        <v>9011</v>
      </c>
      <c r="D1098" s="27" t="s">
        <v>9049</v>
      </c>
      <c r="E1098" s="27" t="s">
        <v>9013</v>
      </c>
      <c r="F1098" s="27" t="s">
        <v>9014</v>
      </c>
      <c r="G1098" s="27" t="s">
        <v>7542</v>
      </c>
      <c r="H1098" s="27" t="s">
        <v>26</v>
      </c>
      <c r="I1098" s="27" t="s">
        <v>9015</v>
      </c>
      <c r="J1098" s="27" t="s">
        <v>2547</v>
      </c>
      <c r="K1098" s="27">
        <v>50</v>
      </c>
      <c r="L1098" s="27" t="s">
        <v>173</v>
      </c>
      <c r="M1098" s="27" t="s">
        <v>175</v>
      </c>
    </row>
    <row r="1099" spans="1:13">
      <c r="A1099" s="27" t="s">
        <v>6705</v>
      </c>
      <c r="B1099" s="27" t="s">
        <v>89</v>
      </c>
      <c r="C1099" s="27" t="s">
        <v>9011</v>
      </c>
      <c r="D1099" s="27" t="s">
        <v>90</v>
      </c>
      <c r="E1099" s="27" t="s">
        <v>91</v>
      </c>
      <c r="F1099" s="27" t="s">
        <v>21</v>
      </c>
      <c r="G1099" s="27" t="s">
        <v>70</v>
      </c>
      <c r="H1099" s="27" t="s">
        <v>26</v>
      </c>
      <c r="I1099" s="27" t="s">
        <v>9050</v>
      </c>
      <c r="J1099" s="27" t="s">
        <v>9051</v>
      </c>
      <c r="K1099" s="27">
        <v>16000000</v>
      </c>
      <c r="L1099" s="27" t="s">
        <v>2057</v>
      </c>
      <c r="M1099" s="27" t="s">
        <v>14</v>
      </c>
    </row>
    <row r="1100" spans="1:13">
      <c r="A1100" s="27" t="s">
        <v>6705</v>
      </c>
      <c r="B1100" s="27" t="s">
        <v>92</v>
      </c>
      <c r="C1100" s="27" t="s">
        <v>9011</v>
      </c>
      <c r="D1100" s="27" t="s">
        <v>90</v>
      </c>
      <c r="E1100" s="27" t="s">
        <v>91</v>
      </c>
      <c r="F1100" s="27" t="s">
        <v>21</v>
      </c>
      <c r="G1100" s="27" t="s">
        <v>70</v>
      </c>
      <c r="H1100" s="27" t="s">
        <v>42</v>
      </c>
      <c r="I1100" s="27" t="s">
        <v>9050</v>
      </c>
      <c r="J1100" s="27" t="s">
        <v>9051</v>
      </c>
      <c r="K1100" s="27">
        <v>24000000</v>
      </c>
      <c r="L1100" s="27" t="s">
        <v>2057</v>
      </c>
      <c r="M1100" s="27" t="s">
        <v>14</v>
      </c>
    </row>
    <row r="1101" spans="1:13">
      <c r="A1101" s="27" t="s">
        <v>6705</v>
      </c>
      <c r="B1101" s="27" t="s">
        <v>93</v>
      </c>
      <c r="C1101" s="27" t="s">
        <v>9011</v>
      </c>
      <c r="D1101" s="27" t="s">
        <v>90</v>
      </c>
      <c r="E1101" s="27" t="s">
        <v>91</v>
      </c>
      <c r="F1101" s="27" t="s">
        <v>21</v>
      </c>
      <c r="G1101" s="27" t="s">
        <v>74</v>
      </c>
      <c r="H1101" s="27" t="s">
        <v>26</v>
      </c>
      <c r="I1101" s="27" t="s">
        <v>9050</v>
      </c>
      <c r="J1101" s="27" t="s">
        <v>9051</v>
      </c>
      <c r="K1101" s="27">
        <v>16000000</v>
      </c>
      <c r="L1101" s="27" t="s">
        <v>2057</v>
      </c>
      <c r="M1101" s="27" t="s">
        <v>14</v>
      </c>
    </row>
    <row r="1102" spans="1:13">
      <c r="A1102" s="27" t="s">
        <v>6705</v>
      </c>
      <c r="B1102" s="27" t="s">
        <v>94</v>
      </c>
      <c r="C1102" s="27" t="s">
        <v>9011</v>
      </c>
      <c r="D1102" s="27" t="s">
        <v>90</v>
      </c>
      <c r="E1102" s="27" t="s">
        <v>91</v>
      </c>
      <c r="F1102" s="27" t="s">
        <v>21</v>
      </c>
      <c r="G1102" s="27" t="s">
        <v>74</v>
      </c>
      <c r="H1102" s="27" t="s">
        <v>42</v>
      </c>
      <c r="I1102" s="27" t="s">
        <v>9050</v>
      </c>
      <c r="J1102" s="27" t="s">
        <v>9051</v>
      </c>
      <c r="K1102" s="27">
        <v>32000000</v>
      </c>
      <c r="L1102" s="27" t="s">
        <v>2057</v>
      </c>
      <c r="M1102" s="27" t="s">
        <v>14</v>
      </c>
    </row>
    <row r="1103" spans="1:13">
      <c r="A1103" s="27" t="s">
        <v>6705</v>
      </c>
      <c r="B1103" s="27" t="s">
        <v>95</v>
      </c>
      <c r="C1103" s="27" t="s">
        <v>9011</v>
      </c>
      <c r="D1103" s="27" t="s">
        <v>90</v>
      </c>
      <c r="E1103" s="27" t="s">
        <v>91</v>
      </c>
      <c r="F1103" s="27" t="s">
        <v>21</v>
      </c>
      <c r="G1103" s="27" t="s">
        <v>72</v>
      </c>
      <c r="H1103" s="27" t="s">
        <v>26</v>
      </c>
      <c r="I1103" s="27" t="s">
        <v>9050</v>
      </c>
      <c r="J1103" s="27" t="s">
        <v>9051</v>
      </c>
      <c r="K1103" s="27">
        <v>16000000</v>
      </c>
      <c r="L1103" s="27" t="s">
        <v>2057</v>
      </c>
      <c r="M1103" s="27" t="s">
        <v>14</v>
      </c>
    </row>
    <row r="1104" spans="1:13">
      <c r="A1104" s="27" t="s">
        <v>6705</v>
      </c>
      <c r="B1104" s="27" t="s">
        <v>96</v>
      </c>
      <c r="C1104" s="27" t="s">
        <v>9011</v>
      </c>
      <c r="D1104" s="27" t="s">
        <v>90</v>
      </c>
      <c r="E1104" s="27" t="s">
        <v>91</v>
      </c>
      <c r="F1104" s="27" t="s">
        <v>21</v>
      </c>
      <c r="G1104" s="27" t="s">
        <v>72</v>
      </c>
      <c r="H1104" s="27" t="s">
        <v>42</v>
      </c>
      <c r="I1104" s="27" t="s">
        <v>9050</v>
      </c>
      <c r="J1104" s="27" t="s">
        <v>9051</v>
      </c>
      <c r="K1104" s="27">
        <v>40000000</v>
      </c>
      <c r="L1104" s="27" t="s">
        <v>2057</v>
      </c>
      <c r="M1104" s="27" t="s">
        <v>14</v>
      </c>
    </row>
    <row r="1105" spans="1:13">
      <c r="A1105" s="27" t="s">
        <v>6705</v>
      </c>
      <c r="B1105" s="27" t="s">
        <v>97</v>
      </c>
      <c r="C1105" s="27" t="s">
        <v>9011</v>
      </c>
      <c r="D1105" s="27" t="s">
        <v>98</v>
      </c>
      <c r="E1105" s="27" t="s">
        <v>99</v>
      </c>
      <c r="F1105" s="27" t="s">
        <v>21</v>
      </c>
      <c r="G1105" s="27" t="s">
        <v>70</v>
      </c>
      <c r="H1105" s="27" t="s">
        <v>26</v>
      </c>
      <c r="I1105" s="27" t="s">
        <v>9050</v>
      </c>
      <c r="J1105" s="27" t="s">
        <v>9051</v>
      </c>
      <c r="K1105" s="27">
        <v>32000000</v>
      </c>
      <c r="L1105" s="27" t="s">
        <v>2057</v>
      </c>
      <c r="M1105" s="27" t="s">
        <v>14</v>
      </c>
    </row>
    <row r="1106" spans="1:13">
      <c r="A1106" s="27" t="s">
        <v>6705</v>
      </c>
      <c r="B1106" s="27" t="s">
        <v>100</v>
      </c>
      <c r="C1106" s="27" t="s">
        <v>9011</v>
      </c>
      <c r="D1106" s="27" t="s">
        <v>98</v>
      </c>
      <c r="E1106" s="27" t="s">
        <v>99</v>
      </c>
      <c r="F1106" s="27" t="s">
        <v>21</v>
      </c>
      <c r="G1106" s="27" t="s">
        <v>70</v>
      </c>
      <c r="H1106" s="27" t="s">
        <v>42</v>
      </c>
      <c r="I1106" s="27" t="s">
        <v>9050</v>
      </c>
      <c r="J1106" s="27" t="s">
        <v>9051</v>
      </c>
      <c r="K1106" s="27">
        <v>48000000</v>
      </c>
      <c r="L1106" s="27" t="s">
        <v>2057</v>
      </c>
      <c r="M1106" s="27" t="s">
        <v>14</v>
      </c>
    </row>
    <row r="1107" spans="1:13">
      <c r="A1107" s="27" t="s">
        <v>6705</v>
      </c>
      <c r="B1107" s="27" t="s">
        <v>101</v>
      </c>
      <c r="C1107" s="27" t="s">
        <v>9011</v>
      </c>
      <c r="D1107" s="27" t="s">
        <v>98</v>
      </c>
      <c r="E1107" s="27" t="s">
        <v>99</v>
      </c>
      <c r="F1107" s="27" t="s">
        <v>21</v>
      </c>
      <c r="G1107" s="27" t="s">
        <v>74</v>
      </c>
      <c r="H1107" s="27" t="s">
        <v>26</v>
      </c>
      <c r="I1107" s="27" t="s">
        <v>9050</v>
      </c>
      <c r="J1107" s="27" t="s">
        <v>9051</v>
      </c>
      <c r="K1107" s="27">
        <v>32000000</v>
      </c>
      <c r="L1107" s="27" t="s">
        <v>2057</v>
      </c>
      <c r="M1107" s="27" t="s">
        <v>14</v>
      </c>
    </row>
    <row r="1108" spans="1:13">
      <c r="A1108" s="27" t="s">
        <v>6705</v>
      </c>
      <c r="B1108" s="27" t="s">
        <v>102</v>
      </c>
      <c r="C1108" s="27" t="s">
        <v>9011</v>
      </c>
      <c r="D1108" s="27" t="s">
        <v>98</v>
      </c>
      <c r="E1108" s="27" t="s">
        <v>99</v>
      </c>
      <c r="F1108" s="27" t="s">
        <v>21</v>
      </c>
      <c r="G1108" s="27" t="s">
        <v>74</v>
      </c>
      <c r="H1108" s="27" t="s">
        <v>42</v>
      </c>
      <c r="I1108" s="27" t="s">
        <v>9050</v>
      </c>
      <c r="J1108" s="27" t="s">
        <v>9051</v>
      </c>
      <c r="K1108" s="27">
        <v>64000000</v>
      </c>
      <c r="L1108" s="27" t="s">
        <v>2057</v>
      </c>
      <c r="M1108" s="27" t="s">
        <v>14</v>
      </c>
    </row>
    <row r="1109" spans="1:13">
      <c r="A1109" s="27" t="s">
        <v>6705</v>
      </c>
      <c r="B1109" s="27" t="s">
        <v>103</v>
      </c>
      <c r="C1109" s="27" t="s">
        <v>9011</v>
      </c>
      <c r="D1109" s="27" t="s">
        <v>98</v>
      </c>
      <c r="E1109" s="27" t="s">
        <v>99</v>
      </c>
      <c r="F1109" s="27" t="s">
        <v>21</v>
      </c>
      <c r="G1109" s="27" t="s">
        <v>72</v>
      </c>
      <c r="H1109" s="27" t="s">
        <v>26</v>
      </c>
      <c r="I1109" s="27" t="s">
        <v>9050</v>
      </c>
      <c r="J1109" s="27" t="s">
        <v>9051</v>
      </c>
      <c r="K1109" s="27">
        <v>32000000</v>
      </c>
      <c r="L1109" s="27" t="s">
        <v>2057</v>
      </c>
      <c r="M1109" s="27" t="s">
        <v>14</v>
      </c>
    </row>
    <row r="1110" spans="1:13">
      <c r="A1110" s="27" t="s">
        <v>6705</v>
      </c>
      <c r="B1110" s="27" t="s">
        <v>104</v>
      </c>
      <c r="C1110" s="27" t="s">
        <v>9011</v>
      </c>
      <c r="D1110" s="27" t="s">
        <v>98</v>
      </c>
      <c r="E1110" s="27" t="s">
        <v>99</v>
      </c>
      <c r="F1110" s="27" t="s">
        <v>21</v>
      </c>
      <c r="G1110" s="27" t="s">
        <v>72</v>
      </c>
      <c r="H1110" s="27" t="s">
        <v>42</v>
      </c>
      <c r="I1110" s="27" t="s">
        <v>9050</v>
      </c>
      <c r="J1110" s="27" t="s">
        <v>9051</v>
      </c>
      <c r="K1110" s="27">
        <v>80000000</v>
      </c>
      <c r="L1110" s="27" t="s">
        <v>2057</v>
      </c>
      <c r="M1110" s="27" t="s">
        <v>14</v>
      </c>
    </row>
    <row r="1111" spans="1:13">
      <c r="A1111" s="27" t="s">
        <v>6705</v>
      </c>
      <c r="B1111" s="27" t="s">
        <v>105</v>
      </c>
      <c r="C1111" s="27" t="s">
        <v>9011</v>
      </c>
      <c r="D1111" s="27" t="s">
        <v>106</v>
      </c>
      <c r="E1111" s="27" t="s">
        <v>91</v>
      </c>
      <c r="F1111" s="27" t="s">
        <v>21</v>
      </c>
      <c r="G1111" s="27" t="s">
        <v>70</v>
      </c>
      <c r="H1111" s="27" t="s">
        <v>26</v>
      </c>
      <c r="I1111" s="27" t="s">
        <v>9050</v>
      </c>
      <c r="J1111" s="27" t="s">
        <v>9051</v>
      </c>
      <c r="K1111" s="27">
        <v>16000000</v>
      </c>
      <c r="L1111" s="27" t="s">
        <v>2057</v>
      </c>
      <c r="M1111" s="27" t="s">
        <v>14</v>
      </c>
    </row>
    <row r="1112" spans="1:13">
      <c r="A1112" s="27" t="s">
        <v>6705</v>
      </c>
      <c r="B1112" s="27" t="s">
        <v>107</v>
      </c>
      <c r="C1112" s="27" t="s">
        <v>9011</v>
      </c>
      <c r="D1112" s="27" t="s">
        <v>106</v>
      </c>
      <c r="E1112" s="27" t="s">
        <v>91</v>
      </c>
      <c r="F1112" s="27" t="s">
        <v>21</v>
      </c>
      <c r="G1112" s="27" t="s">
        <v>70</v>
      </c>
      <c r="H1112" s="27" t="s">
        <v>42</v>
      </c>
      <c r="I1112" s="27" t="s">
        <v>9050</v>
      </c>
      <c r="J1112" s="27" t="s">
        <v>9051</v>
      </c>
      <c r="K1112" s="27">
        <v>24000000</v>
      </c>
      <c r="L1112" s="27" t="s">
        <v>2057</v>
      </c>
      <c r="M1112" s="27" t="s">
        <v>14</v>
      </c>
    </row>
    <row r="1113" spans="1:13">
      <c r="A1113" s="27" t="s">
        <v>6705</v>
      </c>
      <c r="B1113" s="27" t="s">
        <v>108</v>
      </c>
      <c r="C1113" s="27" t="s">
        <v>9011</v>
      </c>
      <c r="D1113" s="27" t="s">
        <v>106</v>
      </c>
      <c r="E1113" s="27" t="s">
        <v>91</v>
      </c>
      <c r="F1113" s="27" t="s">
        <v>21</v>
      </c>
      <c r="G1113" s="27" t="s">
        <v>74</v>
      </c>
      <c r="H1113" s="27" t="s">
        <v>26</v>
      </c>
      <c r="I1113" s="27" t="s">
        <v>9050</v>
      </c>
      <c r="J1113" s="27" t="s">
        <v>9051</v>
      </c>
      <c r="K1113" s="27">
        <v>16000000</v>
      </c>
      <c r="L1113" s="27" t="s">
        <v>2057</v>
      </c>
      <c r="M1113" s="27" t="s">
        <v>14</v>
      </c>
    </row>
    <row r="1114" spans="1:13">
      <c r="A1114" s="27" t="s">
        <v>6705</v>
      </c>
      <c r="B1114" s="27" t="s">
        <v>109</v>
      </c>
      <c r="C1114" s="27" t="s">
        <v>9011</v>
      </c>
      <c r="D1114" s="27" t="s">
        <v>106</v>
      </c>
      <c r="E1114" s="27" t="s">
        <v>91</v>
      </c>
      <c r="F1114" s="27" t="s">
        <v>21</v>
      </c>
      <c r="G1114" s="27" t="s">
        <v>74</v>
      </c>
      <c r="H1114" s="27" t="s">
        <v>42</v>
      </c>
      <c r="I1114" s="27" t="s">
        <v>9050</v>
      </c>
      <c r="J1114" s="27" t="s">
        <v>9051</v>
      </c>
      <c r="K1114" s="27">
        <v>32000000</v>
      </c>
      <c r="L1114" s="27" t="s">
        <v>2057</v>
      </c>
      <c r="M1114" s="27" t="s">
        <v>14</v>
      </c>
    </row>
    <row r="1115" spans="1:13">
      <c r="A1115" s="27" t="s">
        <v>6705</v>
      </c>
      <c r="B1115" s="27" t="s">
        <v>110</v>
      </c>
      <c r="C1115" s="27" t="s">
        <v>9011</v>
      </c>
      <c r="D1115" s="27" t="s">
        <v>106</v>
      </c>
      <c r="E1115" s="27" t="s">
        <v>91</v>
      </c>
      <c r="F1115" s="27" t="s">
        <v>21</v>
      </c>
      <c r="G1115" s="27" t="s">
        <v>72</v>
      </c>
      <c r="H1115" s="27" t="s">
        <v>26</v>
      </c>
      <c r="I1115" s="27" t="s">
        <v>9050</v>
      </c>
      <c r="J1115" s="27" t="s">
        <v>9051</v>
      </c>
      <c r="K1115" s="27">
        <v>16000000</v>
      </c>
      <c r="L1115" s="27" t="s">
        <v>2057</v>
      </c>
      <c r="M1115" s="27" t="s">
        <v>14</v>
      </c>
    </row>
    <row r="1116" spans="1:13">
      <c r="A1116" s="27" t="s">
        <v>6705</v>
      </c>
      <c r="B1116" s="27" t="s">
        <v>111</v>
      </c>
      <c r="C1116" s="27" t="s">
        <v>9011</v>
      </c>
      <c r="D1116" s="27" t="s">
        <v>106</v>
      </c>
      <c r="E1116" s="27" t="s">
        <v>91</v>
      </c>
      <c r="F1116" s="27" t="s">
        <v>21</v>
      </c>
      <c r="G1116" s="27" t="s">
        <v>72</v>
      </c>
      <c r="H1116" s="27" t="s">
        <v>42</v>
      </c>
      <c r="I1116" s="27" t="s">
        <v>9050</v>
      </c>
      <c r="J1116" s="27" t="s">
        <v>9051</v>
      </c>
      <c r="K1116" s="27">
        <v>40000000</v>
      </c>
      <c r="L1116" s="27" t="s">
        <v>2057</v>
      </c>
      <c r="M1116" s="27" t="s">
        <v>14</v>
      </c>
    </row>
    <row r="1117" spans="1:13">
      <c r="A1117" s="27" t="s">
        <v>6705</v>
      </c>
      <c r="B1117" s="27" t="s">
        <v>112</v>
      </c>
      <c r="C1117" s="27" t="s">
        <v>9011</v>
      </c>
      <c r="D1117" s="27" t="s">
        <v>113</v>
      </c>
      <c r="E1117" s="27" t="s">
        <v>99</v>
      </c>
      <c r="F1117" s="27" t="s">
        <v>21</v>
      </c>
      <c r="G1117" s="27" t="s">
        <v>70</v>
      </c>
      <c r="H1117" s="27" t="s">
        <v>26</v>
      </c>
      <c r="I1117" s="27" t="s">
        <v>9050</v>
      </c>
      <c r="J1117" s="27" t="s">
        <v>9051</v>
      </c>
      <c r="K1117" s="27">
        <v>32000000</v>
      </c>
      <c r="L1117" s="27" t="s">
        <v>2057</v>
      </c>
      <c r="M1117" s="27" t="s">
        <v>14</v>
      </c>
    </row>
    <row r="1118" spans="1:13">
      <c r="A1118" s="27" t="s">
        <v>6705</v>
      </c>
      <c r="B1118" s="27" t="s">
        <v>114</v>
      </c>
      <c r="C1118" s="27" t="s">
        <v>9011</v>
      </c>
      <c r="D1118" s="27" t="s">
        <v>113</v>
      </c>
      <c r="E1118" s="27" t="s">
        <v>99</v>
      </c>
      <c r="F1118" s="27" t="s">
        <v>21</v>
      </c>
      <c r="G1118" s="27" t="s">
        <v>70</v>
      </c>
      <c r="H1118" s="27" t="s">
        <v>42</v>
      </c>
      <c r="I1118" s="27" t="s">
        <v>9050</v>
      </c>
      <c r="J1118" s="27" t="s">
        <v>9051</v>
      </c>
      <c r="K1118" s="27">
        <v>48000000</v>
      </c>
      <c r="L1118" s="27" t="s">
        <v>2057</v>
      </c>
      <c r="M1118" s="27" t="s">
        <v>14</v>
      </c>
    </row>
    <row r="1119" spans="1:13">
      <c r="A1119" s="27" t="s">
        <v>6705</v>
      </c>
      <c r="B1119" s="27" t="s">
        <v>115</v>
      </c>
      <c r="C1119" s="27" t="s">
        <v>9011</v>
      </c>
      <c r="D1119" s="27" t="s">
        <v>113</v>
      </c>
      <c r="E1119" s="27" t="s">
        <v>99</v>
      </c>
      <c r="F1119" s="27" t="s">
        <v>21</v>
      </c>
      <c r="G1119" s="27" t="s">
        <v>74</v>
      </c>
      <c r="H1119" s="27" t="s">
        <v>26</v>
      </c>
      <c r="I1119" s="27" t="s">
        <v>9050</v>
      </c>
      <c r="J1119" s="27" t="s">
        <v>9051</v>
      </c>
      <c r="K1119" s="27">
        <v>32000000</v>
      </c>
      <c r="L1119" s="27" t="s">
        <v>2057</v>
      </c>
      <c r="M1119" s="27" t="s">
        <v>14</v>
      </c>
    </row>
    <row r="1120" spans="1:13">
      <c r="A1120" s="27" t="s">
        <v>6705</v>
      </c>
      <c r="B1120" s="27" t="s">
        <v>116</v>
      </c>
      <c r="C1120" s="27" t="s">
        <v>9011</v>
      </c>
      <c r="D1120" s="27" t="s">
        <v>113</v>
      </c>
      <c r="E1120" s="27" t="s">
        <v>99</v>
      </c>
      <c r="F1120" s="27" t="s">
        <v>21</v>
      </c>
      <c r="G1120" s="27" t="s">
        <v>74</v>
      </c>
      <c r="H1120" s="27" t="s">
        <v>42</v>
      </c>
      <c r="I1120" s="27" t="s">
        <v>9050</v>
      </c>
      <c r="J1120" s="27" t="s">
        <v>9051</v>
      </c>
      <c r="K1120" s="27">
        <v>64000000</v>
      </c>
      <c r="L1120" s="27" t="s">
        <v>2057</v>
      </c>
      <c r="M1120" s="27" t="s">
        <v>14</v>
      </c>
    </row>
    <row r="1121" spans="1:13">
      <c r="A1121" s="27" t="s">
        <v>6705</v>
      </c>
      <c r="B1121" s="27" t="s">
        <v>117</v>
      </c>
      <c r="C1121" s="27" t="s">
        <v>9011</v>
      </c>
      <c r="D1121" s="27" t="s">
        <v>113</v>
      </c>
      <c r="E1121" s="27" t="s">
        <v>99</v>
      </c>
      <c r="F1121" s="27" t="s">
        <v>21</v>
      </c>
      <c r="G1121" s="27" t="s">
        <v>72</v>
      </c>
      <c r="H1121" s="27" t="s">
        <v>26</v>
      </c>
      <c r="I1121" s="27" t="s">
        <v>9050</v>
      </c>
      <c r="J1121" s="27" t="s">
        <v>9051</v>
      </c>
      <c r="K1121" s="27">
        <v>32000000</v>
      </c>
      <c r="L1121" s="27" t="s">
        <v>2057</v>
      </c>
      <c r="M1121" s="27" t="s">
        <v>14</v>
      </c>
    </row>
    <row r="1122" spans="1:13">
      <c r="A1122" s="27" t="s">
        <v>6705</v>
      </c>
      <c r="B1122" s="27" t="s">
        <v>118</v>
      </c>
      <c r="C1122" s="27" t="s">
        <v>9011</v>
      </c>
      <c r="D1122" s="27" t="s">
        <v>113</v>
      </c>
      <c r="E1122" s="27" t="s">
        <v>99</v>
      </c>
      <c r="F1122" s="27" t="s">
        <v>21</v>
      </c>
      <c r="G1122" s="27" t="s">
        <v>72</v>
      </c>
      <c r="H1122" s="27" t="s">
        <v>42</v>
      </c>
      <c r="I1122" s="27" t="s">
        <v>9050</v>
      </c>
      <c r="J1122" s="27" t="s">
        <v>9051</v>
      </c>
      <c r="K1122" s="27">
        <v>80000000</v>
      </c>
      <c r="L1122" s="27" t="s">
        <v>2057</v>
      </c>
      <c r="M1122" s="27" t="s">
        <v>14</v>
      </c>
    </row>
    <row r="1123" spans="1:13">
      <c r="A1123" s="27" t="s">
        <v>6705</v>
      </c>
      <c r="B1123" s="27" t="s">
        <v>119</v>
      </c>
      <c r="C1123" s="27" t="s">
        <v>9011</v>
      </c>
      <c r="D1123" s="27" t="s">
        <v>632</v>
      </c>
      <c r="E1123" s="27" t="s">
        <v>133</v>
      </c>
      <c r="F1123" s="27" t="s">
        <v>21</v>
      </c>
      <c r="G1123" s="27" t="s">
        <v>70</v>
      </c>
      <c r="H1123" s="27" t="s">
        <v>26</v>
      </c>
      <c r="I1123" s="27" t="s">
        <v>9052</v>
      </c>
      <c r="J1123" s="27" t="s">
        <v>9051</v>
      </c>
      <c r="K1123" s="27">
        <v>200000</v>
      </c>
      <c r="L1123" s="27" t="s">
        <v>2057</v>
      </c>
      <c r="M1123" s="27" t="s">
        <v>14</v>
      </c>
    </row>
    <row r="1124" spans="1:13">
      <c r="A1124" s="27" t="s">
        <v>6705</v>
      </c>
      <c r="B1124" s="27" t="s">
        <v>121</v>
      </c>
      <c r="C1124" s="27" t="s">
        <v>9011</v>
      </c>
      <c r="D1124" s="27" t="s">
        <v>632</v>
      </c>
      <c r="E1124" s="27" t="s">
        <v>133</v>
      </c>
      <c r="F1124" s="27" t="s">
        <v>21</v>
      </c>
      <c r="G1124" s="27" t="s">
        <v>70</v>
      </c>
      <c r="H1124" s="27" t="s">
        <v>42</v>
      </c>
      <c r="I1124" s="27" t="s">
        <v>9052</v>
      </c>
      <c r="J1124" s="27" t="s">
        <v>9051</v>
      </c>
      <c r="K1124" s="27">
        <v>300000</v>
      </c>
      <c r="L1124" s="27" t="s">
        <v>2057</v>
      </c>
      <c r="M1124" s="27" t="s">
        <v>14</v>
      </c>
    </row>
    <row r="1125" spans="1:13">
      <c r="A1125" s="27" t="s">
        <v>6705</v>
      </c>
      <c r="B1125" s="27" t="s">
        <v>122</v>
      </c>
      <c r="C1125" s="27" t="s">
        <v>9011</v>
      </c>
      <c r="D1125" s="27" t="s">
        <v>632</v>
      </c>
      <c r="E1125" s="27" t="s">
        <v>133</v>
      </c>
      <c r="F1125" s="27" t="s">
        <v>21</v>
      </c>
      <c r="G1125" s="27" t="s">
        <v>74</v>
      </c>
      <c r="H1125" s="27" t="s">
        <v>26</v>
      </c>
      <c r="I1125" s="27" t="s">
        <v>9052</v>
      </c>
      <c r="J1125" s="27" t="s">
        <v>9051</v>
      </c>
      <c r="K1125" s="27">
        <v>200000</v>
      </c>
      <c r="L1125" s="27" t="s">
        <v>2057</v>
      </c>
      <c r="M1125" s="27" t="s">
        <v>14</v>
      </c>
    </row>
    <row r="1126" spans="1:13">
      <c r="A1126" s="27" t="s">
        <v>6705</v>
      </c>
      <c r="B1126" s="27" t="s">
        <v>123</v>
      </c>
      <c r="C1126" s="27" t="s">
        <v>9011</v>
      </c>
      <c r="D1126" s="27" t="s">
        <v>632</v>
      </c>
      <c r="E1126" s="27" t="s">
        <v>133</v>
      </c>
      <c r="F1126" s="27" t="s">
        <v>21</v>
      </c>
      <c r="G1126" s="27" t="s">
        <v>74</v>
      </c>
      <c r="H1126" s="27" t="s">
        <v>42</v>
      </c>
      <c r="I1126" s="27" t="s">
        <v>9052</v>
      </c>
      <c r="J1126" s="27" t="s">
        <v>9051</v>
      </c>
      <c r="K1126" s="27">
        <v>400000</v>
      </c>
      <c r="L1126" s="27" t="s">
        <v>2057</v>
      </c>
      <c r="M1126" s="27" t="s">
        <v>14</v>
      </c>
    </row>
    <row r="1127" spans="1:13">
      <c r="A1127" s="27" t="s">
        <v>6705</v>
      </c>
      <c r="B1127" s="27" t="s">
        <v>124</v>
      </c>
      <c r="C1127" s="27" t="s">
        <v>9011</v>
      </c>
      <c r="D1127" s="27" t="s">
        <v>632</v>
      </c>
      <c r="E1127" s="27" t="s">
        <v>133</v>
      </c>
      <c r="F1127" s="27" t="s">
        <v>21</v>
      </c>
      <c r="G1127" s="27" t="s">
        <v>72</v>
      </c>
      <c r="H1127" s="27" t="s">
        <v>26</v>
      </c>
      <c r="I1127" s="27" t="s">
        <v>9052</v>
      </c>
      <c r="J1127" s="27" t="s">
        <v>9051</v>
      </c>
      <c r="K1127" s="27">
        <v>200000</v>
      </c>
      <c r="L1127" s="27" t="s">
        <v>2057</v>
      </c>
      <c r="M1127" s="27" t="s">
        <v>14</v>
      </c>
    </row>
    <row r="1128" spans="1:13">
      <c r="A1128" s="27" t="s">
        <v>6705</v>
      </c>
      <c r="B1128" s="27" t="s">
        <v>125</v>
      </c>
      <c r="C1128" s="27" t="s">
        <v>9011</v>
      </c>
      <c r="D1128" s="27" t="s">
        <v>632</v>
      </c>
      <c r="E1128" s="27" t="s">
        <v>133</v>
      </c>
      <c r="F1128" s="27" t="s">
        <v>21</v>
      </c>
      <c r="G1128" s="27" t="s">
        <v>72</v>
      </c>
      <c r="H1128" s="27" t="s">
        <v>42</v>
      </c>
      <c r="I1128" s="27" t="s">
        <v>9052</v>
      </c>
      <c r="J1128" s="27" t="s">
        <v>9051</v>
      </c>
      <c r="K1128" s="27">
        <v>500000</v>
      </c>
      <c r="L1128" s="27" t="s">
        <v>2057</v>
      </c>
      <c r="M1128" s="27" t="s">
        <v>14</v>
      </c>
    </row>
    <row r="1129" spans="1:13">
      <c r="A1129" s="27" t="s">
        <v>6705</v>
      </c>
      <c r="B1129" s="27" t="s">
        <v>126</v>
      </c>
      <c r="C1129" s="27" t="s">
        <v>9011</v>
      </c>
      <c r="D1129" s="27" t="s">
        <v>633</v>
      </c>
      <c r="E1129" s="27" t="s">
        <v>128</v>
      </c>
      <c r="F1129" s="27" t="s">
        <v>21</v>
      </c>
      <c r="G1129" s="27" t="s">
        <v>70</v>
      </c>
      <c r="H1129" s="27" t="s">
        <v>42</v>
      </c>
      <c r="I1129" s="27" t="s">
        <v>2390</v>
      </c>
      <c r="J1129" s="27" t="s">
        <v>9051</v>
      </c>
      <c r="K1129" s="27">
        <v>15200000</v>
      </c>
      <c r="L1129" s="27" t="s">
        <v>2057</v>
      </c>
      <c r="M1129" s="27" t="s">
        <v>14</v>
      </c>
    </row>
    <row r="1130" spans="1:13">
      <c r="A1130" s="27" t="s">
        <v>6705</v>
      </c>
      <c r="B1130" s="27" t="s">
        <v>129</v>
      </c>
      <c r="C1130" s="27" t="s">
        <v>9011</v>
      </c>
      <c r="D1130" s="27" t="s">
        <v>633</v>
      </c>
      <c r="E1130" s="27" t="s">
        <v>128</v>
      </c>
      <c r="F1130" s="27" t="s">
        <v>21</v>
      </c>
      <c r="G1130" s="27" t="s">
        <v>74</v>
      </c>
      <c r="H1130" s="27" t="s">
        <v>42</v>
      </c>
      <c r="I1130" s="27" t="s">
        <v>2390</v>
      </c>
      <c r="J1130" s="27" t="s">
        <v>9051</v>
      </c>
      <c r="K1130" s="27">
        <v>19760000</v>
      </c>
      <c r="L1130" s="27" t="s">
        <v>2057</v>
      </c>
      <c r="M1130" s="27" t="s">
        <v>14</v>
      </c>
    </row>
    <row r="1131" spans="1:13">
      <c r="A1131" s="27" t="s">
        <v>6705</v>
      </c>
      <c r="B1131" s="27" t="s">
        <v>130</v>
      </c>
      <c r="C1131" s="27" t="s">
        <v>9011</v>
      </c>
      <c r="D1131" s="27" t="s">
        <v>633</v>
      </c>
      <c r="E1131" s="27" t="s">
        <v>128</v>
      </c>
      <c r="F1131" s="27" t="s">
        <v>21</v>
      </c>
      <c r="G1131" s="27" t="s">
        <v>72</v>
      </c>
      <c r="H1131" s="27" t="s">
        <v>42</v>
      </c>
      <c r="I1131" s="27" t="s">
        <v>2390</v>
      </c>
      <c r="J1131" s="27" t="s">
        <v>9051</v>
      </c>
      <c r="K1131" s="27">
        <v>22800000</v>
      </c>
      <c r="L1131" s="27" t="s">
        <v>2057</v>
      </c>
      <c r="M1131" s="27" t="s">
        <v>14</v>
      </c>
    </row>
    <row r="1132" spans="1:13">
      <c r="A1132" s="27" t="s">
        <v>6705</v>
      </c>
      <c r="B1132" s="27" t="s">
        <v>131</v>
      </c>
      <c r="C1132" s="27" t="s">
        <v>9011</v>
      </c>
      <c r="D1132" s="27" t="s">
        <v>634</v>
      </c>
      <c r="E1132" s="27" t="s">
        <v>133</v>
      </c>
      <c r="F1132" s="27" t="s">
        <v>21</v>
      </c>
      <c r="G1132" s="27" t="s">
        <v>70</v>
      </c>
      <c r="H1132" s="27" t="s">
        <v>26</v>
      </c>
      <c r="I1132" s="27" t="s">
        <v>9053</v>
      </c>
      <c r="J1132" s="27" t="s">
        <v>9051</v>
      </c>
      <c r="K1132" s="27">
        <v>200000</v>
      </c>
      <c r="L1132" s="27" t="s">
        <v>2057</v>
      </c>
      <c r="M1132" s="27" t="s">
        <v>14</v>
      </c>
    </row>
    <row r="1133" spans="1:13">
      <c r="A1133" s="27" t="s">
        <v>6705</v>
      </c>
      <c r="B1133" s="27" t="s">
        <v>134</v>
      </c>
      <c r="C1133" s="27" t="s">
        <v>9011</v>
      </c>
      <c r="D1133" s="27" t="s">
        <v>634</v>
      </c>
      <c r="E1133" s="27" t="s">
        <v>133</v>
      </c>
      <c r="F1133" s="27" t="s">
        <v>21</v>
      </c>
      <c r="G1133" s="27" t="s">
        <v>70</v>
      </c>
      <c r="H1133" s="27" t="s">
        <v>42</v>
      </c>
      <c r="I1133" s="27" t="s">
        <v>9053</v>
      </c>
      <c r="J1133" s="27" t="s">
        <v>9051</v>
      </c>
      <c r="K1133" s="27">
        <v>300000</v>
      </c>
      <c r="L1133" s="27" t="s">
        <v>2057</v>
      </c>
      <c r="M1133" s="27" t="s">
        <v>14</v>
      </c>
    </row>
    <row r="1134" spans="1:13">
      <c r="A1134" s="27" t="s">
        <v>6705</v>
      </c>
      <c r="B1134" s="27" t="s">
        <v>135</v>
      </c>
      <c r="C1134" s="27" t="s">
        <v>9011</v>
      </c>
      <c r="D1134" s="27" t="s">
        <v>634</v>
      </c>
      <c r="E1134" s="27" t="s">
        <v>133</v>
      </c>
      <c r="F1134" s="27" t="s">
        <v>21</v>
      </c>
      <c r="G1134" s="27" t="s">
        <v>74</v>
      </c>
      <c r="H1134" s="27" t="s">
        <v>26</v>
      </c>
      <c r="I1134" s="27" t="s">
        <v>9053</v>
      </c>
      <c r="J1134" s="27" t="s">
        <v>9051</v>
      </c>
      <c r="K1134" s="27">
        <v>200000</v>
      </c>
      <c r="L1134" s="27" t="s">
        <v>2057</v>
      </c>
      <c r="M1134" s="27" t="s">
        <v>14</v>
      </c>
    </row>
    <row r="1135" spans="1:13">
      <c r="A1135" s="27" t="s">
        <v>6705</v>
      </c>
      <c r="B1135" s="27" t="s">
        <v>136</v>
      </c>
      <c r="C1135" s="27" t="s">
        <v>9011</v>
      </c>
      <c r="D1135" s="27" t="s">
        <v>634</v>
      </c>
      <c r="E1135" s="27" t="s">
        <v>133</v>
      </c>
      <c r="F1135" s="27" t="s">
        <v>21</v>
      </c>
      <c r="G1135" s="27" t="s">
        <v>74</v>
      </c>
      <c r="H1135" s="27" t="s">
        <v>42</v>
      </c>
      <c r="I1135" s="27" t="s">
        <v>9053</v>
      </c>
      <c r="J1135" s="27" t="s">
        <v>9051</v>
      </c>
      <c r="K1135" s="27">
        <v>400000</v>
      </c>
      <c r="L1135" s="27" t="s">
        <v>2057</v>
      </c>
      <c r="M1135" s="27" t="s">
        <v>14</v>
      </c>
    </row>
    <row r="1136" spans="1:13">
      <c r="A1136" s="27" t="s">
        <v>6705</v>
      </c>
      <c r="B1136" s="27" t="s">
        <v>137</v>
      </c>
      <c r="C1136" s="27" t="s">
        <v>9011</v>
      </c>
      <c r="D1136" s="27" t="s">
        <v>634</v>
      </c>
      <c r="E1136" s="27" t="s">
        <v>133</v>
      </c>
      <c r="F1136" s="27" t="s">
        <v>21</v>
      </c>
      <c r="G1136" s="27" t="s">
        <v>72</v>
      </c>
      <c r="H1136" s="27" t="s">
        <v>26</v>
      </c>
      <c r="I1136" s="27" t="s">
        <v>9053</v>
      </c>
      <c r="J1136" s="27" t="s">
        <v>9051</v>
      </c>
      <c r="K1136" s="27">
        <v>200000</v>
      </c>
      <c r="L1136" s="27" t="s">
        <v>2057</v>
      </c>
      <c r="M1136" s="27" t="s">
        <v>14</v>
      </c>
    </row>
    <row r="1137" spans="1:13">
      <c r="A1137" s="27" t="s">
        <v>6705</v>
      </c>
      <c r="B1137" s="27" t="s">
        <v>138</v>
      </c>
      <c r="C1137" s="27" t="s">
        <v>9011</v>
      </c>
      <c r="D1137" s="27" t="s">
        <v>634</v>
      </c>
      <c r="E1137" s="27" t="s">
        <v>133</v>
      </c>
      <c r="F1137" s="27" t="s">
        <v>21</v>
      </c>
      <c r="G1137" s="27" t="s">
        <v>72</v>
      </c>
      <c r="H1137" s="27" t="s">
        <v>42</v>
      </c>
      <c r="I1137" s="27" t="s">
        <v>9053</v>
      </c>
      <c r="J1137" s="27" t="s">
        <v>9051</v>
      </c>
      <c r="K1137" s="27">
        <v>500000</v>
      </c>
      <c r="L1137" s="27" t="s">
        <v>2057</v>
      </c>
      <c r="M1137" s="27" t="s">
        <v>14</v>
      </c>
    </row>
    <row r="1138" spans="1:13">
      <c r="A1138" s="27" t="s">
        <v>6705</v>
      </c>
      <c r="B1138" s="27" t="s">
        <v>139</v>
      </c>
      <c r="C1138" s="27" t="s">
        <v>9011</v>
      </c>
      <c r="D1138" s="27" t="s">
        <v>635</v>
      </c>
      <c r="E1138" s="27" t="s">
        <v>437</v>
      </c>
      <c r="F1138" s="27" t="s">
        <v>21</v>
      </c>
      <c r="G1138" s="27" t="s">
        <v>70</v>
      </c>
      <c r="H1138" s="27" t="s">
        <v>26</v>
      </c>
      <c r="I1138" s="27" t="s">
        <v>9052</v>
      </c>
      <c r="J1138" s="27" t="s">
        <v>9051</v>
      </c>
      <c r="K1138" s="27">
        <v>11000</v>
      </c>
      <c r="L1138" s="27" t="s">
        <v>2057</v>
      </c>
      <c r="M1138" s="27" t="s">
        <v>14</v>
      </c>
    </row>
    <row r="1139" spans="1:13">
      <c r="A1139" s="27" t="s">
        <v>6705</v>
      </c>
      <c r="B1139" s="27" t="s">
        <v>142</v>
      </c>
      <c r="C1139" s="27" t="s">
        <v>9011</v>
      </c>
      <c r="D1139" s="27" t="s">
        <v>635</v>
      </c>
      <c r="E1139" s="27" t="s">
        <v>437</v>
      </c>
      <c r="F1139" s="27" t="s">
        <v>21</v>
      </c>
      <c r="G1139" s="27" t="s">
        <v>70</v>
      </c>
      <c r="H1139" s="27" t="s">
        <v>42</v>
      </c>
      <c r="I1139" s="27" t="s">
        <v>9052</v>
      </c>
      <c r="J1139" s="27" t="s">
        <v>9051</v>
      </c>
      <c r="K1139" s="27">
        <v>22000</v>
      </c>
      <c r="L1139" s="27" t="s">
        <v>2057</v>
      </c>
      <c r="M1139" s="27" t="s">
        <v>14</v>
      </c>
    </row>
    <row r="1140" spans="1:13">
      <c r="A1140" s="27" t="s">
        <v>6705</v>
      </c>
      <c r="B1140" s="27" t="s">
        <v>143</v>
      </c>
      <c r="C1140" s="27" t="s">
        <v>9011</v>
      </c>
      <c r="D1140" s="27" t="s">
        <v>635</v>
      </c>
      <c r="E1140" s="27" t="s">
        <v>437</v>
      </c>
      <c r="F1140" s="27" t="s">
        <v>21</v>
      </c>
      <c r="G1140" s="27" t="s">
        <v>74</v>
      </c>
      <c r="H1140" s="27" t="s">
        <v>26</v>
      </c>
      <c r="I1140" s="27" t="s">
        <v>9052</v>
      </c>
      <c r="J1140" s="27" t="s">
        <v>9051</v>
      </c>
      <c r="K1140" s="27">
        <v>11000</v>
      </c>
      <c r="L1140" s="27" t="s">
        <v>2057</v>
      </c>
      <c r="M1140" s="27" t="s">
        <v>14</v>
      </c>
    </row>
    <row r="1141" spans="1:13">
      <c r="A1141" s="27" t="s">
        <v>6705</v>
      </c>
      <c r="B1141" s="27" t="s">
        <v>144</v>
      </c>
      <c r="C1141" s="27" t="s">
        <v>9011</v>
      </c>
      <c r="D1141" s="27" t="s">
        <v>635</v>
      </c>
      <c r="E1141" s="27" t="s">
        <v>437</v>
      </c>
      <c r="F1141" s="27" t="s">
        <v>21</v>
      </c>
      <c r="G1141" s="27" t="s">
        <v>74</v>
      </c>
      <c r="H1141" s="27" t="s">
        <v>42</v>
      </c>
      <c r="I1141" s="27" t="s">
        <v>9052</v>
      </c>
      <c r="J1141" s="27" t="s">
        <v>9051</v>
      </c>
      <c r="K1141" s="27">
        <v>22000</v>
      </c>
      <c r="L1141" s="27" t="s">
        <v>2057</v>
      </c>
      <c r="M1141" s="27" t="s">
        <v>14</v>
      </c>
    </row>
    <row r="1142" spans="1:13">
      <c r="A1142" s="27" t="s">
        <v>6705</v>
      </c>
      <c r="B1142" s="27" t="s">
        <v>145</v>
      </c>
      <c r="C1142" s="27" t="s">
        <v>9011</v>
      </c>
      <c r="D1142" s="27" t="s">
        <v>635</v>
      </c>
      <c r="E1142" s="27" t="s">
        <v>437</v>
      </c>
      <c r="F1142" s="27" t="s">
        <v>21</v>
      </c>
      <c r="G1142" s="27" t="s">
        <v>72</v>
      </c>
      <c r="H1142" s="27" t="s">
        <v>26</v>
      </c>
      <c r="I1142" s="27" t="s">
        <v>9052</v>
      </c>
      <c r="J1142" s="27" t="s">
        <v>9051</v>
      </c>
      <c r="K1142" s="27">
        <v>11000</v>
      </c>
      <c r="L1142" s="27" t="s">
        <v>2057</v>
      </c>
      <c r="M1142" s="27" t="s">
        <v>14</v>
      </c>
    </row>
    <row r="1143" spans="1:13">
      <c r="A1143" s="27" t="s">
        <v>6705</v>
      </c>
      <c r="B1143" s="27" t="s">
        <v>146</v>
      </c>
      <c r="C1143" s="27" t="s">
        <v>9011</v>
      </c>
      <c r="D1143" s="27" t="s">
        <v>635</v>
      </c>
      <c r="E1143" s="27" t="s">
        <v>437</v>
      </c>
      <c r="F1143" s="27" t="s">
        <v>21</v>
      </c>
      <c r="G1143" s="27" t="s">
        <v>72</v>
      </c>
      <c r="H1143" s="27" t="s">
        <v>42</v>
      </c>
      <c r="I1143" s="27" t="s">
        <v>9052</v>
      </c>
      <c r="J1143" s="27" t="s">
        <v>9051</v>
      </c>
      <c r="K1143" s="27">
        <v>25000</v>
      </c>
      <c r="L1143" s="27" t="s">
        <v>2057</v>
      </c>
      <c r="M1143" s="27" t="s">
        <v>14</v>
      </c>
    </row>
    <row r="1144" spans="1:13">
      <c r="A1144" s="27" t="s">
        <v>6705</v>
      </c>
      <c r="B1144" s="27" t="s">
        <v>147</v>
      </c>
      <c r="C1144" s="27" t="s">
        <v>9011</v>
      </c>
      <c r="D1144" s="27" t="s">
        <v>636</v>
      </c>
      <c r="E1144" s="27" t="s">
        <v>128</v>
      </c>
      <c r="F1144" s="27" t="s">
        <v>21</v>
      </c>
      <c r="G1144" s="27" t="s">
        <v>70</v>
      </c>
      <c r="H1144" s="27" t="s">
        <v>42</v>
      </c>
      <c r="I1144" s="27" t="s">
        <v>9054</v>
      </c>
      <c r="J1144" s="27" t="s">
        <v>9051</v>
      </c>
      <c r="K1144" s="27">
        <v>15200000</v>
      </c>
      <c r="L1144" s="27" t="s">
        <v>2057</v>
      </c>
      <c r="M1144" s="27" t="s">
        <v>14</v>
      </c>
    </row>
    <row r="1145" spans="1:13">
      <c r="A1145" s="27" t="s">
        <v>6705</v>
      </c>
      <c r="B1145" s="27" t="s">
        <v>149</v>
      </c>
      <c r="C1145" s="27" t="s">
        <v>9011</v>
      </c>
      <c r="D1145" s="27" t="s">
        <v>636</v>
      </c>
      <c r="E1145" s="27" t="s">
        <v>128</v>
      </c>
      <c r="F1145" s="27" t="s">
        <v>21</v>
      </c>
      <c r="G1145" s="27" t="s">
        <v>74</v>
      </c>
      <c r="H1145" s="27" t="s">
        <v>42</v>
      </c>
      <c r="I1145" s="27" t="s">
        <v>9054</v>
      </c>
      <c r="J1145" s="27" t="s">
        <v>9051</v>
      </c>
      <c r="K1145" s="27">
        <v>19760000</v>
      </c>
      <c r="L1145" s="27" t="s">
        <v>2057</v>
      </c>
      <c r="M1145" s="27" t="s">
        <v>14</v>
      </c>
    </row>
    <row r="1146" spans="1:13">
      <c r="A1146" s="27" t="s">
        <v>6705</v>
      </c>
      <c r="B1146" s="27" t="s">
        <v>150</v>
      </c>
      <c r="C1146" s="27" t="s">
        <v>9011</v>
      </c>
      <c r="D1146" s="27" t="s">
        <v>636</v>
      </c>
      <c r="E1146" s="27" t="s">
        <v>128</v>
      </c>
      <c r="F1146" s="27" t="s">
        <v>21</v>
      </c>
      <c r="G1146" s="27" t="s">
        <v>72</v>
      </c>
      <c r="H1146" s="27" t="s">
        <v>42</v>
      </c>
      <c r="I1146" s="27" t="s">
        <v>9054</v>
      </c>
      <c r="J1146" s="27" t="s">
        <v>9051</v>
      </c>
      <c r="K1146" s="27">
        <v>22800000</v>
      </c>
      <c r="L1146" s="27" t="s">
        <v>2057</v>
      </c>
      <c r="M1146" s="27" t="s">
        <v>14</v>
      </c>
    </row>
    <row r="1147" spans="1:13">
      <c r="A1147" s="27" t="s">
        <v>6705</v>
      </c>
      <c r="B1147" s="27" t="s">
        <v>151</v>
      </c>
      <c r="C1147" s="27" t="s">
        <v>9011</v>
      </c>
      <c r="D1147" s="27" t="s">
        <v>637</v>
      </c>
      <c r="E1147" s="27" t="s">
        <v>29</v>
      </c>
      <c r="F1147" s="27" t="s">
        <v>21</v>
      </c>
      <c r="G1147" s="27" t="s">
        <v>74</v>
      </c>
      <c r="H1147" s="27" t="s">
        <v>26</v>
      </c>
      <c r="I1147" s="27" t="s">
        <v>9054</v>
      </c>
      <c r="J1147" s="27" t="s">
        <v>9051</v>
      </c>
      <c r="K1147" s="27">
        <v>160000</v>
      </c>
      <c r="L1147" s="27" t="s">
        <v>2057</v>
      </c>
      <c r="M1147" s="27" t="s">
        <v>14</v>
      </c>
    </row>
    <row r="1148" spans="1:13">
      <c r="A1148" s="27" t="s">
        <v>6705</v>
      </c>
      <c r="B1148" s="27" t="s">
        <v>153</v>
      </c>
      <c r="C1148" s="27" t="s">
        <v>9011</v>
      </c>
      <c r="D1148" s="27" t="s">
        <v>637</v>
      </c>
      <c r="E1148" s="27" t="s">
        <v>29</v>
      </c>
      <c r="F1148" s="27" t="s">
        <v>21</v>
      </c>
      <c r="G1148" s="27" t="s">
        <v>74</v>
      </c>
      <c r="H1148" s="27" t="s">
        <v>42</v>
      </c>
      <c r="I1148" s="27" t="s">
        <v>9054</v>
      </c>
      <c r="J1148" s="27" t="s">
        <v>9051</v>
      </c>
      <c r="K1148" s="27">
        <v>320000</v>
      </c>
      <c r="L1148" s="27" t="s">
        <v>2057</v>
      </c>
      <c r="M1148" s="27" t="s">
        <v>14</v>
      </c>
    </row>
    <row r="1149" spans="1:13">
      <c r="A1149" s="27" t="s">
        <v>6705</v>
      </c>
      <c r="B1149" s="27" t="s">
        <v>154</v>
      </c>
      <c r="C1149" s="27" t="s">
        <v>9011</v>
      </c>
      <c r="D1149" s="27" t="s">
        <v>637</v>
      </c>
      <c r="E1149" s="27" t="s">
        <v>29</v>
      </c>
      <c r="F1149" s="27" t="s">
        <v>21</v>
      </c>
      <c r="G1149" s="27" t="s">
        <v>70</v>
      </c>
      <c r="H1149" s="27" t="s">
        <v>26</v>
      </c>
      <c r="I1149" s="27" t="s">
        <v>9054</v>
      </c>
      <c r="J1149" s="27" t="s">
        <v>9051</v>
      </c>
      <c r="K1149" s="27">
        <v>160000</v>
      </c>
      <c r="L1149" s="27" t="s">
        <v>2057</v>
      </c>
      <c r="M1149" s="27" t="s">
        <v>14</v>
      </c>
    </row>
    <row r="1150" spans="1:13">
      <c r="A1150" s="27" t="s">
        <v>6705</v>
      </c>
      <c r="B1150" s="27" t="s">
        <v>155</v>
      </c>
      <c r="C1150" s="27" t="s">
        <v>9011</v>
      </c>
      <c r="D1150" s="27" t="s">
        <v>637</v>
      </c>
      <c r="E1150" s="27" t="s">
        <v>29</v>
      </c>
      <c r="F1150" s="27" t="s">
        <v>21</v>
      </c>
      <c r="G1150" s="27" t="s">
        <v>72</v>
      </c>
      <c r="H1150" s="27" t="s">
        <v>26</v>
      </c>
      <c r="I1150" s="27" t="s">
        <v>9054</v>
      </c>
      <c r="J1150" s="27" t="s">
        <v>9051</v>
      </c>
      <c r="K1150" s="27">
        <v>160000</v>
      </c>
      <c r="L1150" s="27" t="s">
        <v>2057</v>
      </c>
      <c r="M1150" s="27" t="s">
        <v>14</v>
      </c>
    </row>
    <row r="1151" spans="1:13">
      <c r="A1151" s="27" t="s">
        <v>6705</v>
      </c>
      <c r="B1151" s="27" t="s">
        <v>156</v>
      </c>
      <c r="C1151" s="27" t="s">
        <v>9011</v>
      </c>
      <c r="D1151" s="27" t="s">
        <v>637</v>
      </c>
      <c r="E1151" s="27" t="s">
        <v>29</v>
      </c>
      <c r="F1151" s="27" t="s">
        <v>21</v>
      </c>
      <c r="G1151" s="27" t="s">
        <v>72</v>
      </c>
      <c r="H1151" s="27" t="s">
        <v>42</v>
      </c>
      <c r="I1151" s="27" t="s">
        <v>9054</v>
      </c>
      <c r="J1151" s="27" t="s">
        <v>9051</v>
      </c>
      <c r="K1151" s="27">
        <v>400000</v>
      </c>
      <c r="L1151" s="27" t="s">
        <v>2057</v>
      </c>
      <c r="M1151" s="27" t="s">
        <v>14</v>
      </c>
    </row>
    <row r="1152" spans="1:13">
      <c r="A1152" s="27" t="s">
        <v>6705</v>
      </c>
      <c r="B1152" s="27" t="s">
        <v>157</v>
      </c>
      <c r="C1152" s="27" t="s">
        <v>9011</v>
      </c>
      <c r="D1152" s="27" t="s">
        <v>637</v>
      </c>
      <c r="E1152" s="27" t="s">
        <v>29</v>
      </c>
      <c r="F1152" s="27" t="s">
        <v>21</v>
      </c>
      <c r="G1152" s="27" t="s">
        <v>70</v>
      </c>
      <c r="H1152" s="27" t="s">
        <v>42</v>
      </c>
      <c r="I1152" s="27" t="s">
        <v>9054</v>
      </c>
      <c r="J1152" s="27" t="s">
        <v>9051</v>
      </c>
      <c r="K1152" s="27">
        <v>240000</v>
      </c>
      <c r="L1152" s="27" t="s">
        <v>2057</v>
      </c>
      <c r="M1152" s="27" t="s">
        <v>14</v>
      </c>
    </row>
    <row r="1153" spans="1:13">
      <c r="A1153" s="27" t="s">
        <v>6705</v>
      </c>
      <c r="B1153" s="27" t="s">
        <v>158</v>
      </c>
      <c r="C1153" s="27" t="s">
        <v>9011</v>
      </c>
      <c r="D1153" s="27" t="s">
        <v>638</v>
      </c>
      <c r="E1153" s="27" t="s">
        <v>29</v>
      </c>
      <c r="F1153" s="27" t="s">
        <v>21</v>
      </c>
      <c r="G1153" s="27" t="s">
        <v>70</v>
      </c>
      <c r="H1153" s="27" t="s">
        <v>42</v>
      </c>
      <c r="I1153" s="27" t="s">
        <v>9054</v>
      </c>
      <c r="J1153" s="27" t="s">
        <v>9051</v>
      </c>
      <c r="K1153" s="27">
        <v>300000</v>
      </c>
      <c r="L1153" s="27" t="s">
        <v>2057</v>
      </c>
      <c r="M1153" s="27" t="s">
        <v>14</v>
      </c>
    </row>
    <row r="1154" spans="1:13">
      <c r="A1154" s="27" t="s">
        <v>6705</v>
      </c>
      <c r="B1154" s="27" t="s">
        <v>160</v>
      </c>
      <c r="C1154" s="27" t="s">
        <v>9011</v>
      </c>
      <c r="D1154" s="27" t="s">
        <v>638</v>
      </c>
      <c r="E1154" s="27" t="s">
        <v>29</v>
      </c>
      <c r="F1154" s="27" t="s">
        <v>21</v>
      </c>
      <c r="G1154" s="27" t="s">
        <v>74</v>
      </c>
      <c r="H1154" s="27" t="s">
        <v>26</v>
      </c>
      <c r="I1154" s="27" t="s">
        <v>9054</v>
      </c>
      <c r="J1154" s="27" t="s">
        <v>9051</v>
      </c>
      <c r="K1154" s="27">
        <v>200000</v>
      </c>
      <c r="L1154" s="27" t="s">
        <v>2057</v>
      </c>
      <c r="M1154" s="27" t="s">
        <v>14</v>
      </c>
    </row>
    <row r="1155" spans="1:13">
      <c r="A1155" s="27" t="s">
        <v>6705</v>
      </c>
      <c r="B1155" s="27" t="s">
        <v>161</v>
      </c>
      <c r="C1155" s="27" t="s">
        <v>9011</v>
      </c>
      <c r="D1155" s="27" t="s">
        <v>638</v>
      </c>
      <c r="E1155" s="27" t="s">
        <v>29</v>
      </c>
      <c r="F1155" s="27" t="s">
        <v>21</v>
      </c>
      <c r="G1155" s="27" t="s">
        <v>74</v>
      </c>
      <c r="H1155" s="27" t="s">
        <v>42</v>
      </c>
      <c r="I1155" s="27" t="s">
        <v>9054</v>
      </c>
      <c r="J1155" s="27" t="s">
        <v>9051</v>
      </c>
      <c r="K1155" s="27">
        <v>400000</v>
      </c>
      <c r="L1155" s="27" t="s">
        <v>2057</v>
      </c>
      <c r="M1155" s="27" t="s">
        <v>14</v>
      </c>
    </row>
    <row r="1156" spans="1:13">
      <c r="A1156" s="27" t="s">
        <v>6705</v>
      </c>
      <c r="B1156" s="27" t="s">
        <v>162</v>
      </c>
      <c r="C1156" s="27" t="s">
        <v>9011</v>
      </c>
      <c r="D1156" s="27" t="s">
        <v>638</v>
      </c>
      <c r="E1156" s="27" t="s">
        <v>29</v>
      </c>
      <c r="F1156" s="27" t="s">
        <v>21</v>
      </c>
      <c r="G1156" s="27" t="s">
        <v>72</v>
      </c>
      <c r="H1156" s="27" t="s">
        <v>26</v>
      </c>
      <c r="I1156" s="27" t="s">
        <v>9054</v>
      </c>
      <c r="J1156" s="27" t="s">
        <v>9051</v>
      </c>
      <c r="K1156" s="27">
        <v>200000</v>
      </c>
      <c r="L1156" s="27" t="s">
        <v>2057</v>
      </c>
      <c r="M1156" s="27" t="s">
        <v>14</v>
      </c>
    </row>
    <row r="1157" spans="1:13">
      <c r="A1157" s="27" t="s">
        <v>6705</v>
      </c>
      <c r="B1157" s="27" t="s">
        <v>163</v>
      </c>
      <c r="C1157" s="27" t="s">
        <v>9011</v>
      </c>
      <c r="D1157" s="27" t="s">
        <v>638</v>
      </c>
      <c r="E1157" s="27" t="s">
        <v>29</v>
      </c>
      <c r="F1157" s="27" t="s">
        <v>21</v>
      </c>
      <c r="G1157" s="27" t="s">
        <v>72</v>
      </c>
      <c r="H1157" s="27" t="s">
        <v>42</v>
      </c>
      <c r="I1157" s="27" t="s">
        <v>9054</v>
      </c>
      <c r="J1157" s="27" t="s">
        <v>9051</v>
      </c>
      <c r="K1157" s="27">
        <v>500000</v>
      </c>
      <c r="L1157" s="27" t="s">
        <v>2057</v>
      </c>
      <c r="M1157" s="27" t="s">
        <v>14</v>
      </c>
    </row>
    <row r="1158" spans="1:13">
      <c r="A1158" s="27" t="s">
        <v>6705</v>
      </c>
      <c r="B1158" s="27" t="s">
        <v>164</v>
      </c>
      <c r="C1158" s="27" t="s">
        <v>9011</v>
      </c>
      <c r="D1158" s="27" t="s">
        <v>638</v>
      </c>
      <c r="E1158" s="27" t="s">
        <v>29</v>
      </c>
      <c r="F1158" s="27" t="s">
        <v>21</v>
      </c>
      <c r="G1158" s="27" t="s">
        <v>70</v>
      </c>
      <c r="H1158" s="27" t="s">
        <v>26</v>
      </c>
      <c r="I1158" s="27" t="s">
        <v>9054</v>
      </c>
      <c r="J1158" s="27" t="s">
        <v>9051</v>
      </c>
      <c r="K1158" s="27">
        <v>200000</v>
      </c>
      <c r="L1158" s="27" t="s">
        <v>2057</v>
      </c>
      <c r="M1158" s="27" t="s">
        <v>14</v>
      </c>
    </row>
  </sheetData>
  <autoFilter ref="A4:M1081"/>
  <mergeCells count="1">
    <mergeCell ref="A1:M3"/>
  </mergeCells>
  <conditionalFormatting sqref="B4:B1081">
    <cfRule type="duplicateValues" dxfId="13" priority="2"/>
  </conditionalFormatting>
  <conditionalFormatting sqref="B5:B1081">
    <cfRule type="duplicateValues" dxfId="12" priority="3"/>
  </conditionalFormatting>
  <dataValidations count="2">
    <dataValidation type="list" allowBlank="1" showInputMessage="1" showErrorMessage="1" sqref="M5:M1081">
      <formula1>"COP,USD"</formula1>
    </dataValidation>
    <dataValidation type="list" allowBlank="1" showInputMessage="1" showErrorMessage="1" sqref="L5 L1082:L1158">
      <formula1>"Sí,No"</formula1>
    </dataValidation>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5"/>
  <sheetViews>
    <sheetView showGridLines="0" topLeftCell="D1" zoomScaleNormal="100" workbookViewId="0">
      <selection activeCell="A5" sqref="A5:M5"/>
    </sheetView>
  </sheetViews>
  <sheetFormatPr baseColWidth="10" defaultColWidth="10.90625" defaultRowHeight="14.5"/>
  <cols>
    <col min="1" max="1" width="14.54296875" style="8" customWidth="1"/>
    <col min="2" max="2" width="22.08984375" style="8" bestFit="1" customWidth="1"/>
    <col min="3" max="3" width="16.36328125" style="8" bestFit="1" customWidth="1"/>
    <col min="4" max="4" width="73.90625" style="8" customWidth="1"/>
    <col min="5" max="5" width="12" style="8" customWidth="1"/>
    <col min="6" max="6" width="9.453125" style="8" bestFit="1" customWidth="1"/>
    <col min="7" max="7" width="7.54296875" style="8" bestFit="1" customWidth="1"/>
    <col min="8" max="8" width="11.08984375" style="8" bestFit="1" customWidth="1"/>
    <col min="9" max="9" width="12.54296875" style="8" bestFit="1" customWidth="1"/>
    <col min="10" max="10" width="46.08984375" style="8" bestFit="1" customWidth="1"/>
    <col min="11" max="11" width="10" style="8" bestFit="1" customWidth="1"/>
    <col min="12" max="12" width="11.36328125" style="8" bestFit="1" customWidth="1"/>
    <col min="13" max="13" width="9.6328125" style="8" bestFit="1" customWidth="1"/>
    <col min="14" max="16384" width="10.90625" style="8"/>
  </cols>
  <sheetData>
    <row r="1" spans="1:13" ht="19.5" customHeight="1">
      <c r="A1" s="328" t="s">
        <v>8862</v>
      </c>
      <c r="B1" s="328"/>
      <c r="C1" s="328"/>
      <c r="D1" s="328"/>
      <c r="E1" s="328"/>
      <c r="F1" s="328"/>
      <c r="G1" s="328"/>
      <c r="H1" s="328"/>
      <c r="I1" s="328"/>
      <c r="J1" s="328"/>
      <c r="K1" s="328"/>
      <c r="L1" s="328"/>
      <c r="M1" s="328"/>
    </row>
    <row r="2" spans="1:13" ht="19.5" customHeight="1">
      <c r="A2" s="328"/>
      <c r="B2" s="328"/>
      <c r="C2" s="328"/>
      <c r="D2" s="328"/>
      <c r="E2" s="328"/>
      <c r="F2" s="328"/>
      <c r="G2" s="328"/>
      <c r="H2" s="328"/>
      <c r="I2" s="328"/>
      <c r="J2" s="328"/>
      <c r="K2" s="328"/>
      <c r="L2" s="328"/>
      <c r="M2" s="328"/>
    </row>
    <row r="3" spans="1:13" ht="19.5" customHeight="1">
      <c r="A3" s="328"/>
      <c r="B3" s="328"/>
      <c r="C3" s="328"/>
      <c r="D3" s="328"/>
      <c r="E3" s="328"/>
      <c r="F3" s="328"/>
      <c r="G3" s="328"/>
      <c r="H3" s="328"/>
      <c r="I3" s="328"/>
      <c r="J3" s="328"/>
      <c r="K3" s="328"/>
      <c r="L3" s="328"/>
      <c r="M3" s="328"/>
    </row>
    <row r="4" spans="1:13" s="17" customFormat="1" ht="22.5" customHeight="1">
      <c r="A4" s="184" t="s">
        <v>1445</v>
      </c>
      <c r="B4" s="184" t="s">
        <v>1430</v>
      </c>
      <c r="C4" s="184" t="s">
        <v>1446</v>
      </c>
      <c r="D4" s="184" t="s">
        <v>4</v>
      </c>
      <c r="E4" s="184" t="s">
        <v>5</v>
      </c>
      <c r="F4" s="184" t="s">
        <v>6</v>
      </c>
      <c r="G4" s="184" t="s">
        <v>7</v>
      </c>
      <c r="H4" s="184" t="s">
        <v>8</v>
      </c>
      <c r="I4" s="184" t="s">
        <v>9</v>
      </c>
      <c r="J4" s="184" t="s">
        <v>1434</v>
      </c>
      <c r="K4" s="184" t="s">
        <v>12</v>
      </c>
      <c r="L4" s="184" t="s">
        <v>1433</v>
      </c>
      <c r="M4" s="184" t="s">
        <v>3</v>
      </c>
    </row>
    <row r="5" spans="1:13">
      <c r="A5" s="27" t="s">
        <v>8862</v>
      </c>
      <c r="B5" s="181" t="s">
        <v>8863</v>
      </c>
      <c r="C5" s="27" t="s">
        <v>8864</v>
      </c>
      <c r="D5" s="181" t="s">
        <v>8865</v>
      </c>
      <c r="E5" s="182" t="s">
        <v>168</v>
      </c>
      <c r="F5" s="181" t="s">
        <v>16</v>
      </c>
      <c r="G5" s="28" t="s">
        <v>70</v>
      </c>
      <c r="H5" s="28" t="s">
        <v>42</v>
      </c>
      <c r="I5" s="28" t="s">
        <v>15</v>
      </c>
      <c r="J5" s="183" t="s">
        <v>8866</v>
      </c>
      <c r="K5" s="181">
        <v>3570000</v>
      </c>
      <c r="L5" s="80" t="s">
        <v>216</v>
      </c>
      <c r="M5" s="80" t="s">
        <v>14</v>
      </c>
    </row>
    <row r="6" spans="1:13" ht="29">
      <c r="A6" s="27" t="s">
        <v>8862</v>
      </c>
      <c r="B6" s="181" t="s">
        <v>8867</v>
      </c>
      <c r="C6" s="27" t="s">
        <v>8864</v>
      </c>
      <c r="D6" s="181" t="s">
        <v>8868</v>
      </c>
      <c r="E6" s="182" t="s">
        <v>2631</v>
      </c>
      <c r="F6" s="181" t="s">
        <v>21</v>
      </c>
      <c r="G6" s="28" t="s">
        <v>70</v>
      </c>
      <c r="H6" s="28" t="s">
        <v>42</v>
      </c>
      <c r="I6" s="28" t="s">
        <v>167</v>
      </c>
      <c r="J6" s="183" t="s">
        <v>174</v>
      </c>
      <c r="K6" s="181">
        <v>1530500</v>
      </c>
      <c r="L6" s="80" t="s">
        <v>216</v>
      </c>
      <c r="M6" s="80" t="s">
        <v>14</v>
      </c>
    </row>
    <row r="7" spans="1:13" ht="29">
      <c r="A7" s="27" t="s">
        <v>8862</v>
      </c>
      <c r="B7" s="181" t="s">
        <v>8869</v>
      </c>
      <c r="C7" s="27" t="s">
        <v>8864</v>
      </c>
      <c r="D7" s="181" t="s">
        <v>8870</v>
      </c>
      <c r="E7" s="182" t="s">
        <v>2631</v>
      </c>
      <c r="F7" s="181" t="s">
        <v>21</v>
      </c>
      <c r="G7" s="28" t="s">
        <v>70</v>
      </c>
      <c r="H7" s="28" t="s">
        <v>42</v>
      </c>
      <c r="I7" s="28" t="s">
        <v>167</v>
      </c>
      <c r="J7" s="183" t="s">
        <v>174</v>
      </c>
      <c r="K7" s="181">
        <v>1230500</v>
      </c>
      <c r="L7" s="80" t="s">
        <v>216</v>
      </c>
      <c r="M7" s="80" t="s">
        <v>14</v>
      </c>
    </row>
    <row r="8" spans="1:13" ht="29">
      <c r="A8" s="27" t="s">
        <v>8862</v>
      </c>
      <c r="B8" s="181" t="s">
        <v>8871</v>
      </c>
      <c r="C8" s="27" t="s">
        <v>8864</v>
      </c>
      <c r="D8" s="181" t="s">
        <v>8872</v>
      </c>
      <c r="E8" s="182" t="s">
        <v>2631</v>
      </c>
      <c r="F8" s="181" t="s">
        <v>21</v>
      </c>
      <c r="G8" s="28" t="s">
        <v>70</v>
      </c>
      <c r="H8" s="28" t="s">
        <v>42</v>
      </c>
      <c r="I8" s="28" t="s">
        <v>167</v>
      </c>
      <c r="J8" s="183" t="s">
        <v>174</v>
      </c>
      <c r="K8" s="181">
        <v>992000</v>
      </c>
      <c r="L8" s="80" t="s">
        <v>216</v>
      </c>
      <c r="M8" s="80" t="s">
        <v>14</v>
      </c>
    </row>
    <row r="9" spans="1:13" ht="29">
      <c r="A9" s="27" t="s">
        <v>8862</v>
      </c>
      <c r="B9" s="181" t="s">
        <v>8873</v>
      </c>
      <c r="C9" s="27" t="s">
        <v>8864</v>
      </c>
      <c r="D9" s="181" t="s">
        <v>8874</v>
      </c>
      <c r="E9" s="182" t="s">
        <v>2631</v>
      </c>
      <c r="F9" s="181" t="s">
        <v>21</v>
      </c>
      <c r="G9" s="28" t="s">
        <v>70</v>
      </c>
      <c r="H9" s="28" t="s">
        <v>42</v>
      </c>
      <c r="I9" s="28" t="s">
        <v>167</v>
      </c>
      <c r="J9" s="183" t="s">
        <v>174</v>
      </c>
      <c r="K9" s="181">
        <v>1825500</v>
      </c>
      <c r="L9" s="80" t="s">
        <v>216</v>
      </c>
      <c r="M9" s="80" t="s">
        <v>14</v>
      </c>
    </row>
    <row r="10" spans="1:13" ht="29">
      <c r="A10" s="27" t="s">
        <v>8862</v>
      </c>
      <c r="B10" s="181" t="s">
        <v>8875</v>
      </c>
      <c r="C10" s="27" t="s">
        <v>8864</v>
      </c>
      <c r="D10" s="181" t="s">
        <v>8876</v>
      </c>
      <c r="E10" s="182" t="s">
        <v>2631</v>
      </c>
      <c r="F10" s="181" t="s">
        <v>21</v>
      </c>
      <c r="G10" s="28" t="s">
        <v>70</v>
      </c>
      <c r="H10" s="28" t="s">
        <v>42</v>
      </c>
      <c r="I10" s="28" t="s">
        <v>167</v>
      </c>
      <c r="J10" s="183" t="s">
        <v>174</v>
      </c>
      <c r="K10" s="181">
        <v>680000</v>
      </c>
      <c r="L10" s="80" t="s">
        <v>216</v>
      </c>
      <c r="M10" s="80" t="s">
        <v>14</v>
      </c>
    </row>
    <row r="11" spans="1:13" ht="29">
      <c r="A11" s="27" t="s">
        <v>8862</v>
      </c>
      <c r="B11" s="181" t="s">
        <v>8877</v>
      </c>
      <c r="C11" s="27" t="s">
        <v>8864</v>
      </c>
      <c r="D11" s="181" t="s">
        <v>8878</v>
      </c>
      <c r="E11" s="182" t="s">
        <v>2631</v>
      </c>
      <c r="F11" s="181" t="s">
        <v>21</v>
      </c>
      <c r="G11" s="28" t="s">
        <v>70</v>
      </c>
      <c r="H11" s="28" t="s">
        <v>42</v>
      </c>
      <c r="I11" s="28" t="s">
        <v>167</v>
      </c>
      <c r="J11" s="183" t="s">
        <v>174</v>
      </c>
      <c r="K11" s="181">
        <v>1330500</v>
      </c>
      <c r="L11" s="80" t="s">
        <v>216</v>
      </c>
      <c r="M11" s="80" t="s">
        <v>14</v>
      </c>
    </row>
    <row r="12" spans="1:13" ht="29">
      <c r="A12" s="27" t="s">
        <v>8862</v>
      </c>
      <c r="B12" s="181" t="s">
        <v>8879</v>
      </c>
      <c r="C12" s="27" t="s">
        <v>8864</v>
      </c>
      <c r="D12" s="181" t="s">
        <v>8880</v>
      </c>
      <c r="E12" s="182" t="s">
        <v>2631</v>
      </c>
      <c r="F12" s="181" t="s">
        <v>21</v>
      </c>
      <c r="G12" s="28" t="s">
        <v>70</v>
      </c>
      <c r="H12" s="28" t="s">
        <v>42</v>
      </c>
      <c r="I12" s="28" t="s">
        <v>167</v>
      </c>
      <c r="J12" s="183" t="s">
        <v>174</v>
      </c>
      <c r="K12" s="181">
        <v>1130500</v>
      </c>
      <c r="L12" s="80" t="s">
        <v>216</v>
      </c>
      <c r="M12" s="80" t="s">
        <v>14</v>
      </c>
    </row>
    <row r="13" spans="1:13" ht="29">
      <c r="A13" s="27" t="s">
        <v>8862</v>
      </c>
      <c r="B13" s="181" t="s">
        <v>8881</v>
      </c>
      <c r="C13" s="27" t="s">
        <v>8864</v>
      </c>
      <c r="D13" s="181" t="s">
        <v>8882</v>
      </c>
      <c r="E13" s="182" t="s">
        <v>2631</v>
      </c>
      <c r="F13" s="181" t="s">
        <v>21</v>
      </c>
      <c r="G13" s="28" t="s">
        <v>70</v>
      </c>
      <c r="H13" s="28" t="s">
        <v>42</v>
      </c>
      <c r="I13" s="28" t="s">
        <v>167</v>
      </c>
      <c r="J13" s="183" t="s">
        <v>174</v>
      </c>
      <c r="K13" s="181">
        <v>430000</v>
      </c>
      <c r="L13" s="80" t="s">
        <v>216</v>
      </c>
      <c r="M13" s="80" t="s">
        <v>14</v>
      </c>
    </row>
    <row r="14" spans="1:13" ht="29">
      <c r="A14" s="27" t="s">
        <v>8862</v>
      </c>
      <c r="B14" s="181" t="s">
        <v>8883</v>
      </c>
      <c r="C14" s="27" t="s">
        <v>8864</v>
      </c>
      <c r="D14" s="181" t="s">
        <v>8884</v>
      </c>
      <c r="E14" s="182" t="s">
        <v>2631</v>
      </c>
      <c r="F14" s="181" t="s">
        <v>21</v>
      </c>
      <c r="G14" s="28" t="s">
        <v>70</v>
      </c>
      <c r="H14" s="28" t="s">
        <v>42</v>
      </c>
      <c r="I14" s="28" t="s">
        <v>167</v>
      </c>
      <c r="J14" s="183" t="s">
        <v>174</v>
      </c>
      <c r="K14" s="181">
        <v>1725500</v>
      </c>
      <c r="L14" s="80" t="s">
        <v>216</v>
      </c>
      <c r="M14" s="80" t="s">
        <v>14</v>
      </c>
    </row>
    <row r="15" spans="1:13" ht="29">
      <c r="A15" s="27" t="s">
        <v>8862</v>
      </c>
      <c r="B15" s="181" t="s">
        <v>8885</v>
      </c>
      <c r="C15" s="27" t="s">
        <v>8864</v>
      </c>
      <c r="D15" s="181" t="s">
        <v>8886</v>
      </c>
      <c r="E15" s="182" t="s">
        <v>2631</v>
      </c>
      <c r="F15" s="181" t="s">
        <v>21</v>
      </c>
      <c r="G15" s="28" t="s">
        <v>70</v>
      </c>
      <c r="H15" s="28" t="s">
        <v>42</v>
      </c>
      <c r="I15" s="28" t="s">
        <v>167</v>
      </c>
      <c r="J15" s="183" t="s">
        <v>174</v>
      </c>
      <c r="K15" s="181">
        <v>3280000</v>
      </c>
      <c r="L15" s="80" t="s">
        <v>216</v>
      </c>
      <c r="M15" s="80" t="s">
        <v>14</v>
      </c>
    </row>
    <row r="16" spans="1:13" ht="29">
      <c r="A16" s="27" t="s">
        <v>8862</v>
      </c>
      <c r="B16" s="181" t="s">
        <v>8887</v>
      </c>
      <c r="C16" s="27" t="s">
        <v>8864</v>
      </c>
      <c r="D16" s="181" t="s">
        <v>8888</v>
      </c>
      <c r="E16" s="182" t="s">
        <v>2631</v>
      </c>
      <c r="F16" s="181" t="s">
        <v>21</v>
      </c>
      <c r="G16" s="28" t="s">
        <v>70</v>
      </c>
      <c r="H16" s="28" t="s">
        <v>42</v>
      </c>
      <c r="I16" s="28" t="s">
        <v>167</v>
      </c>
      <c r="J16" s="183" t="s">
        <v>174</v>
      </c>
      <c r="K16" s="181">
        <v>2950000</v>
      </c>
      <c r="L16" s="80" t="s">
        <v>216</v>
      </c>
      <c r="M16" s="80" t="s">
        <v>14</v>
      </c>
    </row>
    <row r="17" spans="1:13" ht="29">
      <c r="A17" s="27" t="s">
        <v>8862</v>
      </c>
      <c r="B17" s="181" t="s">
        <v>8889</v>
      </c>
      <c r="C17" s="27" t="s">
        <v>8864</v>
      </c>
      <c r="D17" s="181" t="s">
        <v>8890</v>
      </c>
      <c r="E17" s="182" t="s">
        <v>2631</v>
      </c>
      <c r="F17" s="181" t="s">
        <v>21</v>
      </c>
      <c r="G17" s="28" t="s">
        <v>70</v>
      </c>
      <c r="H17" s="28" t="s">
        <v>42</v>
      </c>
      <c r="I17" s="28" t="s">
        <v>167</v>
      </c>
      <c r="J17" s="183" t="s">
        <v>174</v>
      </c>
      <c r="K17" s="181">
        <v>2480000</v>
      </c>
      <c r="L17" s="80" t="s">
        <v>216</v>
      </c>
      <c r="M17" s="80" t="s">
        <v>14</v>
      </c>
    </row>
    <row r="18" spans="1:13" ht="29">
      <c r="A18" s="27" t="s">
        <v>8862</v>
      </c>
      <c r="B18" s="181" t="s">
        <v>8891</v>
      </c>
      <c r="C18" s="27" t="s">
        <v>8864</v>
      </c>
      <c r="D18" s="181" t="s">
        <v>8892</v>
      </c>
      <c r="E18" s="182" t="s">
        <v>2631</v>
      </c>
      <c r="F18" s="181" t="s">
        <v>21</v>
      </c>
      <c r="G18" s="28" t="s">
        <v>70</v>
      </c>
      <c r="H18" s="28" t="s">
        <v>42</v>
      </c>
      <c r="I18" s="28" t="s">
        <v>167</v>
      </c>
      <c r="J18" s="183" t="s">
        <v>174</v>
      </c>
      <c r="K18" s="181">
        <v>3280000</v>
      </c>
      <c r="L18" s="80" t="s">
        <v>216</v>
      </c>
      <c r="M18" s="80" t="s">
        <v>14</v>
      </c>
    </row>
    <row r="19" spans="1:13" ht="29">
      <c r="A19" s="27" t="s">
        <v>8862</v>
      </c>
      <c r="B19" s="181" t="s">
        <v>8893</v>
      </c>
      <c r="C19" s="27" t="s">
        <v>8864</v>
      </c>
      <c r="D19" s="181" t="s">
        <v>8894</v>
      </c>
      <c r="E19" s="182" t="s">
        <v>8895</v>
      </c>
      <c r="F19" s="181" t="s">
        <v>16</v>
      </c>
      <c r="G19" s="28" t="s">
        <v>70</v>
      </c>
      <c r="H19" s="28" t="s">
        <v>8896</v>
      </c>
      <c r="I19" s="28" t="s">
        <v>167</v>
      </c>
      <c r="J19" s="183" t="s">
        <v>174</v>
      </c>
      <c r="K19" s="181">
        <v>3690000</v>
      </c>
      <c r="L19" s="80" t="s">
        <v>216</v>
      </c>
      <c r="M19" s="80" t="s">
        <v>14</v>
      </c>
    </row>
    <row r="20" spans="1:13" ht="29">
      <c r="A20" s="27" t="s">
        <v>8862</v>
      </c>
      <c r="B20" s="181" t="s">
        <v>8897</v>
      </c>
      <c r="C20" s="27" t="s">
        <v>8864</v>
      </c>
      <c r="D20" s="181" t="s">
        <v>8898</v>
      </c>
      <c r="E20" s="182" t="s">
        <v>2631</v>
      </c>
      <c r="F20" s="181" t="s">
        <v>21</v>
      </c>
      <c r="G20" s="28" t="s">
        <v>70</v>
      </c>
      <c r="H20" s="28" t="s">
        <v>42</v>
      </c>
      <c r="I20" s="28" t="s">
        <v>167</v>
      </c>
      <c r="J20" s="183" t="s">
        <v>174</v>
      </c>
      <c r="K20" s="181">
        <v>23800</v>
      </c>
      <c r="L20" s="80" t="s">
        <v>216</v>
      </c>
      <c r="M20" s="80" t="s">
        <v>14</v>
      </c>
    </row>
    <row r="21" spans="1:13" ht="29">
      <c r="A21" s="27" t="s">
        <v>8862</v>
      </c>
      <c r="B21" s="181" t="s">
        <v>8899</v>
      </c>
      <c r="C21" s="27" t="s">
        <v>8864</v>
      </c>
      <c r="D21" s="181" t="s">
        <v>8900</v>
      </c>
      <c r="E21" s="182" t="s">
        <v>2631</v>
      </c>
      <c r="F21" s="181" t="s">
        <v>21</v>
      </c>
      <c r="G21" s="28" t="s">
        <v>70</v>
      </c>
      <c r="H21" s="28" t="s">
        <v>42</v>
      </c>
      <c r="I21" s="28" t="s">
        <v>167</v>
      </c>
      <c r="J21" s="183" t="s">
        <v>174</v>
      </c>
      <c r="K21" s="181">
        <v>440000</v>
      </c>
      <c r="L21" s="80" t="s">
        <v>216</v>
      </c>
      <c r="M21" s="80" t="s">
        <v>14</v>
      </c>
    </row>
    <row r="22" spans="1:13" ht="29">
      <c r="A22" s="27" t="s">
        <v>8862</v>
      </c>
      <c r="B22" s="181" t="s">
        <v>8901</v>
      </c>
      <c r="C22" s="27" t="s">
        <v>8864</v>
      </c>
      <c r="D22" s="181" t="s">
        <v>8902</v>
      </c>
      <c r="E22" s="182" t="s">
        <v>2631</v>
      </c>
      <c r="F22" s="181" t="s">
        <v>21</v>
      </c>
      <c r="G22" s="28" t="s">
        <v>70</v>
      </c>
      <c r="H22" s="28" t="s">
        <v>42</v>
      </c>
      <c r="I22" s="28" t="s">
        <v>167</v>
      </c>
      <c r="J22" s="183" t="s">
        <v>174</v>
      </c>
      <c r="K22" s="181">
        <v>410000</v>
      </c>
      <c r="L22" s="80" t="s">
        <v>216</v>
      </c>
      <c r="M22" s="80" t="s">
        <v>14</v>
      </c>
    </row>
    <row r="23" spans="1:13" ht="29">
      <c r="A23" s="27" t="s">
        <v>8862</v>
      </c>
      <c r="B23" s="181" t="s">
        <v>8903</v>
      </c>
      <c r="C23" s="27" t="s">
        <v>8864</v>
      </c>
      <c r="D23" s="181" t="s">
        <v>8904</v>
      </c>
      <c r="E23" s="182" t="s">
        <v>2631</v>
      </c>
      <c r="F23" s="181" t="s">
        <v>21</v>
      </c>
      <c r="G23" s="28" t="s">
        <v>70</v>
      </c>
      <c r="H23" s="28" t="s">
        <v>42</v>
      </c>
      <c r="I23" s="28" t="s">
        <v>167</v>
      </c>
      <c r="J23" s="183" t="s">
        <v>174</v>
      </c>
      <c r="K23" s="181">
        <v>892500</v>
      </c>
      <c r="L23" s="80" t="s">
        <v>216</v>
      </c>
      <c r="M23" s="80" t="s">
        <v>14</v>
      </c>
    </row>
    <row r="24" spans="1:13" ht="29">
      <c r="A24" s="27" t="s">
        <v>8862</v>
      </c>
      <c r="B24" s="181" t="s">
        <v>8905</v>
      </c>
      <c r="C24" s="27" t="s">
        <v>8864</v>
      </c>
      <c r="D24" s="181" t="s">
        <v>8906</v>
      </c>
      <c r="E24" s="182" t="s">
        <v>2631</v>
      </c>
      <c r="F24" s="181" t="s">
        <v>21</v>
      </c>
      <c r="G24" s="28" t="s">
        <v>70</v>
      </c>
      <c r="H24" s="28" t="s">
        <v>42</v>
      </c>
      <c r="I24" s="28" t="s">
        <v>167</v>
      </c>
      <c r="J24" s="183" t="s">
        <v>174</v>
      </c>
      <c r="K24" s="181">
        <v>833000</v>
      </c>
      <c r="L24" s="80" t="s">
        <v>216</v>
      </c>
      <c r="M24" s="80" t="s">
        <v>14</v>
      </c>
    </row>
    <row r="25" spans="1:13" ht="29">
      <c r="A25" s="27" t="s">
        <v>8862</v>
      </c>
      <c r="B25" s="181" t="s">
        <v>8907</v>
      </c>
      <c r="C25" s="27" t="s">
        <v>8864</v>
      </c>
      <c r="D25" s="181" t="s">
        <v>8908</v>
      </c>
      <c r="E25" s="182" t="s">
        <v>2631</v>
      </c>
      <c r="F25" s="181" t="s">
        <v>21</v>
      </c>
      <c r="G25" s="28" t="s">
        <v>70</v>
      </c>
      <c r="H25" s="28" t="s">
        <v>42</v>
      </c>
      <c r="I25" s="28" t="s">
        <v>167</v>
      </c>
      <c r="J25" s="183" t="s">
        <v>174</v>
      </c>
      <c r="K25" s="181">
        <v>71400</v>
      </c>
      <c r="L25" s="80" t="s">
        <v>216</v>
      </c>
      <c r="M25" s="80" t="s">
        <v>14</v>
      </c>
    </row>
    <row r="26" spans="1:13" ht="29">
      <c r="A26" s="27" t="s">
        <v>8862</v>
      </c>
      <c r="B26" s="181" t="s">
        <v>8909</v>
      </c>
      <c r="C26" s="27" t="s">
        <v>8864</v>
      </c>
      <c r="D26" s="181" t="s">
        <v>8910</v>
      </c>
      <c r="E26" s="182" t="s">
        <v>2648</v>
      </c>
      <c r="F26" s="181" t="s">
        <v>21</v>
      </c>
      <c r="G26" s="28" t="s">
        <v>70</v>
      </c>
      <c r="H26" s="28" t="s">
        <v>42</v>
      </c>
      <c r="I26" s="28" t="s">
        <v>167</v>
      </c>
      <c r="J26" s="183" t="s">
        <v>174</v>
      </c>
      <c r="K26" s="181">
        <v>3570000</v>
      </c>
      <c r="L26" s="80" t="s">
        <v>216</v>
      </c>
      <c r="M26" s="80" t="s">
        <v>14</v>
      </c>
    </row>
    <row r="27" spans="1:13" ht="29">
      <c r="A27" s="27" t="s">
        <v>8862</v>
      </c>
      <c r="B27" s="181" t="s">
        <v>8911</v>
      </c>
      <c r="C27" s="27" t="s">
        <v>8864</v>
      </c>
      <c r="D27" s="181" t="s">
        <v>8912</v>
      </c>
      <c r="E27" s="182" t="s">
        <v>2648</v>
      </c>
      <c r="F27" s="181" t="s">
        <v>21</v>
      </c>
      <c r="G27" s="28" t="s">
        <v>70</v>
      </c>
      <c r="H27" s="28" t="s">
        <v>42</v>
      </c>
      <c r="I27" s="28" t="s">
        <v>167</v>
      </c>
      <c r="J27" s="183" t="s">
        <v>174</v>
      </c>
      <c r="K27" s="181">
        <v>5950000</v>
      </c>
      <c r="L27" s="80" t="s">
        <v>216</v>
      </c>
      <c r="M27" s="80" t="s">
        <v>14</v>
      </c>
    </row>
    <row r="28" spans="1:13" ht="29">
      <c r="A28" s="27" t="s">
        <v>8862</v>
      </c>
      <c r="B28" s="181" t="s">
        <v>8913</v>
      </c>
      <c r="C28" s="27" t="s">
        <v>8864</v>
      </c>
      <c r="D28" s="181" t="s">
        <v>8914</v>
      </c>
      <c r="E28" s="182" t="s">
        <v>2648</v>
      </c>
      <c r="F28" s="181" t="s">
        <v>21</v>
      </c>
      <c r="G28" s="28" t="s">
        <v>70</v>
      </c>
      <c r="H28" s="28" t="s">
        <v>42</v>
      </c>
      <c r="I28" s="28" t="s">
        <v>167</v>
      </c>
      <c r="J28" s="183" t="s">
        <v>174</v>
      </c>
      <c r="K28" s="181">
        <v>3570000</v>
      </c>
      <c r="L28" s="80" t="s">
        <v>216</v>
      </c>
      <c r="M28" s="80" t="s">
        <v>14</v>
      </c>
    </row>
    <row r="29" spans="1:13" ht="29">
      <c r="A29" s="27" t="s">
        <v>8862</v>
      </c>
      <c r="B29" s="181" t="s">
        <v>8915</v>
      </c>
      <c r="C29" s="27" t="s">
        <v>8864</v>
      </c>
      <c r="D29" s="181" t="s">
        <v>8916</v>
      </c>
      <c r="E29" s="182" t="s">
        <v>2631</v>
      </c>
      <c r="F29" s="181" t="s">
        <v>21</v>
      </c>
      <c r="G29" s="28" t="s">
        <v>70</v>
      </c>
      <c r="H29" s="28" t="s">
        <v>42</v>
      </c>
      <c r="I29" s="28" t="s">
        <v>167</v>
      </c>
      <c r="J29" s="183" t="s">
        <v>174</v>
      </c>
      <c r="K29" s="181">
        <v>357000</v>
      </c>
      <c r="L29" s="80" t="s">
        <v>216</v>
      </c>
      <c r="M29" s="80" t="s">
        <v>14</v>
      </c>
    </row>
    <row r="30" spans="1:13" ht="29">
      <c r="A30" s="27" t="s">
        <v>8862</v>
      </c>
      <c r="B30" s="181" t="s">
        <v>8917</v>
      </c>
      <c r="C30" s="27" t="s">
        <v>8864</v>
      </c>
      <c r="D30" s="181" t="s">
        <v>8918</v>
      </c>
      <c r="E30" s="182" t="s">
        <v>32</v>
      </c>
      <c r="F30" s="181" t="s">
        <v>21</v>
      </c>
      <c r="G30" s="28" t="s">
        <v>70</v>
      </c>
      <c r="H30" s="28" t="s">
        <v>42</v>
      </c>
      <c r="I30" s="28" t="s">
        <v>167</v>
      </c>
      <c r="J30" s="183" t="s">
        <v>174</v>
      </c>
      <c r="K30" s="181">
        <v>14280</v>
      </c>
      <c r="L30" s="80" t="s">
        <v>216</v>
      </c>
      <c r="M30" s="80" t="s">
        <v>14</v>
      </c>
    </row>
    <row r="31" spans="1:13" ht="29">
      <c r="A31" s="27" t="s">
        <v>8862</v>
      </c>
      <c r="B31" s="181" t="s">
        <v>8919</v>
      </c>
      <c r="C31" s="27" t="s">
        <v>8864</v>
      </c>
      <c r="D31" s="181" t="s">
        <v>8920</v>
      </c>
      <c r="E31" s="182" t="s">
        <v>2631</v>
      </c>
      <c r="F31" s="181" t="s">
        <v>21</v>
      </c>
      <c r="G31" s="28" t="s">
        <v>70</v>
      </c>
      <c r="H31" s="28" t="s">
        <v>42</v>
      </c>
      <c r="I31" s="28" t="s">
        <v>167</v>
      </c>
      <c r="J31" s="183" t="s">
        <v>174</v>
      </c>
      <c r="K31" s="181">
        <v>1130500</v>
      </c>
      <c r="L31" s="80" t="s">
        <v>216</v>
      </c>
      <c r="M31" s="80" t="s">
        <v>14</v>
      </c>
    </row>
    <row r="32" spans="1:13" ht="29">
      <c r="A32" s="27" t="s">
        <v>8862</v>
      </c>
      <c r="B32" s="181" t="s">
        <v>8921</v>
      </c>
      <c r="C32" s="27" t="s">
        <v>8864</v>
      </c>
      <c r="D32" s="181" t="s">
        <v>8922</v>
      </c>
      <c r="E32" s="182" t="s">
        <v>8923</v>
      </c>
      <c r="F32" s="181" t="s">
        <v>21</v>
      </c>
      <c r="G32" s="28" t="s">
        <v>70</v>
      </c>
      <c r="H32" s="28" t="s">
        <v>42</v>
      </c>
      <c r="I32" s="28" t="s">
        <v>167</v>
      </c>
      <c r="J32" s="183" t="s">
        <v>174</v>
      </c>
      <c r="K32" s="181">
        <v>1219750</v>
      </c>
      <c r="L32" s="80" t="s">
        <v>216</v>
      </c>
      <c r="M32" s="80" t="s">
        <v>14</v>
      </c>
    </row>
    <row r="33" spans="1:13" ht="29">
      <c r="A33" s="27" t="s">
        <v>8862</v>
      </c>
      <c r="B33" s="181" t="s">
        <v>8924</v>
      </c>
      <c r="C33" s="27" t="s">
        <v>8864</v>
      </c>
      <c r="D33" s="181" t="s">
        <v>8925</v>
      </c>
      <c r="E33" s="182" t="s">
        <v>8926</v>
      </c>
      <c r="F33" s="181" t="s">
        <v>21</v>
      </c>
      <c r="G33" s="28" t="s">
        <v>70</v>
      </c>
      <c r="H33" s="28" t="s">
        <v>42</v>
      </c>
      <c r="I33" s="28" t="s">
        <v>167</v>
      </c>
      <c r="J33" s="183" t="s">
        <v>174</v>
      </c>
      <c r="K33" s="181">
        <v>71400</v>
      </c>
      <c r="L33" s="80" t="s">
        <v>216</v>
      </c>
      <c r="M33" s="80" t="s">
        <v>14</v>
      </c>
    </row>
    <row r="34" spans="1:13" ht="29">
      <c r="A34" s="27" t="s">
        <v>8862</v>
      </c>
      <c r="B34" s="181" t="s">
        <v>8927</v>
      </c>
      <c r="C34" s="27" t="s">
        <v>8864</v>
      </c>
      <c r="D34" s="181" t="s">
        <v>8928</v>
      </c>
      <c r="E34" s="182" t="s">
        <v>2757</v>
      </c>
      <c r="F34" s="181" t="s">
        <v>21</v>
      </c>
      <c r="G34" s="28" t="s">
        <v>70</v>
      </c>
      <c r="H34" s="28" t="s">
        <v>42</v>
      </c>
      <c r="I34" s="28" t="s">
        <v>166</v>
      </c>
      <c r="J34" s="183" t="s">
        <v>174</v>
      </c>
      <c r="K34" s="181">
        <v>416500</v>
      </c>
      <c r="L34" s="80" t="s">
        <v>216</v>
      </c>
      <c r="M34" s="80" t="s">
        <v>14</v>
      </c>
    </row>
    <row r="35" spans="1:13" ht="29">
      <c r="A35" s="27" t="s">
        <v>8862</v>
      </c>
      <c r="B35" s="181" t="s">
        <v>8929</v>
      </c>
      <c r="C35" s="27" t="s">
        <v>8864</v>
      </c>
      <c r="D35" s="181" t="s">
        <v>90</v>
      </c>
      <c r="E35" s="182" t="s">
        <v>2757</v>
      </c>
      <c r="F35" s="181" t="s">
        <v>21</v>
      </c>
      <c r="G35" s="28" t="s">
        <v>70</v>
      </c>
      <c r="H35" s="28" t="s">
        <v>42</v>
      </c>
      <c r="I35" s="28" t="s">
        <v>166</v>
      </c>
      <c r="J35" s="183" t="s">
        <v>174</v>
      </c>
      <c r="K35" s="181">
        <v>950000</v>
      </c>
      <c r="L35" s="80" t="s">
        <v>216</v>
      </c>
      <c r="M35" s="80" t="s">
        <v>14</v>
      </c>
    </row>
    <row r="36" spans="1:13" ht="29">
      <c r="A36" s="27" t="s">
        <v>8862</v>
      </c>
      <c r="B36" s="181" t="s">
        <v>8930</v>
      </c>
      <c r="C36" s="27" t="s">
        <v>8864</v>
      </c>
      <c r="D36" s="181" t="s">
        <v>98</v>
      </c>
      <c r="E36" s="182" t="s">
        <v>2757</v>
      </c>
      <c r="F36" s="181" t="s">
        <v>21</v>
      </c>
      <c r="G36" s="28" t="s">
        <v>70</v>
      </c>
      <c r="H36" s="28" t="s">
        <v>42</v>
      </c>
      <c r="I36" s="28" t="s">
        <v>166</v>
      </c>
      <c r="J36" s="183" t="s">
        <v>174</v>
      </c>
      <c r="K36" s="181">
        <v>1700000</v>
      </c>
      <c r="L36" s="80" t="s">
        <v>216</v>
      </c>
      <c r="M36" s="80" t="s">
        <v>14</v>
      </c>
    </row>
    <row r="37" spans="1:13" ht="29">
      <c r="A37" s="27" t="s">
        <v>8862</v>
      </c>
      <c r="B37" s="181" t="s">
        <v>8931</v>
      </c>
      <c r="C37" s="27" t="s">
        <v>8864</v>
      </c>
      <c r="D37" s="181" t="s">
        <v>106</v>
      </c>
      <c r="E37" s="182" t="s">
        <v>2757</v>
      </c>
      <c r="F37" s="181" t="s">
        <v>21</v>
      </c>
      <c r="G37" s="28" t="s">
        <v>70</v>
      </c>
      <c r="H37" s="28" t="s">
        <v>42</v>
      </c>
      <c r="I37" s="28" t="s">
        <v>166</v>
      </c>
      <c r="J37" s="183" t="s">
        <v>174</v>
      </c>
      <c r="K37" s="181">
        <v>950000</v>
      </c>
      <c r="L37" s="80" t="s">
        <v>216</v>
      </c>
      <c r="M37" s="80" t="s">
        <v>14</v>
      </c>
    </row>
    <row r="38" spans="1:13" ht="29">
      <c r="A38" s="27" t="s">
        <v>8862</v>
      </c>
      <c r="B38" s="181" t="s">
        <v>8932</v>
      </c>
      <c r="C38" s="27" t="s">
        <v>8864</v>
      </c>
      <c r="D38" s="181" t="s">
        <v>113</v>
      </c>
      <c r="E38" s="182" t="s">
        <v>2757</v>
      </c>
      <c r="F38" s="181" t="s">
        <v>21</v>
      </c>
      <c r="G38" s="28" t="s">
        <v>70</v>
      </c>
      <c r="H38" s="28" t="s">
        <v>42</v>
      </c>
      <c r="I38" s="28" t="s">
        <v>167</v>
      </c>
      <c r="J38" s="183" t="s">
        <v>174</v>
      </c>
      <c r="K38" s="181">
        <v>1700000</v>
      </c>
      <c r="L38" s="80" t="s">
        <v>216</v>
      </c>
      <c r="M38" s="80" t="s">
        <v>14</v>
      </c>
    </row>
    <row r="39" spans="1:13" ht="29">
      <c r="A39" s="27" t="s">
        <v>8862</v>
      </c>
      <c r="B39" s="181" t="s">
        <v>8933</v>
      </c>
      <c r="C39" s="27" t="s">
        <v>8864</v>
      </c>
      <c r="D39" s="181" t="s">
        <v>148</v>
      </c>
      <c r="E39" s="182" t="s">
        <v>2757</v>
      </c>
      <c r="F39" s="181" t="s">
        <v>21</v>
      </c>
      <c r="G39" s="28" t="s">
        <v>70</v>
      </c>
      <c r="H39" s="28" t="s">
        <v>42</v>
      </c>
      <c r="I39" s="28" t="s">
        <v>167</v>
      </c>
      <c r="J39" s="183" t="s">
        <v>174</v>
      </c>
      <c r="K39" s="181">
        <v>1450000</v>
      </c>
      <c r="L39" s="80" t="s">
        <v>216</v>
      </c>
      <c r="M39" s="80" t="s">
        <v>14</v>
      </c>
    </row>
    <row r="40" spans="1:13" ht="29">
      <c r="A40" s="27" t="s">
        <v>8862</v>
      </c>
      <c r="B40" s="181" t="s">
        <v>8934</v>
      </c>
      <c r="C40" s="27" t="s">
        <v>8864</v>
      </c>
      <c r="D40" s="181" t="s">
        <v>152</v>
      </c>
      <c r="E40" s="182" t="s">
        <v>2757</v>
      </c>
      <c r="F40" s="181" t="s">
        <v>21</v>
      </c>
      <c r="G40" s="28" t="s">
        <v>70</v>
      </c>
      <c r="H40" s="28" t="s">
        <v>42</v>
      </c>
      <c r="I40" s="28" t="s">
        <v>167</v>
      </c>
      <c r="J40" s="183" t="s">
        <v>174</v>
      </c>
      <c r="K40" s="181">
        <v>425000</v>
      </c>
      <c r="L40" s="80" t="s">
        <v>216</v>
      </c>
      <c r="M40" s="80" t="s">
        <v>14</v>
      </c>
    </row>
    <row r="41" spans="1:13" ht="29">
      <c r="A41" s="27" t="s">
        <v>8862</v>
      </c>
      <c r="B41" s="181" t="s">
        <v>8935</v>
      </c>
      <c r="C41" s="27" t="s">
        <v>8864</v>
      </c>
      <c r="D41" s="181" t="s">
        <v>159</v>
      </c>
      <c r="E41" s="182" t="s">
        <v>2757</v>
      </c>
      <c r="F41" s="181" t="s">
        <v>21</v>
      </c>
      <c r="G41" s="28" t="s">
        <v>70</v>
      </c>
      <c r="H41" s="28" t="s">
        <v>42</v>
      </c>
      <c r="I41" s="28" t="s">
        <v>167</v>
      </c>
      <c r="J41" s="183" t="s">
        <v>174</v>
      </c>
      <c r="K41" s="181">
        <v>1650000</v>
      </c>
      <c r="L41" s="80" t="s">
        <v>216</v>
      </c>
      <c r="M41" s="80" t="s">
        <v>14</v>
      </c>
    </row>
    <row r="42" spans="1:13">
      <c r="A42" s="27" t="s">
        <v>8862</v>
      </c>
      <c r="B42" s="181" t="s">
        <v>8936</v>
      </c>
      <c r="C42" s="27" t="s">
        <v>8864</v>
      </c>
      <c r="D42" s="181" t="s">
        <v>8865</v>
      </c>
      <c r="E42" s="182" t="s">
        <v>168</v>
      </c>
      <c r="F42" s="181" t="s">
        <v>16</v>
      </c>
      <c r="G42" s="28" t="s">
        <v>74</v>
      </c>
      <c r="H42" s="28" t="s">
        <v>42</v>
      </c>
      <c r="I42" s="28" t="s">
        <v>15</v>
      </c>
      <c r="J42" s="183" t="s">
        <v>8866</v>
      </c>
      <c r="K42" s="181">
        <v>3570000</v>
      </c>
      <c r="L42" s="80" t="s">
        <v>216</v>
      </c>
      <c r="M42" s="80" t="s">
        <v>14</v>
      </c>
    </row>
    <row r="43" spans="1:13" ht="29">
      <c r="A43" s="27" t="s">
        <v>8862</v>
      </c>
      <c r="B43" s="181" t="s">
        <v>8937</v>
      </c>
      <c r="C43" s="27" t="s">
        <v>8864</v>
      </c>
      <c r="D43" s="181" t="s">
        <v>8868</v>
      </c>
      <c r="E43" s="182" t="s">
        <v>2631</v>
      </c>
      <c r="F43" s="181" t="s">
        <v>21</v>
      </c>
      <c r="G43" s="28" t="s">
        <v>74</v>
      </c>
      <c r="H43" s="28" t="s">
        <v>42</v>
      </c>
      <c r="I43" s="28" t="s">
        <v>167</v>
      </c>
      <c r="J43" s="183" t="s">
        <v>174</v>
      </c>
      <c r="K43" s="181">
        <v>1130500</v>
      </c>
      <c r="L43" s="80" t="s">
        <v>216</v>
      </c>
      <c r="M43" s="80" t="s">
        <v>14</v>
      </c>
    </row>
    <row r="44" spans="1:13" ht="29">
      <c r="A44" s="27" t="s">
        <v>8862</v>
      </c>
      <c r="B44" s="181" t="s">
        <v>8938</v>
      </c>
      <c r="C44" s="27" t="s">
        <v>8864</v>
      </c>
      <c r="D44" s="181" t="s">
        <v>8870</v>
      </c>
      <c r="E44" s="182" t="s">
        <v>2631</v>
      </c>
      <c r="F44" s="181" t="s">
        <v>21</v>
      </c>
      <c r="G44" s="28" t="s">
        <v>74</v>
      </c>
      <c r="H44" s="28" t="s">
        <v>42</v>
      </c>
      <c r="I44" s="28" t="s">
        <v>167</v>
      </c>
      <c r="J44" s="183" t="s">
        <v>174</v>
      </c>
      <c r="K44" s="181">
        <v>1130500</v>
      </c>
      <c r="L44" s="80" t="s">
        <v>216</v>
      </c>
      <c r="M44" s="80" t="s">
        <v>14</v>
      </c>
    </row>
    <row r="45" spans="1:13" ht="29">
      <c r="A45" s="27" t="s">
        <v>8862</v>
      </c>
      <c r="B45" s="181" t="s">
        <v>8939</v>
      </c>
      <c r="C45" s="27" t="s">
        <v>8864</v>
      </c>
      <c r="D45" s="181" t="s">
        <v>8872</v>
      </c>
      <c r="E45" s="182" t="s">
        <v>2631</v>
      </c>
      <c r="F45" s="181" t="s">
        <v>21</v>
      </c>
      <c r="G45" s="28" t="s">
        <v>74</v>
      </c>
      <c r="H45" s="28" t="s">
        <v>42</v>
      </c>
      <c r="I45" s="28" t="s">
        <v>167</v>
      </c>
      <c r="J45" s="183" t="s">
        <v>174</v>
      </c>
      <c r="K45" s="181">
        <v>952000</v>
      </c>
      <c r="L45" s="80" t="s">
        <v>216</v>
      </c>
      <c r="M45" s="80" t="s">
        <v>14</v>
      </c>
    </row>
    <row r="46" spans="1:13" ht="29">
      <c r="A46" s="27" t="s">
        <v>8862</v>
      </c>
      <c r="B46" s="181" t="s">
        <v>8940</v>
      </c>
      <c r="C46" s="27" t="s">
        <v>8864</v>
      </c>
      <c r="D46" s="181" t="s">
        <v>8874</v>
      </c>
      <c r="E46" s="182" t="s">
        <v>2631</v>
      </c>
      <c r="F46" s="181" t="s">
        <v>21</v>
      </c>
      <c r="G46" s="28" t="s">
        <v>74</v>
      </c>
      <c r="H46" s="28" t="s">
        <v>42</v>
      </c>
      <c r="I46" s="28" t="s">
        <v>167</v>
      </c>
      <c r="J46" s="183" t="s">
        <v>174</v>
      </c>
      <c r="K46" s="181">
        <v>1725500</v>
      </c>
      <c r="L46" s="80" t="s">
        <v>216</v>
      </c>
      <c r="M46" s="80" t="s">
        <v>14</v>
      </c>
    </row>
    <row r="47" spans="1:13" ht="29">
      <c r="A47" s="27" t="s">
        <v>8862</v>
      </c>
      <c r="B47" s="181" t="s">
        <v>8941</v>
      </c>
      <c r="C47" s="27" t="s">
        <v>8864</v>
      </c>
      <c r="D47" s="181" t="s">
        <v>8876</v>
      </c>
      <c r="E47" s="182" t="s">
        <v>2631</v>
      </c>
      <c r="F47" s="181" t="s">
        <v>21</v>
      </c>
      <c r="G47" s="28" t="s">
        <v>74</v>
      </c>
      <c r="H47" s="28" t="s">
        <v>42</v>
      </c>
      <c r="I47" s="28" t="s">
        <v>167</v>
      </c>
      <c r="J47" s="183" t="s">
        <v>174</v>
      </c>
      <c r="K47" s="181">
        <v>680000</v>
      </c>
      <c r="L47" s="80" t="s">
        <v>216</v>
      </c>
      <c r="M47" s="80" t="s">
        <v>14</v>
      </c>
    </row>
    <row r="48" spans="1:13" ht="29">
      <c r="A48" s="27" t="s">
        <v>8862</v>
      </c>
      <c r="B48" s="181" t="s">
        <v>8942</v>
      </c>
      <c r="C48" s="27" t="s">
        <v>8864</v>
      </c>
      <c r="D48" s="181" t="s">
        <v>8878</v>
      </c>
      <c r="E48" s="182" t="s">
        <v>2631</v>
      </c>
      <c r="F48" s="181" t="s">
        <v>21</v>
      </c>
      <c r="G48" s="28" t="s">
        <v>70</v>
      </c>
      <c r="H48" s="28" t="s">
        <v>42</v>
      </c>
      <c r="I48" s="28" t="s">
        <v>167</v>
      </c>
      <c r="J48" s="183" t="s">
        <v>174</v>
      </c>
      <c r="K48" s="181">
        <v>1330500</v>
      </c>
      <c r="L48" s="80" t="s">
        <v>216</v>
      </c>
      <c r="M48" s="80" t="s">
        <v>14</v>
      </c>
    </row>
    <row r="49" spans="1:13" ht="29">
      <c r="A49" s="27" t="s">
        <v>8862</v>
      </c>
      <c r="B49" s="181" t="s">
        <v>8943</v>
      </c>
      <c r="C49" s="27" t="s">
        <v>8864</v>
      </c>
      <c r="D49" s="181" t="s">
        <v>8880</v>
      </c>
      <c r="E49" s="182" t="s">
        <v>2631</v>
      </c>
      <c r="F49" s="181" t="s">
        <v>21</v>
      </c>
      <c r="G49" s="28" t="s">
        <v>70</v>
      </c>
      <c r="H49" s="28" t="s">
        <v>42</v>
      </c>
      <c r="I49" s="28" t="s">
        <v>167</v>
      </c>
      <c r="J49" s="183" t="s">
        <v>174</v>
      </c>
      <c r="K49" s="181">
        <v>1130500</v>
      </c>
      <c r="L49" s="80" t="s">
        <v>216</v>
      </c>
      <c r="M49" s="80" t="s">
        <v>14</v>
      </c>
    </row>
    <row r="50" spans="1:13" ht="29">
      <c r="A50" s="27" t="s">
        <v>8862</v>
      </c>
      <c r="B50" s="181" t="s">
        <v>8944</v>
      </c>
      <c r="C50" s="27" t="s">
        <v>8864</v>
      </c>
      <c r="D50" s="181" t="s">
        <v>8882</v>
      </c>
      <c r="E50" s="182" t="s">
        <v>2631</v>
      </c>
      <c r="F50" s="181" t="s">
        <v>21</v>
      </c>
      <c r="G50" s="28" t="s">
        <v>70</v>
      </c>
      <c r="H50" s="28" t="s">
        <v>42</v>
      </c>
      <c r="I50" s="28" t="s">
        <v>167</v>
      </c>
      <c r="J50" s="183" t="s">
        <v>174</v>
      </c>
      <c r="K50" s="181">
        <v>430000</v>
      </c>
      <c r="L50" s="80" t="s">
        <v>216</v>
      </c>
      <c r="M50" s="80" t="s">
        <v>14</v>
      </c>
    </row>
    <row r="51" spans="1:13" ht="29">
      <c r="A51" s="27" t="s">
        <v>8862</v>
      </c>
      <c r="B51" s="181" t="s">
        <v>8945</v>
      </c>
      <c r="C51" s="27" t="s">
        <v>8864</v>
      </c>
      <c r="D51" s="181" t="s">
        <v>8884</v>
      </c>
      <c r="E51" s="182" t="s">
        <v>2631</v>
      </c>
      <c r="F51" s="181" t="s">
        <v>21</v>
      </c>
      <c r="G51" s="28" t="s">
        <v>70</v>
      </c>
      <c r="H51" s="28" t="s">
        <v>42</v>
      </c>
      <c r="I51" s="28" t="s">
        <v>167</v>
      </c>
      <c r="J51" s="183" t="s">
        <v>174</v>
      </c>
      <c r="K51" s="181">
        <v>1725500</v>
      </c>
      <c r="L51" s="80" t="s">
        <v>216</v>
      </c>
      <c r="M51" s="80" t="s">
        <v>14</v>
      </c>
    </row>
    <row r="52" spans="1:13" ht="29">
      <c r="A52" s="27" t="s">
        <v>8862</v>
      </c>
      <c r="B52" s="181" t="s">
        <v>8946</v>
      </c>
      <c r="C52" s="27" t="s">
        <v>8864</v>
      </c>
      <c r="D52" s="181" t="s">
        <v>8886</v>
      </c>
      <c r="E52" s="182" t="s">
        <v>2631</v>
      </c>
      <c r="F52" s="181" t="s">
        <v>21</v>
      </c>
      <c r="G52" s="28" t="s">
        <v>70</v>
      </c>
      <c r="H52" s="28" t="s">
        <v>42</v>
      </c>
      <c r="I52" s="28" t="s">
        <v>167</v>
      </c>
      <c r="J52" s="183" t="s">
        <v>174</v>
      </c>
      <c r="K52" s="181">
        <v>3280000</v>
      </c>
      <c r="L52" s="80" t="s">
        <v>216</v>
      </c>
      <c r="M52" s="80" t="s">
        <v>14</v>
      </c>
    </row>
    <row r="53" spans="1:13" ht="29">
      <c r="A53" s="27" t="s">
        <v>8862</v>
      </c>
      <c r="B53" s="181" t="s">
        <v>8947</v>
      </c>
      <c r="C53" s="27" t="s">
        <v>8864</v>
      </c>
      <c r="D53" s="181" t="s">
        <v>8888</v>
      </c>
      <c r="E53" s="182" t="s">
        <v>2631</v>
      </c>
      <c r="F53" s="181" t="s">
        <v>21</v>
      </c>
      <c r="G53" s="28" t="s">
        <v>70</v>
      </c>
      <c r="H53" s="28" t="s">
        <v>42</v>
      </c>
      <c r="I53" s="28" t="s">
        <v>167</v>
      </c>
      <c r="J53" s="183" t="s">
        <v>174</v>
      </c>
      <c r="K53" s="181">
        <v>2950000</v>
      </c>
      <c r="L53" s="80" t="s">
        <v>216</v>
      </c>
      <c r="M53" s="80" t="s">
        <v>14</v>
      </c>
    </row>
    <row r="54" spans="1:13" ht="29">
      <c r="A54" s="27" t="s">
        <v>8862</v>
      </c>
      <c r="B54" s="181" t="s">
        <v>8948</v>
      </c>
      <c r="C54" s="27" t="s">
        <v>8864</v>
      </c>
      <c r="D54" s="181" t="s">
        <v>8890</v>
      </c>
      <c r="E54" s="182" t="s">
        <v>2631</v>
      </c>
      <c r="F54" s="181" t="s">
        <v>21</v>
      </c>
      <c r="G54" s="28" t="s">
        <v>70</v>
      </c>
      <c r="H54" s="28" t="s">
        <v>42</v>
      </c>
      <c r="I54" s="28" t="s">
        <v>167</v>
      </c>
      <c r="J54" s="183" t="s">
        <v>174</v>
      </c>
      <c r="K54" s="181">
        <v>2480000</v>
      </c>
      <c r="L54" s="80" t="s">
        <v>216</v>
      </c>
      <c r="M54" s="80" t="s">
        <v>14</v>
      </c>
    </row>
    <row r="55" spans="1:13" ht="29">
      <c r="A55" s="27" t="s">
        <v>8862</v>
      </c>
      <c r="B55" s="181" t="s">
        <v>8949</v>
      </c>
      <c r="C55" s="27" t="s">
        <v>8864</v>
      </c>
      <c r="D55" s="181" t="s">
        <v>8892</v>
      </c>
      <c r="E55" s="182" t="s">
        <v>2631</v>
      </c>
      <c r="F55" s="181" t="s">
        <v>21</v>
      </c>
      <c r="G55" s="28" t="s">
        <v>70</v>
      </c>
      <c r="H55" s="28" t="s">
        <v>42</v>
      </c>
      <c r="I55" s="28" t="s">
        <v>167</v>
      </c>
      <c r="J55" s="183" t="s">
        <v>174</v>
      </c>
      <c r="K55" s="181">
        <v>3280000</v>
      </c>
      <c r="L55" s="80" t="s">
        <v>216</v>
      </c>
      <c r="M55" s="80" t="s">
        <v>14</v>
      </c>
    </row>
    <row r="56" spans="1:13" ht="29">
      <c r="A56" s="27" t="s">
        <v>8862</v>
      </c>
      <c r="B56" s="181" t="s">
        <v>8950</v>
      </c>
      <c r="C56" s="27" t="s">
        <v>8864</v>
      </c>
      <c r="D56" s="181" t="s">
        <v>8894</v>
      </c>
      <c r="E56" s="182" t="s">
        <v>8895</v>
      </c>
      <c r="F56" s="181" t="s">
        <v>16</v>
      </c>
      <c r="G56" s="28" t="s">
        <v>70</v>
      </c>
      <c r="H56" s="28" t="s">
        <v>8896</v>
      </c>
      <c r="I56" s="28" t="s">
        <v>167</v>
      </c>
      <c r="J56" s="183" t="s">
        <v>174</v>
      </c>
      <c r="K56" s="181">
        <v>3690000</v>
      </c>
      <c r="L56" s="80" t="s">
        <v>216</v>
      </c>
      <c r="M56" s="80" t="s">
        <v>14</v>
      </c>
    </row>
    <row r="57" spans="1:13" ht="29">
      <c r="A57" s="27" t="s">
        <v>8862</v>
      </c>
      <c r="B57" s="181" t="s">
        <v>8951</v>
      </c>
      <c r="C57" s="27" t="s">
        <v>8864</v>
      </c>
      <c r="D57" s="181" t="s">
        <v>8898</v>
      </c>
      <c r="E57" s="182" t="s">
        <v>2631</v>
      </c>
      <c r="F57" s="181" t="s">
        <v>21</v>
      </c>
      <c r="G57" s="28" t="s">
        <v>74</v>
      </c>
      <c r="H57" s="28" t="s">
        <v>42</v>
      </c>
      <c r="I57" s="28" t="s">
        <v>167</v>
      </c>
      <c r="J57" s="183" t="s">
        <v>174</v>
      </c>
      <c r="K57" s="181">
        <v>23800</v>
      </c>
      <c r="L57" s="80" t="s">
        <v>216</v>
      </c>
      <c r="M57" s="80" t="s">
        <v>14</v>
      </c>
    </row>
    <row r="58" spans="1:13" ht="29">
      <c r="A58" s="27" t="s">
        <v>8862</v>
      </c>
      <c r="B58" s="181" t="s">
        <v>8952</v>
      </c>
      <c r="C58" s="27" t="s">
        <v>8864</v>
      </c>
      <c r="D58" s="181" t="s">
        <v>8900</v>
      </c>
      <c r="E58" s="182" t="s">
        <v>2631</v>
      </c>
      <c r="F58" s="181" t="s">
        <v>21</v>
      </c>
      <c r="G58" s="28" t="s">
        <v>74</v>
      </c>
      <c r="H58" s="28" t="s">
        <v>42</v>
      </c>
      <c r="I58" s="28" t="s">
        <v>167</v>
      </c>
      <c r="J58" s="183" t="s">
        <v>174</v>
      </c>
      <c r="K58" s="181">
        <v>440000</v>
      </c>
      <c r="L58" s="80" t="s">
        <v>216</v>
      </c>
      <c r="M58" s="80" t="s">
        <v>14</v>
      </c>
    </row>
    <row r="59" spans="1:13" ht="29">
      <c r="A59" s="27" t="s">
        <v>8862</v>
      </c>
      <c r="B59" s="181" t="s">
        <v>8953</v>
      </c>
      <c r="C59" s="27" t="s">
        <v>8864</v>
      </c>
      <c r="D59" s="181" t="s">
        <v>8902</v>
      </c>
      <c r="E59" s="182" t="s">
        <v>2631</v>
      </c>
      <c r="F59" s="181" t="s">
        <v>21</v>
      </c>
      <c r="G59" s="28" t="s">
        <v>74</v>
      </c>
      <c r="H59" s="28" t="s">
        <v>42</v>
      </c>
      <c r="I59" s="28" t="s">
        <v>167</v>
      </c>
      <c r="J59" s="183" t="s">
        <v>174</v>
      </c>
      <c r="K59" s="181">
        <v>410000</v>
      </c>
      <c r="L59" s="80" t="s">
        <v>216</v>
      </c>
      <c r="M59" s="80" t="s">
        <v>14</v>
      </c>
    </row>
    <row r="60" spans="1:13" ht="29">
      <c r="A60" s="27" t="s">
        <v>8862</v>
      </c>
      <c r="B60" s="181" t="s">
        <v>8954</v>
      </c>
      <c r="C60" s="27" t="s">
        <v>8864</v>
      </c>
      <c r="D60" s="181" t="s">
        <v>8904</v>
      </c>
      <c r="E60" s="182" t="s">
        <v>2631</v>
      </c>
      <c r="F60" s="181" t="s">
        <v>21</v>
      </c>
      <c r="G60" s="28" t="s">
        <v>74</v>
      </c>
      <c r="H60" s="28" t="s">
        <v>42</v>
      </c>
      <c r="I60" s="28" t="s">
        <v>167</v>
      </c>
      <c r="J60" s="183" t="s">
        <v>174</v>
      </c>
      <c r="K60" s="181">
        <v>892500</v>
      </c>
      <c r="L60" s="80" t="s">
        <v>216</v>
      </c>
      <c r="M60" s="80" t="s">
        <v>14</v>
      </c>
    </row>
    <row r="61" spans="1:13" ht="29">
      <c r="A61" s="27" t="s">
        <v>8862</v>
      </c>
      <c r="B61" s="181" t="s">
        <v>8955</v>
      </c>
      <c r="C61" s="27" t="s">
        <v>8864</v>
      </c>
      <c r="D61" s="181" t="s">
        <v>8906</v>
      </c>
      <c r="E61" s="182" t="s">
        <v>2631</v>
      </c>
      <c r="F61" s="181" t="s">
        <v>21</v>
      </c>
      <c r="G61" s="28" t="s">
        <v>74</v>
      </c>
      <c r="H61" s="28" t="s">
        <v>42</v>
      </c>
      <c r="I61" s="28" t="s">
        <v>167</v>
      </c>
      <c r="J61" s="183" t="s">
        <v>174</v>
      </c>
      <c r="K61" s="181">
        <v>833000</v>
      </c>
      <c r="L61" s="80" t="s">
        <v>216</v>
      </c>
      <c r="M61" s="80" t="s">
        <v>14</v>
      </c>
    </row>
    <row r="62" spans="1:13" ht="29">
      <c r="A62" s="27" t="s">
        <v>8862</v>
      </c>
      <c r="B62" s="181" t="s">
        <v>8956</v>
      </c>
      <c r="C62" s="27" t="s">
        <v>8864</v>
      </c>
      <c r="D62" s="181" t="s">
        <v>8908</v>
      </c>
      <c r="E62" s="182" t="s">
        <v>2631</v>
      </c>
      <c r="F62" s="181" t="s">
        <v>21</v>
      </c>
      <c r="G62" s="28" t="s">
        <v>74</v>
      </c>
      <c r="H62" s="28" t="s">
        <v>42</v>
      </c>
      <c r="I62" s="28" t="s">
        <v>167</v>
      </c>
      <c r="J62" s="183" t="s">
        <v>174</v>
      </c>
      <c r="K62" s="181">
        <v>71400</v>
      </c>
      <c r="L62" s="80" t="s">
        <v>216</v>
      </c>
      <c r="M62" s="80" t="s">
        <v>14</v>
      </c>
    </row>
    <row r="63" spans="1:13" ht="29">
      <c r="A63" s="27" t="s">
        <v>8862</v>
      </c>
      <c r="B63" s="181" t="s">
        <v>8957</v>
      </c>
      <c r="C63" s="27" t="s">
        <v>8864</v>
      </c>
      <c r="D63" s="181" t="s">
        <v>8910</v>
      </c>
      <c r="E63" s="182" t="s">
        <v>2648</v>
      </c>
      <c r="F63" s="181" t="s">
        <v>21</v>
      </c>
      <c r="G63" s="28" t="s">
        <v>74</v>
      </c>
      <c r="H63" s="28" t="s">
        <v>42</v>
      </c>
      <c r="I63" s="28" t="s">
        <v>167</v>
      </c>
      <c r="J63" s="183" t="s">
        <v>174</v>
      </c>
      <c r="K63" s="181">
        <v>3570000</v>
      </c>
      <c r="L63" s="80" t="s">
        <v>216</v>
      </c>
      <c r="M63" s="80" t="s">
        <v>14</v>
      </c>
    </row>
    <row r="64" spans="1:13" ht="29">
      <c r="A64" s="27" t="s">
        <v>8862</v>
      </c>
      <c r="B64" s="181" t="s">
        <v>8958</v>
      </c>
      <c r="C64" s="27" t="s">
        <v>8864</v>
      </c>
      <c r="D64" s="181" t="s">
        <v>8912</v>
      </c>
      <c r="E64" s="182" t="s">
        <v>2648</v>
      </c>
      <c r="F64" s="181" t="s">
        <v>21</v>
      </c>
      <c r="G64" s="28" t="s">
        <v>74</v>
      </c>
      <c r="H64" s="28" t="s">
        <v>42</v>
      </c>
      <c r="I64" s="28" t="s">
        <v>167</v>
      </c>
      <c r="J64" s="183" t="s">
        <v>174</v>
      </c>
      <c r="K64" s="181">
        <v>5950000</v>
      </c>
      <c r="L64" s="80" t="s">
        <v>216</v>
      </c>
      <c r="M64" s="80" t="s">
        <v>14</v>
      </c>
    </row>
    <row r="65" spans="1:13" ht="29">
      <c r="A65" s="27" t="s">
        <v>8862</v>
      </c>
      <c r="B65" s="181" t="s">
        <v>8959</v>
      </c>
      <c r="C65" s="27" t="s">
        <v>8864</v>
      </c>
      <c r="D65" s="181" t="s">
        <v>8914</v>
      </c>
      <c r="E65" s="182" t="s">
        <v>2648</v>
      </c>
      <c r="F65" s="181" t="s">
        <v>21</v>
      </c>
      <c r="G65" s="28" t="s">
        <v>74</v>
      </c>
      <c r="H65" s="28" t="s">
        <v>42</v>
      </c>
      <c r="I65" s="28" t="s">
        <v>167</v>
      </c>
      <c r="J65" s="183" t="s">
        <v>174</v>
      </c>
      <c r="K65" s="181">
        <v>3570000</v>
      </c>
      <c r="L65" s="80" t="s">
        <v>216</v>
      </c>
      <c r="M65" s="80" t="s">
        <v>14</v>
      </c>
    </row>
    <row r="66" spans="1:13" ht="29">
      <c r="A66" s="27" t="s">
        <v>8862</v>
      </c>
      <c r="B66" s="181" t="s">
        <v>8960</v>
      </c>
      <c r="C66" s="27" t="s">
        <v>8864</v>
      </c>
      <c r="D66" s="181" t="s">
        <v>8916</v>
      </c>
      <c r="E66" s="182" t="s">
        <v>2631</v>
      </c>
      <c r="F66" s="181" t="s">
        <v>21</v>
      </c>
      <c r="G66" s="28" t="s">
        <v>74</v>
      </c>
      <c r="H66" s="28" t="s">
        <v>42</v>
      </c>
      <c r="I66" s="28" t="s">
        <v>167</v>
      </c>
      <c r="J66" s="183" t="s">
        <v>174</v>
      </c>
      <c r="K66" s="181">
        <v>357000</v>
      </c>
      <c r="L66" s="80" t="s">
        <v>216</v>
      </c>
      <c r="M66" s="80" t="s">
        <v>14</v>
      </c>
    </row>
    <row r="67" spans="1:13" ht="29">
      <c r="A67" s="27" t="s">
        <v>8862</v>
      </c>
      <c r="B67" s="181" t="s">
        <v>8961</v>
      </c>
      <c r="C67" s="27" t="s">
        <v>8864</v>
      </c>
      <c r="D67" s="181" t="s">
        <v>8918</v>
      </c>
      <c r="E67" s="182" t="s">
        <v>32</v>
      </c>
      <c r="F67" s="181" t="s">
        <v>21</v>
      </c>
      <c r="G67" s="28" t="s">
        <v>74</v>
      </c>
      <c r="H67" s="28" t="s">
        <v>42</v>
      </c>
      <c r="I67" s="28" t="s">
        <v>167</v>
      </c>
      <c r="J67" s="183" t="s">
        <v>174</v>
      </c>
      <c r="K67" s="181">
        <v>14280</v>
      </c>
      <c r="L67" s="80" t="s">
        <v>216</v>
      </c>
      <c r="M67" s="80" t="s">
        <v>14</v>
      </c>
    </row>
    <row r="68" spans="1:13" ht="29">
      <c r="A68" s="27" t="s">
        <v>8862</v>
      </c>
      <c r="B68" s="181" t="s">
        <v>8962</v>
      </c>
      <c r="C68" s="27" t="s">
        <v>8864</v>
      </c>
      <c r="D68" s="181" t="s">
        <v>8920</v>
      </c>
      <c r="E68" s="182" t="s">
        <v>2631</v>
      </c>
      <c r="F68" s="181" t="s">
        <v>21</v>
      </c>
      <c r="G68" s="28" t="s">
        <v>74</v>
      </c>
      <c r="H68" s="28" t="s">
        <v>42</v>
      </c>
      <c r="I68" s="28" t="s">
        <v>167</v>
      </c>
      <c r="J68" s="183" t="s">
        <v>174</v>
      </c>
      <c r="K68" s="181">
        <v>1130500</v>
      </c>
      <c r="L68" s="80" t="s">
        <v>216</v>
      </c>
      <c r="M68" s="80" t="s">
        <v>14</v>
      </c>
    </row>
    <row r="69" spans="1:13" ht="29">
      <c r="A69" s="27" t="s">
        <v>8862</v>
      </c>
      <c r="B69" s="181" t="s">
        <v>8963</v>
      </c>
      <c r="C69" s="27" t="s">
        <v>8864</v>
      </c>
      <c r="D69" s="181" t="s">
        <v>8922</v>
      </c>
      <c r="E69" s="182" t="s">
        <v>8923</v>
      </c>
      <c r="F69" s="181" t="s">
        <v>21</v>
      </c>
      <c r="G69" s="28" t="s">
        <v>74</v>
      </c>
      <c r="H69" s="28" t="s">
        <v>42</v>
      </c>
      <c r="I69" s="28" t="s">
        <v>167</v>
      </c>
      <c r="J69" s="183" t="s">
        <v>174</v>
      </c>
      <c r="K69" s="181">
        <v>1219750</v>
      </c>
      <c r="L69" s="80" t="s">
        <v>216</v>
      </c>
      <c r="M69" s="80" t="s">
        <v>14</v>
      </c>
    </row>
    <row r="70" spans="1:13" ht="29">
      <c r="A70" s="27" t="s">
        <v>8862</v>
      </c>
      <c r="B70" s="181" t="s">
        <v>8964</v>
      </c>
      <c r="C70" s="27" t="s">
        <v>8864</v>
      </c>
      <c r="D70" s="181" t="s">
        <v>8925</v>
      </c>
      <c r="E70" s="182" t="s">
        <v>8926</v>
      </c>
      <c r="F70" s="181" t="s">
        <v>21</v>
      </c>
      <c r="G70" s="28" t="s">
        <v>74</v>
      </c>
      <c r="H70" s="28" t="s">
        <v>42</v>
      </c>
      <c r="I70" s="28" t="s">
        <v>167</v>
      </c>
      <c r="J70" s="183" t="s">
        <v>174</v>
      </c>
      <c r="K70" s="181">
        <v>71400</v>
      </c>
      <c r="L70" s="80" t="s">
        <v>216</v>
      </c>
      <c r="M70" s="80" t="s">
        <v>14</v>
      </c>
    </row>
    <row r="71" spans="1:13" ht="29">
      <c r="A71" s="27" t="s">
        <v>8862</v>
      </c>
      <c r="B71" s="181" t="s">
        <v>8965</v>
      </c>
      <c r="C71" s="27" t="s">
        <v>8864</v>
      </c>
      <c r="D71" s="181" t="s">
        <v>8928</v>
      </c>
      <c r="E71" s="182" t="s">
        <v>2757</v>
      </c>
      <c r="F71" s="181" t="s">
        <v>21</v>
      </c>
      <c r="G71" s="28" t="s">
        <v>74</v>
      </c>
      <c r="H71" s="28" t="s">
        <v>42</v>
      </c>
      <c r="I71" s="28" t="s">
        <v>166</v>
      </c>
      <c r="J71" s="183" t="s">
        <v>174</v>
      </c>
      <c r="K71" s="181">
        <v>416500</v>
      </c>
      <c r="L71" s="80" t="s">
        <v>216</v>
      </c>
      <c r="M71" s="80" t="s">
        <v>14</v>
      </c>
    </row>
    <row r="72" spans="1:13" ht="29">
      <c r="A72" s="27" t="s">
        <v>8862</v>
      </c>
      <c r="B72" s="181" t="s">
        <v>8966</v>
      </c>
      <c r="C72" s="27" t="s">
        <v>8864</v>
      </c>
      <c r="D72" s="181" t="s">
        <v>90</v>
      </c>
      <c r="E72" s="182" t="s">
        <v>2757</v>
      </c>
      <c r="F72" s="181" t="s">
        <v>21</v>
      </c>
      <c r="G72" s="28" t="s">
        <v>74</v>
      </c>
      <c r="H72" s="28" t="s">
        <v>42</v>
      </c>
      <c r="I72" s="28" t="s">
        <v>166</v>
      </c>
      <c r="J72" s="183" t="s">
        <v>174</v>
      </c>
      <c r="K72" s="181">
        <v>950000</v>
      </c>
      <c r="L72" s="80" t="s">
        <v>216</v>
      </c>
      <c r="M72" s="80" t="s">
        <v>14</v>
      </c>
    </row>
    <row r="73" spans="1:13" ht="29">
      <c r="A73" s="27" t="s">
        <v>8862</v>
      </c>
      <c r="B73" s="181" t="s">
        <v>8967</v>
      </c>
      <c r="C73" s="27" t="s">
        <v>8864</v>
      </c>
      <c r="D73" s="181" t="s">
        <v>98</v>
      </c>
      <c r="E73" s="182" t="s">
        <v>2757</v>
      </c>
      <c r="F73" s="181" t="s">
        <v>21</v>
      </c>
      <c r="G73" s="28" t="s">
        <v>74</v>
      </c>
      <c r="H73" s="28" t="s">
        <v>42</v>
      </c>
      <c r="I73" s="28" t="s">
        <v>166</v>
      </c>
      <c r="J73" s="183" t="s">
        <v>174</v>
      </c>
      <c r="K73" s="181">
        <v>1700000</v>
      </c>
      <c r="L73" s="80" t="s">
        <v>216</v>
      </c>
      <c r="M73" s="80" t="s">
        <v>14</v>
      </c>
    </row>
    <row r="74" spans="1:13" ht="29">
      <c r="A74" s="27" t="s">
        <v>8862</v>
      </c>
      <c r="B74" s="181" t="s">
        <v>8968</v>
      </c>
      <c r="C74" s="27" t="s">
        <v>8864</v>
      </c>
      <c r="D74" s="181" t="s">
        <v>106</v>
      </c>
      <c r="E74" s="182" t="s">
        <v>2757</v>
      </c>
      <c r="F74" s="181" t="s">
        <v>21</v>
      </c>
      <c r="G74" s="28" t="s">
        <v>74</v>
      </c>
      <c r="H74" s="28" t="s">
        <v>42</v>
      </c>
      <c r="I74" s="28" t="s">
        <v>166</v>
      </c>
      <c r="J74" s="183" t="s">
        <v>174</v>
      </c>
      <c r="K74" s="181">
        <v>950000</v>
      </c>
      <c r="L74" s="80" t="s">
        <v>216</v>
      </c>
      <c r="M74" s="80" t="s">
        <v>14</v>
      </c>
    </row>
    <row r="75" spans="1:13" ht="29">
      <c r="A75" s="27" t="s">
        <v>8862</v>
      </c>
      <c r="B75" s="181" t="s">
        <v>8969</v>
      </c>
      <c r="C75" s="27" t="s">
        <v>8864</v>
      </c>
      <c r="D75" s="181" t="s">
        <v>113</v>
      </c>
      <c r="E75" s="182" t="s">
        <v>2757</v>
      </c>
      <c r="F75" s="181" t="s">
        <v>21</v>
      </c>
      <c r="G75" s="28" t="s">
        <v>74</v>
      </c>
      <c r="H75" s="28" t="s">
        <v>42</v>
      </c>
      <c r="I75" s="28" t="s">
        <v>167</v>
      </c>
      <c r="J75" s="183" t="s">
        <v>174</v>
      </c>
      <c r="K75" s="181">
        <v>1700000</v>
      </c>
      <c r="L75" s="80" t="s">
        <v>216</v>
      </c>
      <c r="M75" s="80" t="s">
        <v>14</v>
      </c>
    </row>
    <row r="76" spans="1:13" ht="29">
      <c r="A76" s="27" t="s">
        <v>8862</v>
      </c>
      <c r="B76" s="181" t="s">
        <v>8970</v>
      </c>
      <c r="C76" s="27" t="s">
        <v>8864</v>
      </c>
      <c r="D76" s="181" t="s">
        <v>148</v>
      </c>
      <c r="E76" s="182" t="s">
        <v>2757</v>
      </c>
      <c r="F76" s="181" t="s">
        <v>21</v>
      </c>
      <c r="G76" s="28" t="s">
        <v>74</v>
      </c>
      <c r="H76" s="28" t="s">
        <v>42</v>
      </c>
      <c r="I76" s="28" t="s">
        <v>167</v>
      </c>
      <c r="J76" s="183" t="s">
        <v>174</v>
      </c>
      <c r="K76" s="181">
        <v>1450000</v>
      </c>
      <c r="L76" s="80" t="s">
        <v>216</v>
      </c>
      <c r="M76" s="80" t="s">
        <v>14</v>
      </c>
    </row>
    <row r="77" spans="1:13" ht="29">
      <c r="A77" s="27" t="s">
        <v>8862</v>
      </c>
      <c r="B77" s="181" t="s">
        <v>8971</v>
      </c>
      <c r="C77" s="27" t="s">
        <v>8864</v>
      </c>
      <c r="D77" s="181" t="s">
        <v>152</v>
      </c>
      <c r="E77" s="182" t="s">
        <v>2757</v>
      </c>
      <c r="F77" s="181" t="s">
        <v>21</v>
      </c>
      <c r="G77" s="28" t="s">
        <v>74</v>
      </c>
      <c r="H77" s="28" t="s">
        <v>42</v>
      </c>
      <c r="I77" s="28" t="s">
        <v>167</v>
      </c>
      <c r="J77" s="183" t="s">
        <v>174</v>
      </c>
      <c r="K77" s="181">
        <v>425000</v>
      </c>
      <c r="L77" s="80" t="s">
        <v>216</v>
      </c>
      <c r="M77" s="80" t="s">
        <v>14</v>
      </c>
    </row>
    <row r="78" spans="1:13">
      <c r="A78" s="27" t="s">
        <v>8862</v>
      </c>
      <c r="B78" s="181" t="s">
        <v>8972</v>
      </c>
      <c r="C78" s="27" t="s">
        <v>8864</v>
      </c>
      <c r="D78" s="181" t="s">
        <v>159</v>
      </c>
      <c r="E78" s="182" t="s">
        <v>2757</v>
      </c>
      <c r="F78" s="181" t="s">
        <v>21</v>
      </c>
      <c r="G78" s="28" t="s">
        <v>74</v>
      </c>
      <c r="H78" s="28" t="s">
        <v>42</v>
      </c>
      <c r="I78" s="28" t="s">
        <v>15</v>
      </c>
      <c r="J78" s="183" t="s">
        <v>8866</v>
      </c>
      <c r="K78" s="181">
        <v>1650000</v>
      </c>
      <c r="L78" s="80" t="s">
        <v>216</v>
      </c>
      <c r="M78" s="80" t="s">
        <v>14</v>
      </c>
    </row>
    <row r="79" spans="1:13" ht="29">
      <c r="A79" s="27" t="s">
        <v>8862</v>
      </c>
      <c r="B79" s="181" t="s">
        <v>8973</v>
      </c>
      <c r="C79" s="27" t="s">
        <v>8864</v>
      </c>
      <c r="D79" s="181" t="s">
        <v>8865</v>
      </c>
      <c r="E79" s="182" t="s">
        <v>168</v>
      </c>
      <c r="F79" s="181" t="s">
        <v>16</v>
      </c>
      <c r="G79" s="28" t="s">
        <v>72</v>
      </c>
      <c r="H79" s="28" t="s">
        <v>42</v>
      </c>
      <c r="I79" s="28" t="s">
        <v>167</v>
      </c>
      <c r="J79" s="183" t="s">
        <v>174</v>
      </c>
      <c r="K79" s="181">
        <v>3570000</v>
      </c>
      <c r="L79" s="80" t="s">
        <v>216</v>
      </c>
      <c r="M79" s="80" t="s">
        <v>14</v>
      </c>
    </row>
    <row r="80" spans="1:13" ht="29">
      <c r="A80" s="27" t="s">
        <v>8862</v>
      </c>
      <c r="B80" s="181" t="s">
        <v>8974</v>
      </c>
      <c r="C80" s="27" t="s">
        <v>8864</v>
      </c>
      <c r="D80" s="181" t="s">
        <v>8868</v>
      </c>
      <c r="E80" s="182" t="s">
        <v>2631</v>
      </c>
      <c r="F80" s="181" t="s">
        <v>21</v>
      </c>
      <c r="G80" s="28" t="s">
        <v>72</v>
      </c>
      <c r="H80" s="28" t="s">
        <v>42</v>
      </c>
      <c r="I80" s="28" t="s">
        <v>167</v>
      </c>
      <c r="J80" s="183" t="s">
        <v>174</v>
      </c>
      <c r="K80" s="181">
        <v>1130500</v>
      </c>
      <c r="L80" s="80" t="s">
        <v>216</v>
      </c>
      <c r="M80" s="80" t="s">
        <v>14</v>
      </c>
    </row>
    <row r="81" spans="1:13" ht="29">
      <c r="A81" s="27" t="s">
        <v>8862</v>
      </c>
      <c r="B81" s="181" t="s">
        <v>8975</v>
      </c>
      <c r="C81" s="27" t="s">
        <v>8864</v>
      </c>
      <c r="D81" s="181" t="s">
        <v>8870</v>
      </c>
      <c r="E81" s="182" t="s">
        <v>2631</v>
      </c>
      <c r="F81" s="181" t="s">
        <v>21</v>
      </c>
      <c r="G81" s="28" t="s">
        <v>72</v>
      </c>
      <c r="H81" s="28" t="s">
        <v>42</v>
      </c>
      <c r="I81" s="28" t="s">
        <v>167</v>
      </c>
      <c r="J81" s="183" t="s">
        <v>174</v>
      </c>
      <c r="K81" s="181">
        <v>1130500</v>
      </c>
      <c r="L81" s="80" t="s">
        <v>216</v>
      </c>
      <c r="M81" s="80" t="s">
        <v>14</v>
      </c>
    </row>
    <row r="82" spans="1:13" ht="29">
      <c r="A82" s="27" t="s">
        <v>8862</v>
      </c>
      <c r="B82" s="181" t="s">
        <v>8976</v>
      </c>
      <c r="C82" s="27" t="s">
        <v>8864</v>
      </c>
      <c r="D82" s="181" t="s">
        <v>8872</v>
      </c>
      <c r="E82" s="182" t="s">
        <v>2631</v>
      </c>
      <c r="F82" s="181" t="s">
        <v>21</v>
      </c>
      <c r="G82" s="28" t="s">
        <v>72</v>
      </c>
      <c r="H82" s="28" t="s">
        <v>42</v>
      </c>
      <c r="I82" s="28" t="s">
        <v>167</v>
      </c>
      <c r="J82" s="183" t="s">
        <v>174</v>
      </c>
      <c r="K82" s="181">
        <v>952000</v>
      </c>
      <c r="L82" s="80" t="s">
        <v>216</v>
      </c>
      <c r="M82" s="80" t="s">
        <v>14</v>
      </c>
    </row>
    <row r="83" spans="1:13" ht="29">
      <c r="A83" s="27" t="s">
        <v>8862</v>
      </c>
      <c r="B83" s="181" t="s">
        <v>8977</v>
      </c>
      <c r="C83" s="27" t="s">
        <v>8864</v>
      </c>
      <c r="D83" s="181" t="s">
        <v>8874</v>
      </c>
      <c r="E83" s="182" t="s">
        <v>2631</v>
      </c>
      <c r="F83" s="181" t="s">
        <v>21</v>
      </c>
      <c r="G83" s="28" t="s">
        <v>72</v>
      </c>
      <c r="H83" s="28" t="s">
        <v>42</v>
      </c>
      <c r="I83" s="28" t="s">
        <v>167</v>
      </c>
      <c r="J83" s="183" t="s">
        <v>174</v>
      </c>
      <c r="K83" s="181">
        <v>1725500</v>
      </c>
      <c r="L83" s="80" t="s">
        <v>216</v>
      </c>
      <c r="M83" s="80" t="s">
        <v>14</v>
      </c>
    </row>
    <row r="84" spans="1:13" ht="29">
      <c r="A84" s="27" t="s">
        <v>8862</v>
      </c>
      <c r="B84" s="181" t="s">
        <v>8978</v>
      </c>
      <c r="C84" s="27" t="s">
        <v>8864</v>
      </c>
      <c r="D84" s="181" t="s">
        <v>8876</v>
      </c>
      <c r="E84" s="182" t="s">
        <v>2631</v>
      </c>
      <c r="F84" s="181" t="s">
        <v>21</v>
      </c>
      <c r="G84" s="28" t="s">
        <v>72</v>
      </c>
      <c r="H84" s="28" t="s">
        <v>42</v>
      </c>
      <c r="I84" s="28" t="s">
        <v>167</v>
      </c>
      <c r="J84" s="183" t="s">
        <v>174</v>
      </c>
      <c r="K84" s="181">
        <v>680000</v>
      </c>
      <c r="L84" s="80" t="s">
        <v>216</v>
      </c>
      <c r="M84" s="80" t="s">
        <v>14</v>
      </c>
    </row>
    <row r="85" spans="1:13" ht="29">
      <c r="A85" s="27" t="s">
        <v>8862</v>
      </c>
      <c r="B85" s="181" t="s">
        <v>8979</v>
      </c>
      <c r="C85" s="27" t="s">
        <v>8864</v>
      </c>
      <c r="D85" s="181" t="s">
        <v>8878</v>
      </c>
      <c r="E85" s="182" t="s">
        <v>2631</v>
      </c>
      <c r="F85" s="181" t="s">
        <v>21</v>
      </c>
      <c r="G85" s="28" t="s">
        <v>70</v>
      </c>
      <c r="H85" s="28" t="s">
        <v>42</v>
      </c>
      <c r="I85" s="28" t="s">
        <v>167</v>
      </c>
      <c r="J85" s="183" t="s">
        <v>174</v>
      </c>
      <c r="K85" s="181">
        <v>1330500</v>
      </c>
      <c r="L85" s="80" t="s">
        <v>216</v>
      </c>
      <c r="M85" s="80" t="s">
        <v>14</v>
      </c>
    </row>
    <row r="86" spans="1:13" ht="29">
      <c r="A86" s="27" t="s">
        <v>8862</v>
      </c>
      <c r="B86" s="181" t="s">
        <v>8980</v>
      </c>
      <c r="C86" s="27" t="s">
        <v>8864</v>
      </c>
      <c r="D86" s="181" t="s">
        <v>8880</v>
      </c>
      <c r="E86" s="182" t="s">
        <v>2631</v>
      </c>
      <c r="F86" s="181" t="s">
        <v>21</v>
      </c>
      <c r="G86" s="28" t="s">
        <v>70</v>
      </c>
      <c r="H86" s="28" t="s">
        <v>42</v>
      </c>
      <c r="I86" s="28" t="s">
        <v>167</v>
      </c>
      <c r="J86" s="183" t="s">
        <v>174</v>
      </c>
      <c r="K86" s="181">
        <v>1130500</v>
      </c>
      <c r="L86" s="80" t="s">
        <v>216</v>
      </c>
      <c r="M86" s="80" t="s">
        <v>14</v>
      </c>
    </row>
    <row r="87" spans="1:13" ht="29">
      <c r="A87" s="27" t="s">
        <v>8862</v>
      </c>
      <c r="B87" s="181" t="s">
        <v>8981</v>
      </c>
      <c r="C87" s="27" t="s">
        <v>8864</v>
      </c>
      <c r="D87" s="181" t="s">
        <v>8882</v>
      </c>
      <c r="E87" s="182" t="s">
        <v>2631</v>
      </c>
      <c r="F87" s="181" t="s">
        <v>21</v>
      </c>
      <c r="G87" s="28" t="s">
        <v>70</v>
      </c>
      <c r="H87" s="28" t="s">
        <v>42</v>
      </c>
      <c r="I87" s="28" t="s">
        <v>167</v>
      </c>
      <c r="J87" s="183" t="s">
        <v>174</v>
      </c>
      <c r="K87" s="181">
        <v>430000</v>
      </c>
      <c r="L87" s="80" t="s">
        <v>216</v>
      </c>
      <c r="M87" s="80" t="s">
        <v>14</v>
      </c>
    </row>
    <row r="88" spans="1:13" ht="29">
      <c r="A88" s="27" t="s">
        <v>8862</v>
      </c>
      <c r="B88" s="181" t="s">
        <v>8982</v>
      </c>
      <c r="C88" s="27" t="s">
        <v>8864</v>
      </c>
      <c r="D88" s="181" t="s">
        <v>8884</v>
      </c>
      <c r="E88" s="182" t="s">
        <v>2631</v>
      </c>
      <c r="F88" s="181" t="s">
        <v>21</v>
      </c>
      <c r="G88" s="28" t="s">
        <v>70</v>
      </c>
      <c r="H88" s="28" t="s">
        <v>42</v>
      </c>
      <c r="I88" s="28" t="s">
        <v>167</v>
      </c>
      <c r="J88" s="183" t="s">
        <v>174</v>
      </c>
      <c r="K88" s="181">
        <v>1725500</v>
      </c>
      <c r="L88" s="80" t="s">
        <v>216</v>
      </c>
      <c r="M88" s="80" t="s">
        <v>14</v>
      </c>
    </row>
    <row r="89" spans="1:13" ht="29">
      <c r="A89" s="27" t="s">
        <v>8862</v>
      </c>
      <c r="B89" s="181" t="s">
        <v>8983</v>
      </c>
      <c r="C89" s="27" t="s">
        <v>8864</v>
      </c>
      <c r="D89" s="181" t="s">
        <v>8886</v>
      </c>
      <c r="E89" s="182" t="s">
        <v>2631</v>
      </c>
      <c r="F89" s="181" t="s">
        <v>21</v>
      </c>
      <c r="G89" s="28" t="s">
        <v>70</v>
      </c>
      <c r="H89" s="28" t="s">
        <v>42</v>
      </c>
      <c r="I89" s="28" t="s">
        <v>167</v>
      </c>
      <c r="J89" s="183" t="s">
        <v>174</v>
      </c>
      <c r="K89" s="181">
        <v>3280000</v>
      </c>
      <c r="L89" s="80" t="s">
        <v>216</v>
      </c>
      <c r="M89" s="80" t="s">
        <v>14</v>
      </c>
    </row>
    <row r="90" spans="1:13" ht="29">
      <c r="A90" s="27" t="s">
        <v>8862</v>
      </c>
      <c r="B90" s="181" t="s">
        <v>8984</v>
      </c>
      <c r="C90" s="27" t="s">
        <v>8864</v>
      </c>
      <c r="D90" s="181" t="s">
        <v>8888</v>
      </c>
      <c r="E90" s="182" t="s">
        <v>2631</v>
      </c>
      <c r="F90" s="181" t="s">
        <v>21</v>
      </c>
      <c r="G90" s="28" t="s">
        <v>70</v>
      </c>
      <c r="H90" s="28" t="s">
        <v>42</v>
      </c>
      <c r="I90" s="28" t="s">
        <v>167</v>
      </c>
      <c r="J90" s="183" t="s">
        <v>174</v>
      </c>
      <c r="K90" s="181">
        <v>2950000</v>
      </c>
      <c r="L90" s="80" t="s">
        <v>216</v>
      </c>
      <c r="M90" s="80" t="s">
        <v>14</v>
      </c>
    </row>
    <row r="91" spans="1:13" ht="29">
      <c r="A91" s="27" t="s">
        <v>8862</v>
      </c>
      <c r="B91" s="181" t="s">
        <v>8985</v>
      </c>
      <c r="C91" s="27" t="s">
        <v>8864</v>
      </c>
      <c r="D91" s="181" t="s">
        <v>8890</v>
      </c>
      <c r="E91" s="182" t="s">
        <v>2631</v>
      </c>
      <c r="F91" s="181" t="s">
        <v>21</v>
      </c>
      <c r="G91" s="28" t="s">
        <v>70</v>
      </c>
      <c r="H91" s="28" t="s">
        <v>42</v>
      </c>
      <c r="I91" s="28" t="s">
        <v>167</v>
      </c>
      <c r="J91" s="183" t="s">
        <v>174</v>
      </c>
      <c r="K91" s="181">
        <v>2480000</v>
      </c>
      <c r="L91" s="80" t="s">
        <v>216</v>
      </c>
      <c r="M91" s="80" t="s">
        <v>14</v>
      </c>
    </row>
    <row r="92" spans="1:13" ht="29">
      <c r="A92" s="27" t="s">
        <v>8862</v>
      </c>
      <c r="B92" s="181" t="s">
        <v>8986</v>
      </c>
      <c r="C92" s="27" t="s">
        <v>8864</v>
      </c>
      <c r="D92" s="181" t="s">
        <v>8892</v>
      </c>
      <c r="E92" s="182" t="s">
        <v>2631</v>
      </c>
      <c r="F92" s="181" t="s">
        <v>21</v>
      </c>
      <c r="G92" s="28" t="s">
        <v>70</v>
      </c>
      <c r="H92" s="28" t="s">
        <v>42</v>
      </c>
      <c r="I92" s="28" t="s">
        <v>167</v>
      </c>
      <c r="J92" s="183" t="s">
        <v>174</v>
      </c>
      <c r="K92" s="181">
        <v>3280000</v>
      </c>
      <c r="L92" s="80" t="s">
        <v>216</v>
      </c>
      <c r="M92" s="80" t="s">
        <v>14</v>
      </c>
    </row>
    <row r="93" spans="1:13" ht="29">
      <c r="A93" s="27" t="s">
        <v>8862</v>
      </c>
      <c r="B93" s="181" t="s">
        <v>8987</v>
      </c>
      <c r="C93" s="27" t="s">
        <v>8864</v>
      </c>
      <c r="D93" s="181" t="s">
        <v>8894</v>
      </c>
      <c r="E93" s="182" t="s">
        <v>8895</v>
      </c>
      <c r="F93" s="181" t="s">
        <v>16</v>
      </c>
      <c r="G93" s="28" t="s">
        <v>70</v>
      </c>
      <c r="H93" s="28" t="s">
        <v>8896</v>
      </c>
      <c r="I93" s="28" t="s">
        <v>167</v>
      </c>
      <c r="J93" s="183" t="s">
        <v>174</v>
      </c>
      <c r="K93" s="181">
        <v>3690000</v>
      </c>
      <c r="L93" s="80" t="s">
        <v>216</v>
      </c>
      <c r="M93" s="80" t="s">
        <v>14</v>
      </c>
    </row>
    <row r="94" spans="1:13" ht="29">
      <c r="A94" s="27" t="s">
        <v>8862</v>
      </c>
      <c r="B94" s="181" t="s">
        <v>8988</v>
      </c>
      <c r="C94" s="27" t="s">
        <v>8864</v>
      </c>
      <c r="D94" s="181" t="s">
        <v>8898</v>
      </c>
      <c r="E94" s="182" t="s">
        <v>2631</v>
      </c>
      <c r="F94" s="181" t="s">
        <v>21</v>
      </c>
      <c r="G94" s="28" t="s">
        <v>72</v>
      </c>
      <c r="H94" s="28" t="s">
        <v>42</v>
      </c>
      <c r="I94" s="28" t="s">
        <v>167</v>
      </c>
      <c r="J94" s="183" t="s">
        <v>174</v>
      </c>
      <c r="K94" s="181">
        <v>23800</v>
      </c>
      <c r="L94" s="80" t="s">
        <v>216</v>
      </c>
      <c r="M94" s="80" t="s">
        <v>14</v>
      </c>
    </row>
    <row r="95" spans="1:13" ht="29">
      <c r="A95" s="27" t="s">
        <v>8862</v>
      </c>
      <c r="B95" s="181" t="s">
        <v>8989</v>
      </c>
      <c r="C95" s="27" t="s">
        <v>8864</v>
      </c>
      <c r="D95" s="181" t="s">
        <v>8900</v>
      </c>
      <c r="E95" s="182" t="s">
        <v>2631</v>
      </c>
      <c r="F95" s="181" t="s">
        <v>21</v>
      </c>
      <c r="G95" s="28" t="s">
        <v>72</v>
      </c>
      <c r="H95" s="28" t="s">
        <v>42</v>
      </c>
      <c r="I95" s="28" t="s">
        <v>167</v>
      </c>
      <c r="J95" s="183" t="s">
        <v>174</v>
      </c>
      <c r="K95" s="181">
        <v>440000</v>
      </c>
      <c r="L95" s="80" t="s">
        <v>216</v>
      </c>
      <c r="M95" s="80" t="s">
        <v>14</v>
      </c>
    </row>
    <row r="96" spans="1:13" ht="29">
      <c r="A96" s="27" t="s">
        <v>8862</v>
      </c>
      <c r="B96" s="181" t="s">
        <v>8990</v>
      </c>
      <c r="C96" s="27" t="s">
        <v>8864</v>
      </c>
      <c r="D96" s="181" t="s">
        <v>8902</v>
      </c>
      <c r="E96" s="182" t="s">
        <v>2631</v>
      </c>
      <c r="F96" s="181" t="s">
        <v>21</v>
      </c>
      <c r="G96" s="28" t="s">
        <v>72</v>
      </c>
      <c r="H96" s="28" t="s">
        <v>42</v>
      </c>
      <c r="I96" s="28" t="s">
        <v>167</v>
      </c>
      <c r="J96" s="183" t="s">
        <v>174</v>
      </c>
      <c r="K96" s="181">
        <v>410000</v>
      </c>
      <c r="L96" s="80" t="s">
        <v>216</v>
      </c>
      <c r="M96" s="80" t="s">
        <v>14</v>
      </c>
    </row>
    <row r="97" spans="1:13" ht="29">
      <c r="A97" s="27" t="s">
        <v>8862</v>
      </c>
      <c r="B97" s="181" t="s">
        <v>8991</v>
      </c>
      <c r="C97" s="27" t="s">
        <v>8864</v>
      </c>
      <c r="D97" s="181" t="s">
        <v>8904</v>
      </c>
      <c r="E97" s="182" t="s">
        <v>2631</v>
      </c>
      <c r="F97" s="181" t="s">
        <v>21</v>
      </c>
      <c r="G97" s="28" t="s">
        <v>72</v>
      </c>
      <c r="H97" s="28" t="s">
        <v>42</v>
      </c>
      <c r="I97" s="28" t="s">
        <v>167</v>
      </c>
      <c r="J97" s="183" t="s">
        <v>174</v>
      </c>
      <c r="K97" s="181">
        <v>892500</v>
      </c>
      <c r="L97" s="80" t="s">
        <v>216</v>
      </c>
      <c r="M97" s="80" t="s">
        <v>14</v>
      </c>
    </row>
    <row r="98" spans="1:13" ht="29">
      <c r="A98" s="27" t="s">
        <v>8862</v>
      </c>
      <c r="B98" s="181" t="s">
        <v>8992</v>
      </c>
      <c r="C98" s="27" t="s">
        <v>8864</v>
      </c>
      <c r="D98" s="181" t="s">
        <v>8906</v>
      </c>
      <c r="E98" s="182" t="s">
        <v>2631</v>
      </c>
      <c r="F98" s="181" t="s">
        <v>21</v>
      </c>
      <c r="G98" s="28" t="s">
        <v>72</v>
      </c>
      <c r="H98" s="28" t="s">
        <v>42</v>
      </c>
      <c r="I98" s="28" t="s">
        <v>167</v>
      </c>
      <c r="J98" s="183" t="s">
        <v>174</v>
      </c>
      <c r="K98" s="181">
        <v>833000</v>
      </c>
      <c r="L98" s="80" t="s">
        <v>216</v>
      </c>
      <c r="M98" s="80" t="s">
        <v>14</v>
      </c>
    </row>
    <row r="99" spans="1:13" ht="29">
      <c r="A99" s="27" t="s">
        <v>8862</v>
      </c>
      <c r="B99" s="181" t="s">
        <v>8993</v>
      </c>
      <c r="C99" s="27" t="s">
        <v>8864</v>
      </c>
      <c r="D99" s="181" t="s">
        <v>8908</v>
      </c>
      <c r="E99" s="182" t="s">
        <v>2631</v>
      </c>
      <c r="F99" s="181" t="s">
        <v>21</v>
      </c>
      <c r="G99" s="28" t="s">
        <v>72</v>
      </c>
      <c r="H99" s="28" t="s">
        <v>42</v>
      </c>
      <c r="I99" s="28" t="s">
        <v>167</v>
      </c>
      <c r="J99" s="183" t="s">
        <v>174</v>
      </c>
      <c r="K99" s="181">
        <v>71400</v>
      </c>
      <c r="L99" s="80" t="s">
        <v>216</v>
      </c>
      <c r="M99" s="80" t="s">
        <v>14</v>
      </c>
    </row>
    <row r="100" spans="1:13" ht="29">
      <c r="A100" s="27" t="s">
        <v>8862</v>
      </c>
      <c r="B100" s="181" t="s">
        <v>8994</v>
      </c>
      <c r="C100" s="27" t="s">
        <v>8864</v>
      </c>
      <c r="D100" s="181" t="s">
        <v>8910</v>
      </c>
      <c r="E100" s="182" t="s">
        <v>2648</v>
      </c>
      <c r="F100" s="181" t="s">
        <v>21</v>
      </c>
      <c r="G100" s="28" t="s">
        <v>72</v>
      </c>
      <c r="H100" s="28" t="s">
        <v>42</v>
      </c>
      <c r="I100" s="28" t="s">
        <v>167</v>
      </c>
      <c r="J100" s="183" t="s">
        <v>174</v>
      </c>
      <c r="K100" s="181">
        <v>3570000</v>
      </c>
      <c r="L100" s="80" t="s">
        <v>216</v>
      </c>
      <c r="M100" s="80" t="s">
        <v>14</v>
      </c>
    </row>
    <row r="101" spans="1:13" ht="29">
      <c r="A101" s="27" t="s">
        <v>8862</v>
      </c>
      <c r="B101" s="181" t="s">
        <v>8995</v>
      </c>
      <c r="C101" s="27" t="s">
        <v>8864</v>
      </c>
      <c r="D101" s="181" t="s">
        <v>8912</v>
      </c>
      <c r="E101" s="182" t="s">
        <v>2648</v>
      </c>
      <c r="F101" s="181" t="s">
        <v>21</v>
      </c>
      <c r="G101" s="28" t="s">
        <v>72</v>
      </c>
      <c r="H101" s="28" t="s">
        <v>42</v>
      </c>
      <c r="I101" s="28" t="s">
        <v>167</v>
      </c>
      <c r="J101" s="183" t="s">
        <v>174</v>
      </c>
      <c r="K101" s="181">
        <v>5950000</v>
      </c>
      <c r="L101" s="80" t="s">
        <v>216</v>
      </c>
      <c r="M101" s="80" t="s">
        <v>14</v>
      </c>
    </row>
    <row r="102" spans="1:13" ht="29">
      <c r="A102" s="27" t="s">
        <v>8862</v>
      </c>
      <c r="B102" s="181" t="s">
        <v>8996</v>
      </c>
      <c r="C102" s="27" t="s">
        <v>8864</v>
      </c>
      <c r="D102" s="181" t="s">
        <v>8914</v>
      </c>
      <c r="E102" s="182" t="s">
        <v>2648</v>
      </c>
      <c r="F102" s="181" t="s">
        <v>21</v>
      </c>
      <c r="G102" s="28" t="s">
        <v>72</v>
      </c>
      <c r="H102" s="28" t="s">
        <v>42</v>
      </c>
      <c r="I102" s="28" t="s">
        <v>167</v>
      </c>
      <c r="J102" s="183" t="s">
        <v>174</v>
      </c>
      <c r="K102" s="181">
        <v>3570000</v>
      </c>
      <c r="L102" s="80" t="s">
        <v>216</v>
      </c>
      <c r="M102" s="80" t="s">
        <v>14</v>
      </c>
    </row>
    <row r="103" spans="1:13" ht="29">
      <c r="A103" s="27" t="s">
        <v>8862</v>
      </c>
      <c r="B103" s="181" t="s">
        <v>8997</v>
      </c>
      <c r="C103" s="27" t="s">
        <v>8864</v>
      </c>
      <c r="D103" s="181" t="s">
        <v>8916</v>
      </c>
      <c r="E103" s="182" t="s">
        <v>2631</v>
      </c>
      <c r="F103" s="181" t="s">
        <v>21</v>
      </c>
      <c r="G103" s="28" t="s">
        <v>72</v>
      </c>
      <c r="H103" s="28" t="s">
        <v>42</v>
      </c>
      <c r="I103" s="28" t="s">
        <v>167</v>
      </c>
      <c r="J103" s="183" t="s">
        <v>174</v>
      </c>
      <c r="K103" s="181">
        <v>357000</v>
      </c>
      <c r="L103" s="80" t="s">
        <v>216</v>
      </c>
      <c r="M103" s="80" t="s">
        <v>14</v>
      </c>
    </row>
    <row r="104" spans="1:13" ht="29">
      <c r="A104" s="27" t="s">
        <v>8862</v>
      </c>
      <c r="B104" s="181" t="s">
        <v>8998</v>
      </c>
      <c r="C104" s="27" t="s">
        <v>8864</v>
      </c>
      <c r="D104" s="181" t="s">
        <v>8918</v>
      </c>
      <c r="E104" s="182" t="s">
        <v>32</v>
      </c>
      <c r="F104" s="181" t="s">
        <v>21</v>
      </c>
      <c r="G104" s="28" t="s">
        <v>72</v>
      </c>
      <c r="H104" s="28" t="s">
        <v>42</v>
      </c>
      <c r="I104" s="28" t="s">
        <v>167</v>
      </c>
      <c r="J104" s="183" t="s">
        <v>174</v>
      </c>
      <c r="K104" s="181">
        <v>14280</v>
      </c>
      <c r="L104" s="80" t="s">
        <v>216</v>
      </c>
      <c r="M104" s="80" t="s">
        <v>14</v>
      </c>
    </row>
    <row r="105" spans="1:13" ht="29">
      <c r="A105" s="27" t="s">
        <v>8862</v>
      </c>
      <c r="B105" s="181" t="s">
        <v>8999</v>
      </c>
      <c r="C105" s="27" t="s">
        <v>8864</v>
      </c>
      <c r="D105" s="181" t="s">
        <v>8920</v>
      </c>
      <c r="E105" s="182" t="s">
        <v>2631</v>
      </c>
      <c r="F105" s="181" t="s">
        <v>21</v>
      </c>
      <c r="G105" s="28" t="s">
        <v>72</v>
      </c>
      <c r="H105" s="28" t="s">
        <v>42</v>
      </c>
      <c r="I105" s="28" t="s">
        <v>167</v>
      </c>
      <c r="J105" s="183" t="s">
        <v>174</v>
      </c>
      <c r="K105" s="181">
        <v>1130500</v>
      </c>
      <c r="L105" s="80" t="s">
        <v>216</v>
      </c>
      <c r="M105" s="80" t="s">
        <v>14</v>
      </c>
    </row>
    <row r="106" spans="1:13" ht="29">
      <c r="A106" s="27" t="s">
        <v>8862</v>
      </c>
      <c r="B106" s="181" t="s">
        <v>9000</v>
      </c>
      <c r="C106" s="27" t="s">
        <v>8864</v>
      </c>
      <c r="D106" s="181" t="s">
        <v>8922</v>
      </c>
      <c r="E106" s="182" t="s">
        <v>8923</v>
      </c>
      <c r="F106" s="181" t="s">
        <v>21</v>
      </c>
      <c r="G106" s="28" t="s">
        <v>72</v>
      </c>
      <c r="H106" s="28" t="s">
        <v>42</v>
      </c>
      <c r="I106" s="28" t="s">
        <v>167</v>
      </c>
      <c r="J106" s="183" t="s">
        <v>174</v>
      </c>
      <c r="K106" s="181">
        <v>1219750</v>
      </c>
      <c r="L106" s="80" t="s">
        <v>216</v>
      </c>
      <c r="M106" s="80" t="s">
        <v>14</v>
      </c>
    </row>
    <row r="107" spans="1:13" ht="29">
      <c r="A107" s="27" t="s">
        <v>8862</v>
      </c>
      <c r="B107" s="181" t="s">
        <v>9001</v>
      </c>
      <c r="C107" s="27" t="s">
        <v>8864</v>
      </c>
      <c r="D107" s="181" t="s">
        <v>8925</v>
      </c>
      <c r="E107" s="182" t="s">
        <v>8926</v>
      </c>
      <c r="F107" s="181" t="s">
        <v>21</v>
      </c>
      <c r="G107" s="28" t="s">
        <v>72</v>
      </c>
      <c r="H107" s="28" t="s">
        <v>42</v>
      </c>
      <c r="I107" s="28" t="s">
        <v>167</v>
      </c>
      <c r="J107" s="183" t="s">
        <v>174</v>
      </c>
      <c r="K107" s="181">
        <v>71400</v>
      </c>
      <c r="L107" s="80" t="s">
        <v>216</v>
      </c>
      <c r="M107" s="80" t="s">
        <v>14</v>
      </c>
    </row>
    <row r="108" spans="1:13" ht="29">
      <c r="A108" s="27" t="s">
        <v>8862</v>
      </c>
      <c r="B108" s="181" t="s">
        <v>9002</v>
      </c>
      <c r="C108" s="27" t="s">
        <v>8864</v>
      </c>
      <c r="D108" s="181" t="s">
        <v>8928</v>
      </c>
      <c r="E108" s="182" t="s">
        <v>2757</v>
      </c>
      <c r="F108" s="181" t="s">
        <v>21</v>
      </c>
      <c r="G108" s="28" t="s">
        <v>72</v>
      </c>
      <c r="H108" s="28" t="s">
        <v>42</v>
      </c>
      <c r="I108" s="28" t="s">
        <v>166</v>
      </c>
      <c r="J108" s="183" t="s">
        <v>174</v>
      </c>
      <c r="K108" s="181">
        <v>416500</v>
      </c>
      <c r="L108" s="80" t="s">
        <v>216</v>
      </c>
      <c r="M108" s="80" t="s">
        <v>14</v>
      </c>
    </row>
    <row r="109" spans="1:13" ht="29">
      <c r="A109" s="27" t="s">
        <v>8862</v>
      </c>
      <c r="B109" s="181" t="s">
        <v>9003</v>
      </c>
      <c r="C109" s="27" t="s">
        <v>8864</v>
      </c>
      <c r="D109" s="181" t="s">
        <v>90</v>
      </c>
      <c r="E109" s="182" t="s">
        <v>2757</v>
      </c>
      <c r="F109" s="181" t="s">
        <v>21</v>
      </c>
      <c r="G109" s="28" t="s">
        <v>72</v>
      </c>
      <c r="H109" s="28" t="s">
        <v>42</v>
      </c>
      <c r="I109" s="28" t="s">
        <v>166</v>
      </c>
      <c r="J109" s="183" t="s">
        <v>174</v>
      </c>
      <c r="K109" s="181">
        <v>950000</v>
      </c>
      <c r="L109" s="80" t="s">
        <v>216</v>
      </c>
      <c r="M109" s="80" t="s">
        <v>14</v>
      </c>
    </row>
    <row r="110" spans="1:13" ht="29">
      <c r="A110" s="27" t="s">
        <v>8862</v>
      </c>
      <c r="B110" s="181" t="s">
        <v>9004</v>
      </c>
      <c r="C110" s="27" t="s">
        <v>8864</v>
      </c>
      <c r="D110" s="181" t="s">
        <v>98</v>
      </c>
      <c r="E110" s="182" t="s">
        <v>2757</v>
      </c>
      <c r="F110" s="181" t="s">
        <v>21</v>
      </c>
      <c r="G110" s="28" t="s">
        <v>72</v>
      </c>
      <c r="H110" s="28" t="s">
        <v>42</v>
      </c>
      <c r="I110" s="28" t="s">
        <v>166</v>
      </c>
      <c r="J110" s="183" t="s">
        <v>174</v>
      </c>
      <c r="K110" s="181">
        <v>1700000</v>
      </c>
      <c r="L110" s="80" t="s">
        <v>216</v>
      </c>
      <c r="M110" s="80" t="s">
        <v>14</v>
      </c>
    </row>
    <row r="111" spans="1:13" ht="29">
      <c r="A111" s="27" t="s">
        <v>8862</v>
      </c>
      <c r="B111" s="181" t="s">
        <v>9005</v>
      </c>
      <c r="C111" s="27" t="s">
        <v>8864</v>
      </c>
      <c r="D111" s="181" t="s">
        <v>106</v>
      </c>
      <c r="E111" s="182" t="s">
        <v>2757</v>
      </c>
      <c r="F111" s="181" t="s">
        <v>21</v>
      </c>
      <c r="G111" s="28" t="s">
        <v>72</v>
      </c>
      <c r="H111" s="28" t="s">
        <v>42</v>
      </c>
      <c r="I111" s="28" t="s">
        <v>166</v>
      </c>
      <c r="J111" s="183" t="s">
        <v>174</v>
      </c>
      <c r="K111" s="181">
        <v>950000</v>
      </c>
      <c r="L111" s="80" t="s">
        <v>216</v>
      </c>
      <c r="M111" s="80" t="s">
        <v>14</v>
      </c>
    </row>
    <row r="112" spans="1:13" ht="29">
      <c r="A112" s="27" t="s">
        <v>8862</v>
      </c>
      <c r="B112" s="181" t="s">
        <v>9006</v>
      </c>
      <c r="C112" s="27" t="s">
        <v>8864</v>
      </c>
      <c r="D112" s="181" t="s">
        <v>113</v>
      </c>
      <c r="E112" s="182" t="s">
        <v>2757</v>
      </c>
      <c r="F112" s="181" t="s">
        <v>21</v>
      </c>
      <c r="G112" s="28" t="s">
        <v>72</v>
      </c>
      <c r="H112" s="28" t="s">
        <v>42</v>
      </c>
      <c r="I112" s="28" t="s">
        <v>167</v>
      </c>
      <c r="J112" s="183" t="s">
        <v>174</v>
      </c>
      <c r="K112" s="181">
        <v>1700000</v>
      </c>
      <c r="L112" s="80" t="s">
        <v>216</v>
      </c>
      <c r="M112" s="80" t="s">
        <v>14</v>
      </c>
    </row>
    <row r="113" spans="1:13" ht="29">
      <c r="A113" s="27" t="s">
        <v>8862</v>
      </c>
      <c r="B113" s="181" t="s">
        <v>9007</v>
      </c>
      <c r="C113" s="27" t="s">
        <v>8864</v>
      </c>
      <c r="D113" s="181" t="s">
        <v>148</v>
      </c>
      <c r="E113" s="182" t="s">
        <v>2757</v>
      </c>
      <c r="F113" s="181" t="s">
        <v>21</v>
      </c>
      <c r="G113" s="28" t="s">
        <v>72</v>
      </c>
      <c r="H113" s="28" t="s">
        <v>42</v>
      </c>
      <c r="I113" s="28" t="s">
        <v>167</v>
      </c>
      <c r="J113" s="183" t="s">
        <v>174</v>
      </c>
      <c r="K113" s="181">
        <v>1450000</v>
      </c>
      <c r="L113" s="80" t="s">
        <v>216</v>
      </c>
      <c r="M113" s="80" t="s">
        <v>14</v>
      </c>
    </row>
    <row r="114" spans="1:13" ht="29">
      <c r="A114" s="27" t="s">
        <v>8862</v>
      </c>
      <c r="B114" s="181" t="s">
        <v>9008</v>
      </c>
      <c r="C114" s="27" t="s">
        <v>8864</v>
      </c>
      <c r="D114" s="181" t="s">
        <v>152</v>
      </c>
      <c r="E114" s="182" t="s">
        <v>2757</v>
      </c>
      <c r="F114" s="181" t="s">
        <v>21</v>
      </c>
      <c r="G114" s="28" t="s">
        <v>72</v>
      </c>
      <c r="H114" s="28" t="s">
        <v>42</v>
      </c>
      <c r="I114" s="28" t="s">
        <v>167</v>
      </c>
      <c r="J114" s="183" t="s">
        <v>174</v>
      </c>
      <c r="K114" s="181">
        <v>425000</v>
      </c>
      <c r="L114" s="80" t="s">
        <v>216</v>
      </c>
      <c r="M114" s="80" t="s">
        <v>14</v>
      </c>
    </row>
    <row r="115" spans="1:13" ht="29">
      <c r="A115" s="27" t="s">
        <v>8862</v>
      </c>
      <c r="B115" s="181" t="s">
        <v>9009</v>
      </c>
      <c r="C115" s="27" t="s">
        <v>8864</v>
      </c>
      <c r="D115" s="181" t="s">
        <v>159</v>
      </c>
      <c r="E115" s="182" t="s">
        <v>2757</v>
      </c>
      <c r="F115" s="181" t="s">
        <v>21</v>
      </c>
      <c r="G115" s="28" t="s">
        <v>72</v>
      </c>
      <c r="H115" s="28" t="s">
        <v>42</v>
      </c>
      <c r="I115" s="28" t="s">
        <v>167</v>
      </c>
      <c r="J115" s="183" t="s">
        <v>174</v>
      </c>
      <c r="K115" s="181">
        <v>1650000</v>
      </c>
      <c r="L115" s="80" t="s">
        <v>216</v>
      </c>
      <c r="M115" s="80" t="s">
        <v>14</v>
      </c>
    </row>
  </sheetData>
  <mergeCells count="1">
    <mergeCell ref="A1:M3"/>
  </mergeCells>
  <conditionalFormatting sqref="B4:B1048576">
    <cfRule type="duplicateValues" dxfId="11" priority="1"/>
  </conditionalFormatting>
  <dataValidations count="1">
    <dataValidation type="list" allowBlank="1" showInputMessage="1" showErrorMessage="1" sqref="L5:L91">
      <formula1>"Sí,No"</formula1>
    </dataValidation>
  </dataValidations>
  <pageMargins left="0.25" right="0.25" top="0.75" bottom="0.75" header="0.3" footer="0.3"/>
  <pageSetup scale="50"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0"/>
  <sheetViews>
    <sheetView showGridLines="0" zoomScaleNormal="100" workbookViewId="0">
      <selection activeCell="D17" sqref="D17"/>
    </sheetView>
  </sheetViews>
  <sheetFormatPr baseColWidth="10" defaultColWidth="10.90625" defaultRowHeight="14.5"/>
  <cols>
    <col min="1" max="1" width="14.54296875" style="8" customWidth="1"/>
    <col min="2" max="2" width="22.08984375" style="8" bestFit="1" customWidth="1"/>
    <col min="3" max="3" width="16.36328125" style="8" bestFit="1" customWidth="1"/>
    <col min="4" max="4" width="73.90625" style="8" customWidth="1"/>
    <col min="5" max="5" width="12" style="8" customWidth="1"/>
    <col min="6" max="6" width="9.453125" style="8" bestFit="1" customWidth="1"/>
    <col min="7" max="7" width="11.1796875" style="8" bestFit="1" customWidth="1"/>
    <col min="8" max="8" width="11.08984375" style="8" bestFit="1" customWidth="1"/>
    <col min="9" max="9" width="12.54296875" style="8" bestFit="1" customWidth="1"/>
    <col min="10" max="10" width="46.08984375" style="8" bestFit="1" customWidth="1"/>
    <col min="11" max="11" width="10" style="8" bestFit="1" customWidth="1"/>
    <col min="12" max="12" width="11.36328125" style="8" bestFit="1" customWidth="1"/>
    <col min="13" max="13" width="9.6328125" style="8" bestFit="1" customWidth="1"/>
    <col min="14" max="16384" width="10.90625" style="8"/>
  </cols>
  <sheetData>
    <row r="1" spans="1:13" ht="19.5" customHeight="1">
      <c r="A1" s="328" t="s">
        <v>9056</v>
      </c>
      <c r="B1" s="328"/>
      <c r="C1" s="328"/>
      <c r="D1" s="328"/>
      <c r="E1" s="328"/>
      <c r="F1" s="328"/>
      <c r="G1" s="328"/>
      <c r="H1" s="328"/>
      <c r="I1" s="328"/>
      <c r="J1" s="328"/>
      <c r="K1" s="328"/>
      <c r="L1" s="328"/>
      <c r="M1" s="328"/>
    </row>
    <row r="2" spans="1:13" ht="19.5" customHeight="1">
      <c r="A2" s="328"/>
      <c r="B2" s="328"/>
      <c r="C2" s="328"/>
      <c r="D2" s="328"/>
      <c r="E2" s="328"/>
      <c r="F2" s="328"/>
      <c r="G2" s="328"/>
      <c r="H2" s="328"/>
      <c r="I2" s="328"/>
      <c r="J2" s="328"/>
      <c r="K2" s="328"/>
      <c r="L2" s="328"/>
      <c r="M2" s="328"/>
    </row>
    <row r="3" spans="1:13" ht="19.5" customHeight="1">
      <c r="A3" s="328"/>
      <c r="B3" s="328"/>
      <c r="C3" s="328"/>
      <c r="D3" s="328"/>
      <c r="E3" s="328"/>
      <c r="F3" s="328"/>
      <c r="G3" s="328"/>
      <c r="H3" s="328"/>
      <c r="I3" s="328"/>
      <c r="J3" s="328"/>
      <c r="K3" s="328"/>
      <c r="L3" s="328"/>
      <c r="M3" s="328"/>
    </row>
    <row r="4" spans="1:13" s="17" customFormat="1" ht="22.5" customHeight="1">
      <c r="A4" s="184" t="s">
        <v>1445</v>
      </c>
      <c r="B4" s="184" t="s">
        <v>1430</v>
      </c>
      <c r="C4" s="184" t="s">
        <v>1446</v>
      </c>
      <c r="D4" s="184" t="s">
        <v>4</v>
      </c>
      <c r="E4" s="184" t="s">
        <v>5</v>
      </c>
      <c r="F4" s="184" t="s">
        <v>6</v>
      </c>
      <c r="G4" s="184" t="s">
        <v>7</v>
      </c>
      <c r="H4" s="184" t="s">
        <v>8</v>
      </c>
      <c r="I4" s="184" t="s">
        <v>9</v>
      </c>
      <c r="J4" s="184" t="s">
        <v>1434</v>
      </c>
      <c r="K4" s="184" t="s">
        <v>12</v>
      </c>
      <c r="L4" s="184" t="s">
        <v>1433</v>
      </c>
      <c r="M4" s="184" t="s">
        <v>3</v>
      </c>
    </row>
    <row r="5" spans="1:13">
      <c r="A5" s="27" t="s">
        <v>9056</v>
      </c>
      <c r="B5" s="181" t="s">
        <v>9057</v>
      </c>
      <c r="C5" s="27" t="s">
        <v>9058</v>
      </c>
      <c r="D5" s="181" t="s">
        <v>9059</v>
      </c>
      <c r="E5" s="182" t="s">
        <v>64</v>
      </c>
      <c r="F5" s="181" t="s">
        <v>16</v>
      </c>
      <c r="G5" s="28" t="s">
        <v>2923</v>
      </c>
      <c r="H5" s="28" t="s">
        <v>42</v>
      </c>
      <c r="I5" s="28" t="s">
        <v>15</v>
      </c>
      <c r="J5" s="183" t="s">
        <v>9060</v>
      </c>
      <c r="K5" s="181">
        <v>1600</v>
      </c>
      <c r="L5" s="80" t="s">
        <v>402</v>
      </c>
      <c r="M5" s="80" t="s">
        <v>175</v>
      </c>
    </row>
    <row r="6" spans="1:13">
      <c r="A6" s="27" t="s">
        <v>9056</v>
      </c>
      <c r="B6" s="181" t="s">
        <v>9061</v>
      </c>
      <c r="C6" s="27" t="s">
        <v>9058</v>
      </c>
      <c r="D6" s="181" t="s">
        <v>9062</v>
      </c>
      <c r="E6" s="182" t="s">
        <v>64</v>
      </c>
      <c r="F6" s="181" t="s">
        <v>16</v>
      </c>
      <c r="G6" s="28" t="s">
        <v>2923</v>
      </c>
      <c r="H6" s="28" t="s">
        <v>42</v>
      </c>
      <c r="I6" s="28" t="s">
        <v>15</v>
      </c>
      <c r="J6" s="183" t="s">
        <v>9060</v>
      </c>
      <c r="K6" s="181">
        <v>2800</v>
      </c>
      <c r="L6" s="80" t="s">
        <v>402</v>
      </c>
      <c r="M6" s="80" t="s">
        <v>175</v>
      </c>
    </row>
    <row r="7" spans="1:13">
      <c r="A7" s="27" t="s">
        <v>9056</v>
      </c>
      <c r="B7" s="181" t="s">
        <v>9063</v>
      </c>
      <c r="C7" s="27" t="s">
        <v>9058</v>
      </c>
      <c r="D7" s="181" t="s">
        <v>9064</v>
      </c>
      <c r="E7" s="182" t="s">
        <v>64</v>
      </c>
      <c r="F7" s="181" t="s">
        <v>16</v>
      </c>
      <c r="G7" s="28" t="s">
        <v>2923</v>
      </c>
      <c r="H7" s="28" t="s">
        <v>42</v>
      </c>
      <c r="I7" s="28" t="s">
        <v>15</v>
      </c>
      <c r="J7" s="183" t="s">
        <v>9060</v>
      </c>
      <c r="K7" s="181">
        <v>1300</v>
      </c>
      <c r="L7" s="80" t="s">
        <v>402</v>
      </c>
      <c r="M7" s="80" t="s">
        <v>175</v>
      </c>
    </row>
    <row r="8" spans="1:13">
      <c r="A8" s="27" t="s">
        <v>9056</v>
      </c>
      <c r="B8" s="181" t="s">
        <v>9065</v>
      </c>
      <c r="C8" s="27" t="s">
        <v>9058</v>
      </c>
      <c r="D8" s="181" t="s">
        <v>9066</v>
      </c>
      <c r="E8" s="182" t="s">
        <v>64</v>
      </c>
      <c r="F8" s="181" t="s">
        <v>16</v>
      </c>
      <c r="G8" s="28" t="s">
        <v>2923</v>
      </c>
      <c r="H8" s="28" t="s">
        <v>42</v>
      </c>
      <c r="I8" s="28" t="s">
        <v>15</v>
      </c>
      <c r="J8" s="183" t="s">
        <v>9060</v>
      </c>
      <c r="K8" s="181">
        <v>1100</v>
      </c>
      <c r="L8" s="80" t="s">
        <v>402</v>
      </c>
      <c r="M8" s="80" t="s">
        <v>175</v>
      </c>
    </row>
    <row r="9" spans="1:13">
      <c r="A9" s="27" t="s">
        <v>9056</v>
      </c>
      <c r="B9" s="181" t="s">
        <v>9067</v>
      </c>
      <c r="C9" s="27" t="s">
        <v>9058</v>
      </c>
      <c r="D9" s="181" t="s">
        <v>9068</v>
      </c>
      <c r="E9" s="182" t="s">
        <v>64</v>
      </c>
      <c r="F9" s="181" t="s">
        <v>16</v>
      </c>
      <c r="G9" s="28" t="s">
        <v>2923</v>
      </c>
      <c r="H9" s="28" t="s">
        <v>42</v>
      </c>
      <c r="I9" s="28" t="s">
        <v>15</v>
      </c>
      <c r="J9" s="183" t="s">
        <v>9060</v>
      </c>
      <c r="K9" s="181">
        <v>3000</v>
      </c>
      <c r="L9" s="80" t="s">
        <v>402</v>
      </c>
      <c r="M9" s="80" t="s">
        <v>175</v>
      </c>
    </row>
    <row r="10" spans="1:13">
      <c r="A10" s="27" t="s">
        <v>9056</v>
      </c>
      <c r="B10" s="181" t="s">
        <v>9069</v>
      </c>
      <c r="C10" s="27" t="s">
        <v>9058</v>
      </c>
      <c r="D10" s="181" t="s">
        <v>9070</v>
      </c>
      <c r="E10" s="182" t="s">
        <v>64</v>
      </c>
      <c r="F10" s="181" t="s">
        <v>16</v>
      </c>
      <c r="G10" s="28" t="s">
        <v>2923</v>
      </c>
      <c r="H10" s="28" t="s">
        <v>42</v>
      </c>
      <c r="I10" s="28" t="s">
        <v>15</v>
      </c>
      <c r="J10" s="183" t="s">
        <v>9060</v>
      </c>
      <c r="K10" s="181">
        <v>3200</v>
      </c>
      <c r="L10" s="80" t="s">
        <v>402</v>
      </c>
      <c r="M10" s="80" t="s">
        <v>175</v>
      </c>
    </row>
    <row r="11" spans="1:13">
      <c r="A11" s="27" t="s">
        <v>9056</v>
      </c>
      <c r="B11" s="181" t="s">
        <v>9071</v>
      </c>
      <c r="C11" s="27" t="s">
        <v>9058</v>
      </c>
      <c r="D11" s="181" t="s">
        <v>9072</v>
      </c>
      <c r="E11" s="182" t="s">
        <v>64</v>
      </c>
      <c r="F11" s="181" t="s">
        <v>16</v>
      </c>
      <c r="G11" s="28" t="s">
        <v>2923</v>
      </c>
      <c r="H11" s="28" t="s">
        <v>42</v>
      </c>
      <c r="I11" s="28" t="s">
        <v>15</v>
      </c>
      <c r="J11" s="183" t="s">
        <v>9060</v>
      </c>
      <c r="K11" s="181">
        <v>4200</v>
      </c>
      <c r="L11" s="80" t="s">
        <v>402</v>
      </c>
      <c r="M11" s="80" t="s">
        <v>175</v>
      </c>
    </row>
    <row r="12" spans="1:13">
      <c r="A12" s="27" t="s">
        <v>9056</v>
      </c>
      <c r="B12" s="181" t="s">
        <v>9073</v>
      </c>
      <c r="C12" s="27" t="s">
        <v>9058</v>
      </c>
      <c r="D12" s="181" t="s">
        <v>9074</v>
      </c>
      <c r="E12" s="182" t="s">
        <v>64</v>
      </c>
      <c r="F12" s="181" t="s">
        <v>16</v>
      </c>
      <c r="G12" s="28" t="s">
        <v>2923</v>
      </c>
      <c r="H12" s="28" t="s">
        <v>42</v>
      </c>
      <c r="I12" s="28" t="s">
        <v>15</v>
      </c>
      <c r="J12" s="183" t="s">
        <v>9060</v>
      </c>
      <c r="K12" s="181">
        <v>4800</v>
      </c>
      <c r="L12" s="80" t="s">
        <v>402</v>
      </c>
      <c r="M12" s="80" t="s">
        <v>175</v>
      </c>
    </row>
    <row r="13" spans="1:13">
      <c r="A13" s="27" t="s">
        <v>9056</v>
      </c>
      <c r="B13" s="181" t="s">
        <v>9075</v>
      </c>
      <c r="C13" s="27" t="s">
        <v>9058</v>
      </c>
      <c r="D13" s="181" t="s">
        <v>9076</v>
      </c>
      <c r="E13" s="182" t="s">
        <v>64</v>
      </c>
      <c r="F13" s="181" t="s">
        <v>16</v>
      </c>
      <c r="G13" s="28" t="s">
        <v>2923</v>
      </c>
      <c r="H13" s="28" t="s">
        <v>42</v>
      </c>
      <c r="I13" s="28" t="s">
        <v>15</v>
      </c>
      <c r="J13" s="183" t="s">
        <v>9060</v>
      </c>
      <c r="K13" s="181">
        <v>550</v>
      </c>
      <c r="L13" s="80" t="s">
        <v>402</v>
      </c>
      <c r="M13" s="80" t="s">
        <v>175</v>
      </c>
    </row>
    <row r="14" spans="1:13">
      <c r="A14" s="27" t="s">
        <v>9056</v>
      </c>
      <c r="B14" s="181" t="s">
        <v>9077</v>
      </c>
      <c r="C14" s="27" t="s">
        <v>9058</v>
      </c>
      <c r="D14" s="181" t="s">
        <v>9078</v>
      </c>
      <c r="E14" s="182" t="s">
        <v>64</v>
      </c>
      <c r="F14" s="181" t="s">
        <v>16</v>
      </c>
      <c r="G14" s="28" t="s">
        <v>2923</v>
      </c>
      <c r="H14" s="28" t="s">
        <v>42</v>
      </c>
      <c r="I14" s="28" t="s">
        <v>15</v>
      </c>
      <c r="J14" s="183" t="s">
        <v>9060</v>
      </c>
      <c r="K14" s="181">
        <v>600</v>
      </c>
      <c r="L14" s="80" t="s">
        <v>402</v>
      </c>
      <c r="M14" s="80" t="s">
        <v>175</v>
      </c>
    </row>
    <row r="15" spans="1:13">
      <c r="A15" s="27" t="s">
        <v>9056</v>
      </c>
      <c r="B15" s="181" t="s">
        <v>9079</v>
      </c>
      <c r="C15" s="27" t="s">
        <v>9058</v>
      </c>
      <c r="D15" s="181" t="s">
        <v>9080</v>
      </c>
      <c r="E15" s="182" t="s">
        <v>64</v>
      </c>
      <c r="F15" s="181" t="s">
        <v>16</v>
      </c>
      <c r="G15" s="28" t="s">
        <v>2923</v>
      </c>
      <c r="H15" s="28" t="s">
        <v>42</v>
      </c>
      <c r="I15" s="28" t="s">
        <v>15</v>
      </c>
      <c r="J15" s="183" t="s">
        <v>9060</v>
      </c>
      <c r="K15" s="181">
        <v>800</v>
      </c>
      <c r="L15" s="80" t="s">
        <v>402</v>
      </c>
      <c r="M15" s="80" t="s">
        <v>175</v>
      </c>
    </row>
    <row r="16" spans="1:13">
      <c r="A16" s="27" t="s">
        <v>9056</v>
      </c>
      <c r="B16" s="181" t="s">
        <v>9081</v>
      </c>
      <c r="C16" s="27" t="s">
        <v>9058</v>
      </c>
      <c r="D16" s="181" t="s">
        <v>9082</v>
      </c>
      <c r="E16" s="182" t="s">
        <v>64</v>
      </c>
      <c r="F16" s="181" t="s">
        <v>16</v>
      </c>
      <c r="G16" s="28" t="s">
        <v>2923</v>
      </c>
      <c r="H16" s="28" t="s">
        <v>42</v>
      </c>
      <c r="I16" s="28" t="s">
        <v>15</v>
      </c>
      <c r="J16" s="183" t="s">
        <v>9060</v>
      </c>
      <c r="K16" s="181">
        <v>800</v>
      </c>
      <c r="L16" s="80" t="s">
        <v>402</v>
      </c>
      <c r="M16" s="80" t="s">
        <v>175</v>
      </c>
    </row>
    <row r="17" spans="1:13">
      <c r="A17" s="27" t="s">
        <v>9056</v>
      </c>
      <c r="B17" s="181" t="s">
        <v>9083</v>
      </c>
      <c r="C17" s="27" t="s">
        <v>9058</v>
      </c>
      <c r="D17" s="181" t="s">
        <v>9084</v>
      </c>
      <c r="E17" s="182" t="s">
        <v>64</v>
      </c>
      <c r="F17" s="181" t="s">
        <v>16</v>
      </c>
      <c r="G17" s="28" t="s">
        <v>2923</v>
      </c>
      <c r="H17" s="28" t="s">
        <v>42</v>
      </c>
      <c r="I17" s="28" t="s">
        <v>15</v>
      </c>
      <c r="J17" s="183" t="s">
        <v>9060</v>
      </c>
      <c r="K17" s="181">
        <v>350</v>
      </c>
      <c r="L17" s="80" t="s">
        <v>402</v>
      </c>
      <c r="M17" s="80" t="s">
        <v>175</v>
      </c>
    </row>
    <row r="18" spans="1:13">
      <c r="A18" s="27" t="s">
        <v>9056</v>
      </c>
      <c r="B18" s="181" t="s">
        <v>9085</v>
      </c>
      <c r="C18" s="27" t="s">
        <v>9058</v>
      </c>
      <c r="D18" s="181" t="s">
        <v>9086</v>
      </c>
      <c r="E18" s="182" t="s">
        <v>64</v>
      </c>
      <c r="F18" s="181" t="s">
        <v>16</v>
      </c>
      <c r="G18" s="28" t="s">
        <v>2923</v>
      </c>
      <c r="H18" s="28" t="s">
        <v>42</v>
      </c>
      <c r="I18" s="28" t="s">
        <v>15</v>
      </c>
      <c r="J18" s="183" t="s">
        <v>9060</v>
      </c>
      <c r="K18" s="181">
        <v>800</v>
      </c>
      <c r="L18" s="80" t="s">
        <v>402</v>
      </c>
      <c r="M18" s="80" t="s">
        <v>175</v>
      </c>
    </row>
    <row r="19" spans="1:13">
      <c r="A19" s="27" t="s">
        <v>9056</v>
      </c>
      <c r="B19" s="181" t="s">
        <v>9087</v>
      </c>
      <c r="C19" s="27" t="s">
        <v>9058</v>
      </c>
      <c r="D19" s="181" t="s">
        <v>9088</v>
      </c>
      <c r="E19" s="182" t="s">
        <v>64</v>
      </c>
      <c r="F19" s="181" t="s">
        <v>16</v>
      </c>
      <c r="G19" s="28" t="s">
        <v>2923</v>
      </c>
      <c r="H19" s="28" t="s">
        <v>42</v>
      </c>
      <c r="I19" s="28" t="s">
        <v>15</v>
      </c>
      <c r="J19" s="183" t="s">
        <v>9060</v>
      </c>
      <c r="K19" s="181">
        <v>1400</v>
      </c>
      <c r="L19" s="80" t="s">
        <v>402</v>
      </c>
      <c r="M19" s="80" t="s">
        <v>175</v>
      </c>
    </row>
    <row r="20" spans="1:13">
      <c r="A20" s="27" t="s">
        <v>9056</v>
      </c>
      <c r="B20" s="181" t="s">
        <v>9089</v>
      </c>
      <c r="C20" s="27" t="s">
        <v>9058</v>
      </c>
      <c r="D20" s="181" t="s">
        <v>9090</v>
      </c>
      <c r="E20" s="182" t="s">
        <v>64</v>
      </c>
      <c r="F20" s="181" t="s">
        <v>16</v>
      </c>
      <c r="G20" s="28" t="s">
        <v>2923</v>
      </c>
      <c r="H20" s="28" t="s">
        <v>42</v>
      </c>
      <c r="I20" s="28" t="s">
        <v>15</v>
      </c>
      <c r="J20" s="183" t="s">
        <v>9060</v>
      </c>
      <c r="K20" s="181">
        <v>400</v>
      </c>
      <c r="L20" s="80" t="s">
        <v>402</v>
      </c>
      <c r="M20" s="80" t="s">
        <v>175</v>
      </c>
    </row>
    <row r="21" spans="1:13" ht="29">
      <c r="A21" s="27" t="s">
        <v>9056</v>
      </c>
      <c r="B21" s="181" t="s">
        <v>89</v>
      </c>
      <c r="C21" s="27" t="s">
        <v>21</v>
      </c>
      <c r="D21" s="181" t="s">
        <v>90</v>
      </c>
      <c r="E21" s="182" t="s">
        <v>91</v>
      </c>
      <c r="F21" s="181" t="s">
        <v>21</v>
      </c>
      <c r="G21" s="28" t="s">
        <v>70</v>
      </c>
      <c r="H21" s="28" t="s">
        <v>26</v>
      </c>
      <c r="I21" s="28" t="s">
        <v>166</v>
      </c>
      <c r="J21" s="183" t="s">
        <v>2599</v>
      </c>
      <c r="K21" s="181">
        <v>1270000</v>
      </c>
      <c r="L21" s="80" t="s">
        <v>216</v>
      </c>
      <c r="M21" s="80" t="s">
        <v>14</v>
      </c>
    </row>
    <row r="22" spans="1:13" ht="29">
      <c r="A22" s="27" t="s">
        <v>9056</v>
      </c>
      <c r="B22" s="181" t="s">
        <v>92</v>
      </c>
      <c r="C22" s="27" t="s">
        <v>21</v>
      </c>
      <c r="D22" s="181" t="s">
        <v>90</v>
      </c>
      <c r="E22" s="182" t="s">
        <v>91</v>
      </c>
      <c r="F22" s="181" t="s">
        <v>21</v>
      </c>
      <c r="G22" s="28" t="s">
        <v>70</v>
      </c>
      <c r="H22" s="28" t="s">
        <v>42</v>
      </c>
      <c r="I22" s="28" t="s">
        <v>166</v>
      </c>
      <c r="J22" s="183" t="s">
        <v>2599</v>
      </c>
      <c r="K22" s="181">
        <v>2070000</v>
      </c>
      <c r="L22" s="80" t="s">
        <v>216</v>
      </c>
      <c r="M22" s="80" t="s">
        <v>14</v>
      </c>
    </row>
    <row r="23" spans="1:13" ht="29">
      <c r="A23" s="27" t="s">
        <v>9056</v>
      </c>
      <c r="B23" s="181" t="s">
        <v>93</v>
      </c>
      <c r="C23" s="27" t="s">
        <v>21</v>
      </c>
      <c r="D23" s="181" t="s">
        <v>90</v>
      </c>
      <c r="E23" s="182" t="s">
        <v>91</v>
      </c>
      <c r="F23" s="181" t="s">
        <v>21</v>
      </c>
      <c r="G23" s="28" t="s">
        <v>74</v>
      </c>
      <c r="H23" s="28" t="s">
        <v>26</v>
      </c>
      <c r="I23" s="28" t="s">
        <v>166</v>
      </c>
      <c r="J23" s="183" t="s">
        <v>2599</v>
      </c>
      <c r="K23" s="181">
        <v>1270000</v>
      </c>
      <c r="L23" s="80" t="s">
        <v>216</v>
      </c>
      <c r="M23" s="80" t="s">
        <v>14</v>
      </c>
    </row>
    <row r="24" spans="1:13" ht="29">
      <c r="A24" s="27" t="s">
        <v>9056</v>
      </c>
      <c r="B24" s="181" t="s">
        <v>94</v>
      </c>
      <c r="C24" s="27" t="s">
        <v>21</v>
      </c>
      <c r="D24" s="181" t="s">
        <v>90</v>
      </c>
      <c r="E24" s="182" t="s">
        <v>91</v>
      </c>
      <c r="F24" s="181" t="s">
        <v>21</v>
      </c>
      <c r="G24" s="28" t="s">
        <v>74</v>
      </c>
      <c r="H24" s="28" t="s">
        <v>42</v>
      </c>
      <c r="I24" s="28" t="s">
        <v>166</v>
      </c>
      <c r="J24" s="183" t="s">
        <v>2599</v>
      </c>
      <c r="K24" s="181">
        <v>2300000</v>
      </c>
      <c r="L24" s="80" t="s">
        <v>216</v>
      </c>
      <c r="M24" s="80" t="s">
        <v>14</v>
      </c>
    </row>
    <row r="25" spans="1:13" ht="29">
      <c r="A25" s="27" t="s">
        <v>9056</v>
      </c>
      <c r="B25" s="181" t="s">
        <v>95</v>
      </c>
      <c r="C25" s="27" t="s">
        <v>21</v>
      </c>
      <c r="D25" s="181" t="s">
        <v>90</v>
      </c>
      <c r="E25" s="182" t="s">
        <v>91</v>
      </c>
      <c r="F25" s="181" t="s">
        <v>21</v>
      </c>
      <c r="G25" s="28" t="s">
        <v>72</v>
      </c>
      <c r="H25" s="28" t="s">
        <v>26</v>
      </c>
      <c r="I25" s="28" t="s">
        <v>166</v>
      </c>
      <c r="J25" s="183" t="s">
        <v>2599</v>
      </c>
      <c r="K25" s="181">
        <v>1270000</v>
      </c>
      <c r="L25" s="80" t="s">
        <v>216</v>
      </c>
      <c r="M25" s="80" t="s">
        <v>14</v>
      </c>
    </row>
    <row r="26" spans="1:13" ht="29">
      <c r="A26" s="27" t="s">
        <v>9056</v>
      </c>
      <c r="B26" s="181" t="s">
        <v>96</v>
      </c>
      <c r="C26" s="27" t="s">
        <v>21</v>
      </c>
      <c r="D26" s="181" t="s">
        <v>90</v>
      </c>
      <c r="E26" s="182" t="s">
        <v>91</v>
      </c>
      <c r="F26" s="181" t="s">
        <v>21</v>
      </c>
      <c r="G26" s="28" t="s">
        <v>72</v>
      </c>
      <c r="H26" s="28" t="s">
        <v>42</v>
      </c>
      <c r="I26" s="28" t="s">
        <v>166</v>
      </c>
      <c r="J26" s="183" t="s">
        <v>2599</v>
      </c>
      <c r="K26" s="181">
        <v>2540000</v>
      </c>
      <c r="L26" s="80" t="s">
        <v>216</v>
      </c>
      <c r="M26" s="80" t="s">
        <v>14</v>
      </c>
    </row>
    <row r="27" spans="1:13" ht="29">
      <c r="A27" s="27" t="s">
        <v>9056</v>
      </c>
      <c r="B27" s="181" t="s">
        <v>97</v>
      </c>
      <c r="C27" s="27" t="s">
        <v>21</v>
      </c>
      <c r="D27" s="181" t="s">
        <v>98</v>
      </c>
      <c r="E27" s="182" t="s">
        <v>99</v>
      </c>
      <c r="F27" s="181" t="s">
        <v>21</v>
      </c>
      <c r="G27" s="28" t="s">
        <v>70</v>
      </c>
      <c r="H27" s="28" t="s">
        <v>26</v>
      </c>
      <c r="I27" s="28" t="s">
        <v>166</v>
      </c>
      <c r="J27" s="183" t="s">
        <v>2599</v>
      </c>
      <c r="K27" s="181">
        <v>1510000</v>
      </c>
      <c r="L27" s="80" t="s">
        <v>216</v>
      </c>
      <c r="M27" s="80" t="s">
        <v>14</v>
      </c>
    </row>
    <row r="28" spans="1:13" ht="29">
      <c r="A28" s="27" t="s">
        <v>9056</v>
      </c>
      <c r="B28" s="181" t="s">
        <v>100</v>
      </c>
      <c r="C28" s="27" t="s">
        <v>21</v>
      </c>
      <c r="D28" s="181" t="s">
        <v>98</v>
      </c>
      <c r="E28" s="182" t="s">
        <v>99</v>
      </c>
      <c r="F28" s="181" t="s">
        <v>21</v>
      </c>
      <c r="G28" s="28" t="s">
        <v>70</v>
      </c>
      <c r="H28" s="28" t="s">
        <v>42</v>
      </c>
      <c r="I28" s="28" t="s">
        <v>166</v>
      </c>
      <c r="J28" s="183" t="s">
        <v>2599</v>
      </c>
      <c r="K28" s="181">
        <v>2300000</v>
      </c>
      <c r="L28" s="80" t="s">
        <v>216</v>
      </c>
      <c r="M28" s="80" t="s">
        <v>14</v>
      </c>
    </row>
    <row r="29" spans="1:13" ht="29">
      <c r="A29" s="27" t="s">
        <v>9056</v>
      </c>
      <c r="B29" s="181" t="s">
        <v>101</v>
      </c>
      <c r="C29" s="27" t="s">
        <v>21</v>
      </c>
      <c r="D29" s="181" t="s">
        <v>98</v>
      </c>
      <c r="E29" s="182" t="s">
        <v>99</v>
      </c>
      <c r="F29" s="181" t="s">
        <v>21</v>
      </c>
      <c r="G29" s="28" t="s">
        <v>74</v>
      </c>
      <c r="H29" s="28" t="s">
        <v>26</v>
      </c>
      <c r="I29" s="28" t="s">
        <v>166</v>
      </c>
      <c r="J29" s="183" t="s">
        <v>2599</v>
      </c>
      <c r="K29" s="181">
        <v>1510000</v>
      </c>
      <c r="L29" s="80" t="s">
        <v>216</v>
      </c>
      <c r="M29" s="80" t="s">
        <v>14</v>
      </c>
    </row>
    <row r="30" spans="1:13" ht="29">
      <c r="A30" s="27" t="s">
        <v>9056</v>
      </c>
      <c r="B30" s="181" t="s">
        <v>102</v>
      </c>
      <c r="C30" s="27" t="s">
        <v>21</v>
      </c>
      <c r="D30" s="181" t="s">
        <v>98</v>
      </c>
      <c r="E30" s="182" t="s">
        <v>99</v>
      </c>
      <c r="F30" s="181" t="s">
        <v>21</v>
      </c>
      <c r="G30" s="28" t="s">
        <v>74</v>
      </c>
      <c r="H30" s="28" t="s">
        <v>42</v>
      </c>
      <c r="I30" s="28" t="s">
        <v>166</v>
      </c>
      <c r="J30" s="183" t="s">
        <v>2599</v>
      </c>
      <c r="K30" s="181">
        <v>2630000</v>
      </c>
      <c r="L30" s="80" t="s">
        <v>216</v>
      </c>
      <c r="M30" s="80" t="s">
        <v>14</v>
      </c>
    </row>
    <row r="31" spans="1:13" ht="29">
      <c r="A31" s="27" t="s">
        <v>9056</v>
      </c>
      <c r="B31" s="181" t="s">
        <v>103</v>
      </c>
      <c r="C31" s="27" t="s">
        <v>21</v>
      </c>
      <c r="D31" s="181" t="s">
        <v>98</v>
      </c>
      <c r="E31" s="182" t="s">
        <v>99</v>
      </c>
      <c r="F31" s="181" t="s">
        <v>21</v>
      </c>
      <c r="G31" s="28" t="s">
        <v>72</v>
      </c>
      <c r="H31" s="28" t="s">
        <v>26</v>
      </c>
      <c r="I31" s="28" t="s">
        <v>166</v>
      </c>
      <c r="J31" s="183" t="s">
        <v>2599</v>
      </c>
      <c r="K31" s="181">
        <v>1510000</v>
      </c>
      <c r="L31" s="80" t="s">
        <v>216</v>
      </c>
      <c r="M31" s="80" t="s">
        <v>14</v>
      </c>
    </row>
    <row r="32" spans="1:13" ht="29">
      <c r="A32" s="27" t="s">
        <v>9056</v>
      </c>
      <c r="B32" s="181" t="s">
        <v>104</v>
      </c>
      <c r="C32" s="27" t="s">
        <v>21</v>
      </c>
      <c r="D32" s="181" t="s">
        <v>98</v>
      </c>
      <c r="E32" s="182" t="s">
        <v>99</v>
      </c>
      <c r="F32" s="181" t="s">
        <v>21</v>
      </c>
      <c r="G32" s="28" t="s">
        <v>72</v>
      </c>
      <c r="H32" s="28" t="s">
        <v>42</v>
      </c>
      <c r="I32" s="28" t="s">
        <v>166</v>
      </c>
      <c r="J32" s="183" t="s">
        <v>2599</v>
      </c>
      <c r="K32" s="181">
        <v>2870000</v>
      </c>
      <c r="L32" s="80" t="s">
        <v>216</v>
      </c>
      <c r="M32" s="80" t="s">
        <v>14</v>
      </c>
    </row>
    <row r="33" spans="1:13" ht="29">
      <c r="A33" s="27" t="s">
        <v>9056</v>
      </c>
      <c r="B33" s="181" t="s">
        <v>105</v>
      </c>
      <c r="C33" s="27" t="s">
        <v>21</v>
      </c>
      <c r="D33" s="181" t="s">
        <v>106</v>
      </c>
      <c r="E33" s="182" t="s">
        <v>91</v>
      </c>
      <c r="F33" s="181" t="s">
        <v>21</v>
      </c>
      <c r="G33" s="28" t="s">
        <v>70</v>
      </c>
      <c r="H33" s="28" t="s">
        <v>26</v>
      </c>
      <c r="I33" s="28" t="s">
        <v>166</v>
      </c>
      <c r="J33" s="183" t="s">
        <v>2599</v>
      </c>
      <c r="K33" s="181">
        <v>1270000</v>
      </c>
      <c r="L33" s="80" t="s">
        <v>216</v>
      </c>
      <c r="M33" s="80" t="s">
        <v>14</v>
      </c>
    </row>
    <row r="34" spans="1:13" ht="29">
      <c r="A34" s="27" t="s">
        <v>9056</v>
      </c>
      <c r="B34" s="181" t="s">
        <v>107</v>
      </c>
      <c r="C34" s="27" t="s">
        <v>21</v>
      </c>
      <c r="D34" s="181" t="s">
        <v>106</v>
      </c>
      <c r="E34" s="182" t="s">
        <v>91</v>
      </c>
      <c r="F34" s="181" t="s">
        <v>21</v>
      </c>
      <c r="G34" s="28" t="s">
        <v>70</v>
      </c>
      <c r="H34" s="28" t="s">
        <v>42</v>
      </c>
      <c r="I34" s="28" t="s">
        <v>166</v>
      </c>
      <c r="J34" s="183" t="s">
        <v>2599</v>
      </c>
      <c r="K34" s="181">
        <v>2070000</v>
      </c>
      <c r="L34" s="80" t="s">
        <v>216</v>
      </c>
      <c r="M34" s="80" t="s">
        <v>14</v>
      </c>
    </row>
    <row r="35" spans="1:13" ht="29">
      <c r="A35" s="27" t="s">
        <v>9056</v>
      </c>
      <c r="B35" s="181" t="s">
        <v>108</v>
      </c>
      <c r="C35" s="27" t="s">
        <v>21</v>
      </c>
      <c r="D35" s="181" t="s">
        <v>106</v>
      </c>
      <c r="E35" s="182" t="s">
        <v>91</v>
      </c>
      <c r="F35" s="181" t="s">
        <v>21</v>
      </c>
      <c r="G35" s="28" t="s">
        <v>74</v>
      </c>
      <c r="H35" s="28" t="s">
        <v>26</v>
      </c>
      <c r="I35" s="28" t="s">
        <v>166</v>
      </c>
      <c r="J35" s="183" t="s">
        <v>2599</v>
      </c>
      <c r="K35" s="181">
        <v>1270000</v>
      </c>
      <c r="L35" s="80" t="s">
        <v>216</v>
      </c>
      <c r="M35" s="80" t="s">
        <v>14</v>
      </c>
    </row>
    <row r="36" spans="1:13" ht="29">
      <c r="A36" s="27" t="s">
        <v>9056</v>
      </c>
      <c r="B36" s="181" t="s">
        <v>109</v>
      </c>
      <c r="C36" s="27" t="s">
        <v>21</v>
      </c>
      <c r="D36" s="181" t="s">
        <v>106</v>
      </c>
      <c r="E36" s="182" t="s">
        <v>91</v>
      </c>
      <c r="F36" s="181" t="s">
        <v>21</v>
      </c>
      <c r="G36" s="28" t="s">
        <v>74</v>
      </c>
      <c r="H36" s="28" t="s">
        <v>42</v>
      </c>
      <c r="I36" s="28" t="s">
        <v>166</v>
      </c>
      <c r="J36" s="183" t="s">
        <v>2599</v>
      </c>
      <c r="K36" s="181">
        <v>2300000</v>
      </c>
      <c r="L36" s="80" t="s">
        <v>216</v>
      </c>
      <c r="M36" s="80" t="s">
        <v>14</v>
      </c>
    </row>
    <row r="37" spans="1:13" ht="29">
      <c r="A37" s="27" t="s">
        <v>9056</v>
      </c>
      <c r="B37" s="181" t="s">
        <v>110</v>
      </c>
      <c r="C37" s="27" t="s">
        <v>21</v>
      </c>
      <c r="D37" s="181" t="s">
        <v>106</v>
      </c>
      <c r="E37" s="182" t="s">
        <v>91</v>
      </c>
      <c r="F37" s="181" t="s">
        <v>21</v>
      </c>
      <c r="G37" s="28" t="s">
        <v>72</v>
      </c>
      <c r="H37" s="28" t="s">
        <v>26</v>
      </c>
      <c r="I37" s="28" t="s">
        <v>166</v>
      </c>
      <c r="J37" s="183" t="s">
        <v>2599</v>
      </c>
      <c r="K37" s="181">
        <v>1280000</v>
      </c>
      <c r="L37" s="80" t="s">
        <v>216</v>
      </c>
      <c r="M37" s="80" t="s">
        <v>14</v>
      </c>
    </row>
    <row r="38" spans="1:13" ht="29">
      <c r="A38" s="27" t="s">
        <v>9056</v>
      </c>
      <c r="B38" s="181" t="s">
        <v>111</v>
      </c>
      <c r="C38" s="27" t="s">
        <v>21</v>
      </c>
      <c r="D38" s="181" t="s">
        <v>106</v>
      </c>
      <c r="E38" s="182" t="s">
        <v>91</v>
      </c>
      <c r="F38" s="181" t="s">
        <v>21</v>
      </c>
      <c r="G38" s="28" t="s">
        <v>72</v>
      </c>
      <c r="H38" s="28" t="s">
        <v>42</v>
      </c>
      <c r="I38" s="28" t="s">
        <v>166</v>
      </c>
      <c r="J38" s="183" t="s">
        <v>2599</v>
      </c>
      <c r="K38" s="181">
        <v>2540000</v>
      </c>
      <c r="L38" s="80" t="s">
        <v>216</v>
      </c>
      <c r="M38" s="80" t="s">
        <v>14</v>
      </c>
    </row>
    <row r="39" spans="1:13" ht="29">
      <c r="A39" s="27" t="s">
        <v>9056</v>
      </c>
      <c r="B39" s="181" t="s">
        <v>112</v>
      </c>
      <c r="C39" s="27" t="s">
        <v>21</v>
      </c>
      <c r="D39" s="181" t="s">
        <v>113</v>
      </c>
      <c r="E39" s="182" t="s">
        <v>99</v>
      </c>
      <c r="F39" s="181" t="s">
        <v>21</v>
      </c>
      <c r="G39" s="28" t="s">
        <v>70</v>
      </c>
      <c r="H39" s="28" t="s">
        <v>26</v>
      </c>
      <c r="I39" s="28" t="s">
        <v>166</v>
      </c>
      <c r="J39" s="183" t="s">
        <v>2599</v>
      </c>
      <c r="K39" s="181">
        <v>1510000</v>
      </c>
      <c r="L39" s="80" t="s">
        <v>216</v>
      </c>
      <c r="M39" s="80" t="s">
        <v>14</v>
      </c>
    </row>
    <row r="40" spans="1:13" ht="29">
      <c r="A40" s="27" t="s">
        <v>9056</v>
      </c>
      <c r="B40" s="181" t="s">
        <v>114</v>
      </c>
      <c r="C40" s="27" t="s">
        <v>21</v>
      </c>
      <c r="D40" s="181" t="s">
        <v>113</v>
      </c>
      <c r="E40" s="182" t="s">
        <v>99</v>
      </c>
      <c r="F40" s="181" t="s">
        <v>21</v>
      </c>
      <c r="G40" s="28" t="s">
        <v>70</v>
      </c>
      <c r="H40" s="28" t="s">
        <v>42</v>
      </c>
      <c r="I40" s="28" t="s">
        <v>166</v>
      </c>
      <c r="J40" s="183" t="s">
        <v>2599</v>
      </c>
      <c r="K40" s="181">
        <v>2400000</v>
      </c>
      <c r="L40" s="80" t="s">
        <v>216</v>
      </c>
      <c r="M40" s="80" t="s">
        <v>14</v>
      </c>
    </row>
    <row r="41" spans="1:13" ht="29">
      <c r="A41" s="27" t="s">
        <v>9056</v>
      </c>
      <c r="B41" s="181" t="s">
        <v>115</v>
      </c>
      <c r="C41" s="27" t="s">
        <v>21</v>
      </c>
      <c r="D41" s="181" t="s">
        <v>113</v>
      </c>
      <c r="E41" s="182" t="s">
        <v>99</v>
      </c>
      <c r="F41" s="181" t="s">
        <v>21</v>
      </c>
      <c r="G41" s="28" t="s">
        <v>74</v>
      </c>
      <c r="H41" s="28" t="s">
        <v>26</v>
      </c>
      <c r="I41" s="28" t="s">
        <v>166</v>
      </c>
      <c r="J41" s="183" t="s">
        <v>2599</v>
      </c>
      <c r="K41" s="181">
        <v>1510000</v>
      </c>
      <c r="L41" s="80" t="s">
        <v>216</v>
      </c>
      <c r="M41" s="80" t="s">
        <v>14</v>
      </c>
    </row>
    <row r="42" spans="1:13" ht="29">
      <c r="A42" s="27" t="s">
        <v>9056</v>
      </c>
      <c r="B42" s="181" t="s">
        <v>116</v>
      </c>
      <c r="C42" s="27" t="s">
        <v>21</v>
      </c>
      <c r="D42" s="181" t="s">
        <v>113</v>
      </c>
      <c r="E42" s="182" t="s">
        <v>99</v>
      </c>
      <c r="F42" s="181" t="s">
        <v>21</v>
      </c>
      <c r="G42" s="28" t="s">
        <v>74</v>
      </c>
      <c r="H42" s="28" t="s">
        <v>42</v>
      </c>
      <c r="I42" s="28" t="s">
        <v>166</v>
      </c>
      <c r="J42" s="183" t="s">
        <v>2599</v>
      </c>
      <c r="K42" s="181">
        <v>2630000</v>
      </c>
      <c r="L42" s="80" t="s">
        <v>216</v>
      </c>
      <c r="M42" s="80" t="s">
        <v>14</v>
      </c>
    </row>
    <row r="43" spans="1:13" ht="29">
      <c r="A43" s="27" t="s">
        <v>9056</v>
      </c>
      <c r="B43" s="181" t="s">
        <v>117</v>
      </c>
      <c r="C43" s="27" t="s">
        <v>21</v>
      </c>
      <c r="D43" s="181" t="s">
        <v>113</v>
      </c>
      <c r="E43" s="182" t="s">
        <v>99</v>
      </c>
      <c r="F43" s="181" t="s">
        <v>21</v>
      </c>
      <c r="G43" s="28" t="s">
        <v>72</v>
      </c>
      <c r="H43" s="28" t="s">
        <v>26</v>
      </c>
      <c r="I43" s="28" t="s">
        <v>166</v>
      </c>
      <c r="J43" s="183" t="s">
        <v>2599</v>
      </c>
      <c r="K43" s="181">
        <v>1510000</v>
      </c>
      <c r="L43" s="80" t="s">
        <v>216</v>
      </c>
      <c r="M43" s="80" t="s">
        <v>14</v>
      </c>
    </row>
    <row r="44" spans="1:13" ht="29">
      <c r="A44" s="27" t="s">
        <v>9056</v>
      </c>
      <c r="B44" s="181" t="s">
        <v>118</v>
      </c>
      <c r="C44" s="27" t="s">
        <v>21</v>
      </c>
      <c r="D44" s="181" t="s">
        <v>113</v>
      </c>
      <c r="E44" s="182" t="s">
        <v>99</v>
      </c>
      <c r="F44" s="181" t="s">
        <v>21</v>
      </c>
      <c r="G44" s="28" t="s">
        <v>72</v>
      </c>
      <c r="H44" s="28" t="s">
        <v>42</v>
      </c>
      <c r="I44" s="28" t="s">
        <v>166</v>
      </c>
      <c r="J44" s="183" t="s">
        <v>2599</v>
      </c>
      <c r="K44" s="181">
        <v>2870000</v>
      </c>
      <c r="L44" s="80" t="s">
        <v>216</v>
      </c>
      <c r="M44" s="80" t="s">
        <v>14</v>
      </c>
    </row>
    <row r="45" spans="1:13" ht="29">
      <c r="A45" s="27" t="s">
        <v>9056</v>
      </c>
      <c r="B45" s="181" t="s">
        <v>119</v>
      </c>
      <c r="C45" s="27" t="s">
        <v>21</v>
      </c>
      <c r="D45" s="181" t="s">
        <v>120</v>
      </c>
      <c r="E45" s="182" t="s">
        <v>29</v>
      </c>
      <c r="F45" s="181" t="s">
        <v>21</v>
      </c>
      <c r="G45" s="28" t="s">
        <v>70</v>
      </c>
      <c r="H45" s="28" t="s">
        <v>26</v>
      </c>
      <c r="I45" s="28" t="s">
        <v>167</v>
      </c>
      <c r="J45" s="183" t="s">
        <v>2599</v>
      </c>
      <c r="K45" s="181">
        <v>265000</v>
      </c>
      <c r="L45" s="80" t="s">
        <v>216</v>
      </c>
      <c r="M45" s="80" t="s">
        <v>14</v>
      </c>
    </row>
    <row r="46" spans="1:13" ht="29">
      <c r="A46" s="27" t="s">
        <v>9056</v>
      </c>
      <c r="B46" s="181" t="s">
        <v>121</v>
      </c>
      <c r="C46" s="27" t="s">
        <v>21</v>
      </c>
      <c r="D46" s="181" t="s">
        <v>120</v>
      </c>
      <c r="E46" s="182" t="s">
        <v>29</v>
      </c>
      <c r="F46" s="181" t="s">
        <v>21</v>
      </c>
      <c r="G46" s="28" t="s">
        <v>70</v>
      </c>
      <c r="H46" s="28" t="s">
        <v>42</v>
      </c>
      <c r="I46" s="28" t="s">
        <v>167</v>
      </c>
      <c r="J46" s="183" t="s">
        <v>2599</v>
      </c>
      <c r="K46" s="181">
        <v>310000</v>
      </c>
      <c r="L46" s="80" t="s">
        <v>216</v>
      </c>
      <c r="M46" s="80" t="s">
        <v>14</v>
      </c>
    </row>
    <row r="47" spans="1:13" ht="29">
      <c r="A47" s="27" t="s">
        <v>9056</v>
      </c>
      <c r="B47" s="181" t="s">
        <v>122</v>
      </c>
      <c r="C47" s="27" t="s">
        <v>21</v>
      </c>
      <c r="D47" s="181" t="s">
        <v>120</v>
      </c>
      <c r="E47" s="182" t="s">
        <v>29</v>
      </c>
      <c r="F47" s="181" t="s">
        <v>21</v>
      </c>
      <c r="G47" s="28" t="s">
        <v>74</v>
      </c>
      <c r="H47" s="28" t="s">
        <v>26</v>
      </c>
      <c r="I47" s="28" t="s">
        <v>167</v>
      </c>
      <c r="J47" s="183" t="s">
        <v>2599</v>
      </c>
      <c r="K47" s="181">
        <v>265000</v>
      </c>
      <c r="L47" s="80" t="s">
        <v>216</v>
      </c>
      <c r="M47" s="80" t="s">
        <v>14</v>
      </c>
    </row>
    <row r="48" spans="1:13" ht="29">
      <c r="A48" s="27" t="s">
        <v>9056</v>
      </c>
      <c r="B48" s="181" t="s">
        <v>123</v>
      </c>
      <c r="C48" s="27" t="s">
        <v>21</v>
      </c>
      <c r="D48" s="181" t="s">
        <v>120</v>
      </c>
      <c r="E48" s="182" t="s">
        <v>29</v>
      </c>
      <c r="F48" s="181" t="s">
        <v>21</v>
      </c>
      <c r="G48" s="28" t="s">
        <v>74</v>
      </c>
      <c r="H48" s="28" t="s">
        <v>42</v>
      </c>
      <c r="I48" s="28" t="s">
        <v>167</v>
      </c>
      <c r="J48" s="183" t="s">
        <v>2599</v>
      </c>
      <c r="K48" s="181">
        <v>310000</v>
      </c>
      <c r="L48" s="80" t="s">
        <v>216</v>
      </c>
      <c r="M48" s="80" t="s">
        <v>14</v>
      </c>
    </row>
    <row r="49" spans="1:13" ht="29">
      <c r="A49" s="27" t="s">
        <v>9056</v>
      </c>
      <c r="B49" s="181" t="s">
        <v>124</v>
      </c>
      <c r="C49" s="27" t="s">
        <v>21</v>
      </c>
      <c r="D49" s="181" t="s">
        <v>120</v>
      </c>
      <c r="E49" s="182" t="s">
        <v>29</v>
      </c>
      <c r="F49" s="181" t="s">
        <v>21</v>
      </c>
      <c r="G49" s="28" t="s">
        <v>72</v>
      </c>
      <c r="H49" s="28" t="s">
        <v>26</v>
      </c>
      <c r="I49" s="28" t="s">
        <v>167</v>
      </c>
      <c r="J49" s="183" t="s">
        <v>2599</v>
      </c>
      <c r="K49" s="181">
        <v>265000</v>
      </c>
      <c r="L49" s="80" t="s">
        <v>216</v>
      </c>
      <c r="M49" s="80" t="s">
        <v>14</v>
      </c>
    </row>
    <row r="50" spans="1:13" ht="29">
      <c r="A50" s="27" t="s">
        <v>9056</v>
      </c>
      <c r="B50" s="181" t="s">
        <v>125</v>
      </c>
      <c r="C50" s="27" t="s">
        <v>21</v>
      </c>
      <c r="D50" s="181" t="s">
        <v>120</v>
      </c>
      <c r="E50" s="182" t="s">
        <v>29</v>
      </c>
      <c r="F50" s="181" t="s">
        <v>21</v>
      </c>
      <c r="G50" s="28" t="s">
        <v>72</v>
      </c>
      <c r="H50" s="28" t="s">
        <v>42</v>
      </c>
      <c r="I50" s="28" t="s">
        <v>167</v>
      </c>
      <c r="J50" s="183" t="s">
        <v>2599</v>
      </c>
      <c r="K50" s="181">
        <v>320000</v>
      </c>
      <c r="L50" s="80" t="s">
        <v>216</v>
      </c>
      <c r="M50" s="80" t="s">
        <v>14</v>
      </c>
    </row>
    <row r="51" spans="1:13" ht="29">
      <c r="A51" s="27" t="s">
        <v>9056</v>
      </c>
      <c r="B51" s="181" t="s">
        <v>126</v>
      </c>
      <c r="C51" s="27" t="s">
        <v>21</v>
      </c>
      <c r="D51" s="181" t="s">
        <v>127</v>
      </c>
      <c r="E51" s="182" t="s">
        <v>128</v>
      </c>
      <c r="F51" s="181" t="s">
        <v>21</v>
      </c>
      <c r="G51" s="28" t="s">
        <v>70</v>
      </c>
      <c r="H51" s="28" t="s">
        <v>42</v>
      </c>
      <c r="I51" s="28" t="s">
        <v>167</v>
      </c>
      <c r="J51" s="183" t="s">
        <v>2599</v>
      </c>
      <c r="K51" s="181">
        <v>45900000</v>
      </c>
      <c r="L51" s="80" t="s">
        <v>216</v>
      </c>
      <c r="M51" s="80" t="s">
        <v>14</v>
      </c>
    </row>
    <row r="52" spans="1:13" ht="29">
      <c r="A52" s="27" t="s">
        <v>9056</v>
      </c>
      <c r="B52" s="181" t="s">
        <v>129</v>
      </c>
      <c r="C52" s="27" t="s">
        <v>21</v>
      </c>
      <c r="D52" s="181" t="s">
        <v>127</v>
      </c>
      <c r="E52" s="182" t="s">
        <v>128</v>
      </c>
      <c r="F52" s="181" t="s">
        <v>21</v>
      </c>
      <c r="G52" s="28" t="s">
        <v>74</v>
      </c>
      <c r="H52" s="28" t="s">
        <v>42</v>
      </c>
      <c r="I52" s="28" t="s">
        <v>167</v>
      </c>
      <c r="J52" s="183" t="s">
        <v>2599</v>
      </c>
      <c r="K52" s="181">
        <v>46500000</v>
      </c>
      <c r="L52" s="80" t="s">
        <v>216</v>
      </c>
      <c r="M52" s="80" t="s">
        <v>14</v>
      </c>
    </row>
    <row r="53" spans="1:13" ht="29">
      <c r="A53" s="27" t="s">
        <v>9056</v>
      </c>
      <c r="B53" s="181" t="s">
        <v>130</v>
      </c>
      <c r="C53" s="27" t="s">
        <v>21</v>
      </c>
      <c r="D53" s="181" t="s">
        <v>127</v>
      </c>
      <c r="E53" s="182" t="s">
        <v>128</v>
      </c>
      <c r="F53" s="181" t="s">
        <v>21</v>
      </c>
      <c r="G53" s="28" t="s">
        <v>72</v>
      </c>
      <c r="H53" s="28" t="s">
        <v>42</v>
      </c>
      <c r="I53" s="28" t="s">
        <v>167</v>
      </c>
      <c r="J53" s="183" t="s">
        <v>2599</v>
      </c>
      <c r="K53" s="181">
        <v>47000000</v>
      </c>
      <c r="L53" s="80" t="s">
        <v>216</v>
      </c>
      <c r="M53" s="80" t="s">
        <v>14</v>
      </c>
    </row>
    <row r="54" spans="1:13" ht="29">
      <c r="A54" s="27" t="s">
        <v>9056</v>
      </c>
      <c r="B54" s="181" t="s">
        <v>131</v>
      </c>
      <c r="C54" s="27" t="s">
        <v>21</v>
      </c>
      <c r="D54" s="181" t="s">
        <v>132</v>
      </c>
      <c r="E54" s="182" t="s">
        <v>133</v>
      </c>
      <c r="F54" s="181" t="s">
        <v>21</v>
      </c>
      <c r="G54" s="28" t="s">
        <v>70</v>
      </c>
      <c r="H54" s="28" t="s">
        <v>26</v>
      </c>
      <c r="I54" s="28" t="s">
        <v>436</v>
      </c>
      <c r="J54" s="183" t="s">
        <v>2599</v>
      </c>
      <c r="K54" s="181">
        <v>3200000</v>
      </c>
      <c r="L54" s="80" t="s">
        <v>216</v>
      </c>
      <c r="M54" s="80" t="s">
        <v>14</v>
      </c>
    </row>
    <row r="55" spans="1:13" ht="29">
      <c r="A55" s="27" t="s">
        <v>9056</v>
      </c>
      <c r="B55" s="181" t="s">
        <v>134</v>
      </c>
      <c r="C55" s="27" t="s">
        <v>21</v>
      </c>
      <c r="D55" s="181" t="s">
        <v>132</v>
      </c>
      <c r="E55" s="182" t="s">
        <v>133</v>
      </c>
      <c r="F55" s="181" t="s">
        <v>21</v>
      </c>
      <c r="G55" s="28" t="s">
        <v>70</v>
      </c>
      <c r="H55" s="28" t="s">
        <v>42</v>
      </c>
      <c r="I55" s="28" t="s">
        <v>436</v>
      </c>
      <c r="J55" s="183" t="s">
        <v>2599</v>
      </c>
      <c r="K55" s="181">
        <v>2700000</v>
      </c>
      <c r="L55" s="80" t="s">
        <v>216</v>
      </c>
      <c r="M55" s="80" t="s">
        <v>14</v>
      </c>
    </row>
    <row r="56" spans="1:13" ht="29">
      <c r="A56" s="27" t="s">
        <v>9056</v>
      </c>
      <c r="B56" s="181" t="s">
        <v>135</v>
      </c>
      <c r="C56" s="27" t="s">
        <v>21</v>
      </c>
      <c r="D56" s="181" t="s">
        <v>132</v>
      </c>
      <c r="E56" s="182" t="s">
        <v>133</v>
      </c>
      <c r="F56" s="181" t="s">
        <v>21</v>
      </c>
      <c r="G56" s="28" t="s">
        <v>74</v>
      </c>
      <c r="H56" s="28" t="s">
        <v>26</v>
      </c>
      <c r="I56" s="28" t="s">
        <v>436</v>
      </c>
      <c r="J56" s="183" t="s">
        <v>2599</v>
      </c>
      <c r="K56" s="181">
        <v>3200000</v>
      </c>
      <c r="L56" s="80" t="s">
        <v>216</v>
      </c>
      <c r="M56" s="80" t="s">
        <v>14</v>
      </c>
    </row>
    <row r="57" spans="1:13" ht="29">
      <c r="A57" s="27" t="s">
        <v>9056</v>
      </c>
      <c r="B57" s="181" t="s">
        <v>136</v>
      </c>
      <c r="C57" s="27" t="s">
        <v>21</v>
      </c>
      <c r="D57" s="181" t="s">
        <v>132</v>
      </c>
      <c r="E57" s="182" t="s">
        <v>133</v>
      </c>
      <c r="F57" s="181" t="s">
        <v>21</v>
      </c>
      <c r="G57" s="28" t="s">
        <v>74</v>
      </c>
      <c r="H57" s="28" t="s">
        <v>42</v>
      </c>
      <c r="I57" s="28" t="s">
        <v>436</v>
      </c>
      <c r="J57" s="183" t="s">
        <v>2599</v>
      </c>
      <c r="K57" s="181">
        <v>3900000</v>
      </c>
      <c r="L57" s="80" t="s">
        <v>216</v>
      </c>
      <c r="M57" s="80" t="s">
        <v>14</v>
      </c>
    </row>
    <row r="58" spans="1:13" ht="29">
      <c r="A58" s="27" t="s">
        <v>9056</v>
      </c>
      <c r="B58" s="181" t="s">
        <v>137</v>
      </c>
      <c r="C58" s="27" t="s">
        <v>21</v>
      </c>
      <c r="D58" s="181" t="s">
        <v>132</v>
      </c>
      <c r="E58" s="182" t="s">
        <v>133</v>
      </c>
      <c r="F58" s="181" t="s">
        <v>21</v>
      </c>
      <c r="G58" s="28" t="s">
        <v>72</v>
      </c>
      <c r="H58" s="28" t="s">
        <v>26</v>
      </c>
      <c r="I58" s="28" t="s">
        <v>436</v>
      </c>
      <c r="J58" s="183" t="s">
        <v>2599</v>
      </c>
      <c r="K58" s="181">
        <v>3200000</v>
      </c>
      <c r="L58" s="80" t="s">
        <v>216</v>
      </c>
      <c r="M58" s="80" t="s">
        <v>14</v>
      </c>
    </row>
    <row r="59" spans="1:13" ht="29">
      <c r="A59" s="27" t="s">
        <v>9056</v>
      </c>
      <c r="B59" s="181" t="s">
        <v>138</v>
      </c>
      <c r="C59" s="27" t="s">
        <v>21</v>
      </c>
      <c r="D59" s="181" t="s">
        <v>132</v>
      </c>
      <c r="E59" s="182" t="s">
        <v>133</v>
      </c>
      <c r="F59" s="181" t="s">
        <v>21</v>
      </c>
      <c r="G59" s="28" t="s">
        <v>72</v>
      </c>
      <c r="H59" s="28" t="s">
        <v>42</v>
      </c>
      <c r="I59" s="28" t="s">
        <v>436</v>
      </c>
      <c r="J59" s="183" t="s">
        <v>2599</v>
      </c>
      <c r="K59" s="181">
        <v>4100000</v>
      </c>
      <c r="L59" s="80" t="s">
        <v>216</v>
      </c>
      <c r="M59" s="80" t="s">
        <v>14</v>
      </c>
    </row>
    <row r="60" spans="1:13" ht="29">
      <c r="A60" s="27" t="s">
        <v>9056</v>
      </c>
      <c r="B60" s="181" t="s">
        <v>139</v>
      </c>
      <c r="C60" s="27" t="s">
        <v>21</v>
      </c>
      <c r="D60" s="181" t="s">
        <v>140</v>
      </c>
      <c r="E60" s="182" t="s">
        <v>141</v>
      </c>
      <c r="F60" s="181" t="s">
        <v>21</v>
      </c>
      <c r="G60" s="28" t="s">
        <v>70</v>
      </c>
      <c r="H60" s="28" t="s">
        <v>26</v>
      </c>
      <c r="I60" s="28" t="s">
        <v>167</v>
      </c>
      <c r="J60" s="183" t="s">
        <v>2599</v>
      </c>
      <c r="K60" s="181">
        <v>265000</v>
      </c>
      <c r="L60" s="80" t="s">
        <v>216</v>
      </c>
      <c r="M60" s="80" t="s">
        <v>14</v>
      </c>
    </row>
    <row r="61" spans="1:13" ht="29">
      <c r="A61" s="27" t="s">
        <v>9056</v>
      </c>
      <c r="B61" s="181" t="s">
        <v>142</v>
      </c>
      <c r="C61" s="27" t="s">
        <v>21</v>
      </c>
      <c r="D61" s="181" t="s">
        <v>140</v>
      </c>
      <c r="E61" s="182" t="s">
        <v>141</v>
      </c>
      <c r="F61" s="181" t="s">
        <v>21</v>
      </c>
      <c r="G61" s="28" t="s">
        <v>70</v>
      </c>
      <c r="H61" s="28" t="s">
        <v>42</v>
      </c>
      <c r="I61" s="28" t="s">
        <v>167</v>
      </c>
      <c r="J61" s="183" t="s">
        <v>2599</v>
      </c>
      <c r="K61" s="181">
        <v>290000</v>
      </c>
      <c r="L61" s="80" t="s">
        <v>216</v>
      </c>
      <c r="M61" s="80" t="s">
        <v>14</v>
      </c>
    </row>
    <row r="62" spans="1:13" ht="29">
      <c r="A62" s="27" t="s">
        <v>9056</v>
      </c>
      <c r="B62" s="181" t="s">
        <v>143</v>
      </c>
      <c r="C62" s="27" t="s">
        <v>21</v>
      </c>
      <c r="D62" s="181" t="s">
        <v>140</v>
      </c>
      <c r="E62" s="182" t="s">
        <v>141</v>
      </c>
      <c r="F62" s="181" t="s">
        <v>21</v>
      </c>
      <c r="G62" s="28" t="s">
        <v>74</v>
      </c>
      <c r="H62" s="28" t="s">
        <v>26</v>
      </c>
      <c r="I62" s="28" t="s">
        <v>167</v>
      </c>
      <c r="J62" s="183" t="s">
        <v>2599</v>
      </c>
      <c r="K62" s="181">
        <v>265000</v>
      </c>
      <c r="L62" s="80" t="s">
        <v>216</v>
      </c>
      <c r="M62" s="80" t="s">
        <v>14</v>
      </c>
    </row>
    <row r="63" spans="1:13" ht="29">
      <c r="A63" s="27" t="s">
        <v>9056</v>
      </c>
      <c r="B63" s="181" t="s">
        <v>144</v>
      </c>
      <c r="C63" s="27" t="s">
        <v>21</v>
      </c>
      <c r="D63" s="181" t="s">
        <v>140</v>
      </c>
      <c r="E63" s="182" t="s">
        <v>141</v>
      </c>
      <c r="F63" s="181" t="s">
        <v>21</v>
      </c>
      <c r="G63" s="28" t="s">
        <v>74</v>
      </c>
      <c r="H63" s="28" t="s">
        <v>42</v>
      </c>
      <c r="I63" s="28" t="s">
        <v>167</v>
      </c>
      <c r="J63" s="183" t="s">
        <v>2599</v>
      </c>
      <c r="K63" s="181">
        <v>340000</v>
      </c>
      <c r="L63" s="80" t="s">
        <v>216</v>
      </c>
      <c r="M63" s="80" t="s">
        <v>14</v>
      </c>
    </row>
    <row r="64" spans="1:13" ht="29">
      <c r="A64" s="27" t="s">
        <v>9056</v>
      </c>
      <c r="B64" s="181" t="s">
        <v>145</v>
      </c>
      <c r="C64" s="27" t="s">
        <v>21</v>
      </c>
      <c r="D64" s="181" t="s">
        <v>140</v>
      </c>
      <c r="E64" s="182" t="s">
        <v>141</v>
      </c>
      <c r="F64" s="181" t="s">
        <v>21</v>
      </c>
      <c r="G64" s="28" t="s">
        <v>72</v>
      </c>
      <c r="H64" s="28" t="s">
        <v>26</v>
      </c>
      <c r="I64" s="28" t="s">
        <v>167</v>
      </c>
      <c r="J64" s="183" t="s">
        <v>2599</v>
      </c>
      <c r="K64" s="181">
        <v>265000</v>
      </c>
      <c r="L64" s="80" t="s">
        <v>216</v>
      </c>
      <c r="M64" s="80" t="s">
        <v>14</v>
      </c>
    </row>
    <row r="65" spans="1:13" ht="29">
      <c r="A65" s="27" t="s">
        <v>9056</v>
      </c>
      <c r="B65" s="181" t="s">
        <v>146</v>
      </c>
      <c r="C65" s="27" t="s">
        <v>21</v>
      </c>
      <c r="D65" s="181" t="s">
        <v>140</v>
      </c>
      <c r="E65" s="182" t="s">
        <v>141</v>
      </c>
      <c r="F65" s="181" t="s">
        <v>21</v>
      </c>
      <c r="G65" s="28" t="s">
        <v>72</v>
      </c>
      <c r="H65" s="28" t="s">
        <v>42</v>
      </c>
      <c r="I65" s="28" t="s">
        <v>167</v>
      </c>
      <c r="J65" s="183" t="s">
        <v>2599</v>
      </c>
      <c r="K65" s="181">
        <v>385000</v>
      </c>
      <c r="L65" s="80" t="s">
        <v>216</v>
      </c>
      <c r="M65" s="80" t="s">
        <v>14</v>
      </c>
    </row>
    <row r="66" spans="1:13" ht="29">
      <c r="A66" s="27" t="s">
        <v>9056</v>
      </c>
      <c r="B66" s="181" t="s">
        <v>147</v>
      </c>
      <c r="C66" s="27" t="s">
        <v>21</v>
      </c>
      <c r="D66" s="181" t="s">
        <v>148</v>
      </c>
      <c r="E66" s="182" t="s">
        <v>128</v>
      </c>
      <c r="F66" s="181" t="s">
        <v>21</v>
      </c>
      <c r="G66" s="28" t="s">
        <v>70</v>
      </c>
      <c r="H66" s="28" t="s">
        <v>42</v>
      </c>
      <c r="I66" s="28" t="s">
        <v>436</v>
      </c>
      <c r="J66" s="183" t="s">
        <v>2599</v>
      </c>
      <c r="K66" s="181">
        <v>52000000</v>
      </c>
      <c r="L66" s="80" t="s">
        <v>216</v>
      </c>
      <c r="M66" s="80" t="s">
        <v>14</v>
      </c>
    </row>
    <row r="67" spans="1:13" ht="29">
      <c r="A67" s="27" t="s">
        <v>9056</v>
      </c>
      <c r="B67" s="181" t="s">
        <v>149</v>
      </c>
      <c r="C67" s="27" t="s">
        <v>21</v>
      </c>
      <c r="D67" s="181" t="s">
        <v>148</v>
      </c>
      <c r="E67" s="182" t="s">
        <v>128</v>
      </c>
      <c r="F67" s="181" t="s">
        <v>21</v>
      </c>
      <c r="G67" s="28" t="s">
        <v>74</v>
      </c>
      <c r="H67" s="28" t="s">
        <v>42</v>
      </c>
      <c r="I67" s="28" t="s">
        <v>436</v>
      </c>
      <c r="J67" s="183" t="s">
        <v>2599</v>
      </c>
      <c r="K67" s="181">
        <v>52000000</v>
      </c>
      <c r="L67" s="80" t="s">
        <v>216</v>
      </c>
      <c r="M67" s="80" t="s">
        <v>14</v>
      </c>
    </row>
    <row r="68" spans="1:13" ht="29">
      <c r="A68" s="27" t="s">
        <v>9056</v>
      </c>
      <c r="B68" s="181" t="s">
        <v>150</v>
      </c>
      <c r="C68" s="27" t="s">
        <v>21</v>
      </c>
      <c r="D68" s="181" t="s">
        <v>148</v>
      </c>
      <c r="E68" s="182" t="s">
        <v>128</v>
      </c>
      <c r="F68" s="181" t="s">
        <v>21</v>
      </c>
      <c r="G68" s="28" t="s">
        <v>72</v>
      </c>
      <c r="H68" s="28" t="s">
        <v>42</v>
      </c>
      <c r="I68" s="28" t="s">
        <v>436</v>
      </c>
      <c r="J68" s="183" t="s">
        <v>2599</v>
      </c>
      <c r="K68" s="181">
        <v>52000000</v>
      </c>
      <c r="L68" s="80" t="s">
        <v>216</v>
      </c>
      <c r="M68" s="80" t="s">
        <v>14</v>
      </c>
    </row>
    <row r="69" spans="1:13" ht="29">
      <c r="A69" s="27" t="s">
        <v>9056</v>
      </c>
      <c r="B69" s="181" t="s">
        <v>151</v>
      </c>
      <c r="C69" s="27" t="s">
        <v>21</v>
      </c>
      <c r="D69" s="181" t="s">
        <v>152</v>
      </c>
      <c r="E69" s="182" t="s">
        <v>29</v>
      </c>
      <c r="F69" s="181" t="s">
        <v>21</v>
      </c>
      <c r="G69" s="28" t="s">
        <v>74</v>
      </c>
      <c r="H69" s="28" t="s">
        <v>26</v>
      </c>
      <c r="I69" s="28" t="s">
        <v>436</v>
      </c>
      <c r="J69" s="183" t="s">
        <v>2599</v>
      </c>
      <c r="K69" s="181">
        <v>265000</v>
      </c>
      <c r="L69" s="80" t="s">
        <v>216</v>
      </c>
      <c r="M69" s="80" t="s">
        <v>14</v>
      </c>
    </row>
    <row r="70" spans="1:13" ht="29">
      <c r="A70" s="27" t="s">
        <v>9056</v>
      </c>
      <c r="B70" s="181" t="s">
        <v>153</v>
      </c>
      <c r="C70" s="27" t="s">
        <v>21</v>
      </c>
      <c r="D70" s="181" t="s">
        <v>152</v>
      </c>
      <c r="E70" s="182" t="s">
        <v>29</v>
      </c>
      <c r="F70" s="181" t="s">
        <v>21</v>
      </c>
      <c r="G70" s="28" t="s">
        <v>74</v>
      </c>
      <c r="H70" s="28" t="s">
        <v>42</v>
      </c>
      <c r="I70" s="28" t="s">
        <v>436</v>
      </c>
      <c r="J70" s="183" t="s">
        <v>2599</v>
      </c>
      <c r="K70" s="181">
        <v>310000</v>
      </c>
      <c r="L70" s="80" t="s">
        <v>216</v>
      </c>
      <c r="M70" s="80" t="s">
        <v>14</v>
      </c>
    </row>
    <row r="71" spans="1:13" ht="29">
      <c r="A71" s="27" t="s">
        <v>9056</v>
      </c>
      <c r="B71" s="181" t="s">
        <v>154</v>
      </c>
      <c r="C71" s="27" t="s">
        <v>21</v>
      </c>
      <c r="D71" s="181" t="s">
        <v>152</v>
      </c>
      <c r="E71" s="182" t="s">
        <v>29</v>
      </c>
      <c r="F71" s="181" t="s">
        <v>21</v>
      </c>
      <c r="G71" s="28" t="s">
        <v>70</v>
      </c>
      <c r="H71" s="28" t="s">
        <v>26</v>
      </c>
      <c r="I71" s="28" t="s">
        <v>436</v>
      </c>
      <c r="J71" s="183" t="s">
        <v>2599</v>
      </c>
      <c r="K71" s="181">
        <v>265000</v>
      </c>
      <c r="L71" s="80" t="s">
        <v>216</v>
      </c>
      <c r="M71" s="80" t="s">
        <v>14</v>
      </c>
    </row>
    <row r="72" spans="1:13" ht="29">
      <c r="A72" s="27" t="s">
        <v>9056</v>
      </c>
      <c r="B72" s="181" t="s">
        <v>155</v>
      </c>
      <c r="C72" s="27" t="s">
        <v>21</v>
      </c>
      <c r="D72" s="181" t="s">
        <v>152</v>
      </c>
      <c r="E72" s="182" t="s">
        <v>29</v>
      </c>
      <c r="F72" s="181" t="s">
        <v>21</v>
      </c>
      <c r="G72" s="28" t="s">
        <v>72</v>
      </c>
      <c r="H72" s="28" t="s">
        <v>26</v>
      </c>
      <c r="I72" s="28" t="s">
        <v>436</v>
      </c>
      <c r="J72" s="183" t="s">
        <v>2599</v>
      </c>
      <c r="K72" s="181">
        <v>265000</v>
      </c>
      <c r="L72" s="80" t="s">
        <v>216</v>
      </c>
      <c r="M72" s="80" t="s">
        <v>14</v>
      </c>
    </row>
    <row r="73" spans="1:13" ht="29">
      <c r="A73" s="27" t="s">
        <v>9056</v>
      </c>
      <c r="B73" s="181" t="s">
        <v>156</v>
      </c>
      <c r="C73" s="27" t="s">
        <v>21</v>
      </c>
      <c r="D73" s="181" t="s">
        <v>152</v>
      </c>
      <c r="E73" s="182" t="s">
        <v>29</v>
      </c>
      <c r="F73" s="181" t="s">
        <v>21</v>
      </c>
      <c r="G73" s="28" t="s">
        <v>72</v>
      </c>
      <c r="H73" s="28" t="s">
        <v>42</v>
      </c>
      <c r="I73" s="28" t="s">
        <v>436</v>
      </c>
      <c r="J73" s="183" t="s">
        <v>2599</v>
      </c>
      <c r="K73" s="181">
        <v>335000</v>
      </c>
      <c r="L73" s="80" t="s">
        <v>216</v>
      </c>
      <c r="M73" s="80" t="s">
        <v>14</v>
      </c>
    </row>
    <row r="74" spans="1:13" ht="29">
      <c r="A74" s="27" t="s">
        <v>9056</v>
      </c>
      <c r="B74" s="181" t="s">
        <v>157</v>
      </c>
      <c r="C74" s="27" t="s">
        <v>21</v>
      </c>
      <c r="D74" s="181" t="s">
        <v>152</v>
      </c>
      <c r="E74" s="182" t="s">
        <v>29</v>
      </c>
      <c r="F74" s="181" t="s">
        <v>21</v>
      </c>
      <c r="G74" s="28" t="s">
        <v>70</v>
      </c>
      <c r="H74" s="28" t="s">
        <v>42</v>
      </c>
      <c r="I74" s="28" t="s">
        <v>436</v>
      </c>
      <c r="J74" s="183" t="s">
        <v>2599</v>
      </c>
      <c r="K74" s="181">
        <v>285000</v>
      </c>
      <c r="L74" s="80" t="s">
        <v>216</v>
      </c>
      <c r="M74" s="80" t="s">
        <v>14</v>
      </c>
    </row>
    <row r="75" spans="1:13" ht="29">
      <c r="A75" s="27" t="s">
        <v>9056</v>
      </c>
      <c r="B75" s="181" t="s">
        <v>158</v>
      </c>
      <c r="C75" s="27" t="s">
        <v>21</v>
      </c>
      <c r="D75" s="181" t="s">
        <v>159</v>
      </c>
      <c r="E75" s="182" t="s">
        <v>29</v>
      </c>
      <c r="F75" s="181" t="s">
        <v>21</v>
      </c>
      <c r="G75" s="28" t="s">
        <v>70</v>
      </c>
      <c r="H75" s="28" t="s">
        <v>42</v>
      </c>
      <c r="I75" s="28" t="s">
        <v>436</v>
      </c>
      <c r="J75" s="183" t="s">
        <v>2599</v>
      </c>
      <c r="K75" s="181">
        <v>285000</v>
      </c>
      <c r="L75" s="80" t="s">
        <v>216</v>
      </c>
      <c r="M75" s="80" t="s">
        <v>14</v>
      </c>
    </row>
    <row r="76" spans="1:13" ht="29">
      <c r="A76" s="27" t="s">
        <v>9056</v>
      </c>
      <c r="B76" s="181" t="s">
        <v>160</v>
      </c>
      <c r="C76" s="27" t="s">
        <v>21</v>
      </c>
      <c r="D76" s="181" t="s">
        <v>159</v>
      </c>
      <c r="E76" s="182" t="s">
        <v>29</v>
      </c>
      <c r="F76" s="181" t="s">
        <v>21</v>
      </c>
      <c r="G76" s="28" t="s">
        <v>74</v>
      </c>
      <c r="H76" s="28" t="s">
        <v>26</v>
      </c>
      <c r="I76" s="28" t="s">
        <v>436</v>
      </c>
      <c r="J76" s="183" t="s">
        <v>2599</v>
      </c>
      <c r="K76" s="181">
        <v>270000</v>
      </c>
      <c r="L76" s="80" t="s">
        <v>216</v>
      </c>
      <c r="M76" s="80" t="s">
        <v>14</v>
      </c>
    </row>
    <row r="77" spans="1:13" ht="29">
      <c r="A77" s="27" t="s">
        <v>9056</v>
      </c>
      <c r="B77" s="181" t="s">
        <v>161</v>
      </c>
      <c r="C77" s="27" t="s">
        <v>21</v>
      </c>
      <c r="D77" s="181" t="s">
        <v>159</v>
      </c>
      <c r="E77" s="182" t="s">
        <v>29</v>
      </c>
      <c r="F77" s="181" t="s">
        <v>21</v>
      </c>
      <c r="G77" s="28" t="s">
        <v>74</v>
      </c>
      <c r="H77" s="28" t="s">
        <v>42</v>
      </c>
      <c r="I77" s="28" t="s">
        <v>436</v>
      </c>
      <c r="J77" s="183" t="s">
        <v>2599</v>
      </c>
      <c r="K77" s="181">
        <v>335000</v>
      </c>
      <c r="L77" s="80" t="s">
        <v>216</v>
      </c>
      <c r="M77" s="80" t="s">
        <v>14</v>
      </c>
    </row>
    <row r="78" spans="1:13" ht="29">
      <c r="A78" s="27" t="s">
        <v>9056</v>
      </c>
      <c r="B78" s="181" t="s">
        <v>162</v>
      </c>
      <c r="C78" s="27" t="s">
        <v>21</v>
      </c>
      <c r="D78" s="181" t="s">
        <v>159</v>
      </c>
      <c r="E78" s="182" t="s">
        <v>29</v>
      </c>
      <c r="F78" s="181" t="s">
        <v>21</v>
      </c>
      <c r="G78" s="28" t="s">
        <v>72</v>
      </c>
      <c r="H78" s="28" t="s">
        <v>26</v>
      </c>
      <c r="I78" s="28" t="s">
        <v>436</v>
      </c>
      <c r="J78" s="183" t="s">
        <v>2599</v>
      </c>
      <c r="K78" s="181">
        <v>265000</v>
      </c>
      <c r="L78" s="80" t="s">
        <v>216</v>
      </c>
      <c r="M78" s="80" t="s">
        <v>14</v>
      </c>
    </row>
    <row r="79" spans="1:13" ht="29">
      <c r="A79" s="27" t="s">
        <v>9056</v>
      </c>
      <c r="B79" s="181" t="s">
        <v>163</v>
      </c>
      <c r="C79" s="27" t="s">
        <v>21</v>
      </c>
      <c r="D79" s="181" t="s">
        <v>159</v>
      </c>
      <c r="E79" s="182" t="s">
        <v>29</v>
      </c>
      <c r="F79" s="181" t="s">
        <v>21</v>
      </c>
      <c r="G79" s="28" t="s">
        <v>72</v>
      </c>
      <c r="H79" s="28" t="s">
        <v>42</v>
      </c>
      <c r="I79" s="28" t="s">
        <v>436</v>
      </c>
      <c r="J79" s="183" t="s">
        <v>2599</v>
      </c>
      <c r="K79" s="181">
        <v>310000</v>
      </c>
      <c r="L79" s="80" t="s">
        <v>216</v>
      </c>
      <c r="M79" s="80" t="s">
        <v>14</v>
      </c>
    </row>
    <row r="80" spans="1:13" ht="29">
      <c r="A80" s="27" t="s">
        <v>9056</v>
      </c>
      <c r="B80" s="181" t="s">
        <v>164</v>
      </c>
      <c r="C80" s="27" t="s">
        <v>21</v>
      </c>
      <c r="D80" s="181" t="s">
        <v>159</v>
      </c>
      <c r="E80" s="182" t="s">
        <v>29</v>
      </c>
      <c r="F80" s="181" t="s">
        <v>21</v>
      </c>
      <c r="G80" s="28" t="s">
        <v>70</v>
      </c>
      <c r="H80" s="28" t="s">
        <v>26</v>
      </c>
      <c r="I80" s="28" t="s">
        <v>436</v>
      </c>
      <c r="J80" s="183" t="s">
        <v>2599</v>
      </c>
      <c r="K80" s="181">
        <v>265000</v>
      </c>
      <c r="L80" s="80" t="s">
        <v>216</v>
      </c>
      <c r="M80" s="80" t="s">
        <v>14</v>
      </c>
    </row>
  </sheetData>
  <mergeCells count="1">
    <mergeCell ref="A1:M3"/>
  </mergeCells>
  <conditionalFormatting sqref="B4 B81:B1048576">
    <cfRule type="duplicateValues" dxfId="10" priority="6"/>
  </conditionalFormatting>
  <conditionalFormatting sqref="B5:B80">
    <cfRule type="duplicateValues" dxfId="9" priority="1"/>
  </conditionalFormatting>
  <dataValidations count="1">
    <dataValidation type="list" allowBlank="1" showInputMessage="1" showErrorMessage="1" sqref="M5:M80">
      <formula1>"COP,USD"</formula1>
    </dataValidation>
  </dataValidations>
  <pageMargins left="0.25" right="0.25" top="0.75" bottom="0.75" header="0.3" footer="0.3"/>
  <pageSetup scale="50"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workbookViewId="0">
      <selection sqref="A1:M1"/>
    </sheetView>
  </sheetViews>
  <sheetFormatPr baseColWidth="10" defaultColWidth="11.54296875" defaultRowHeight="15.5"/>
  <cols>
    <col min="1" max="1" width="23.453125" style="202" bestFit="1" customWidth="1"/>
    <col min="2" max="2" width="20.08984375" style="202" bestFit="1" customWidth="1"/>
    <col min="3" max="3" width="12.453125" style="202" bestFit="1" customWidth="1"/>
    <col min="4" max="4" width="121.81640625" style="202" bestFit="1" customWidth="1"/>
    <col min="5" max="9" width="11.54296875" style="202"/>
    <col min="10" max="10" width="12.90625" style="202" bestFit="1" customWidth="1"/>
    <col min="11" max="11" width="22.6328125" style="202" bestFit="1" customWidth="1"/>
    <col min="12" max="12" width="11.54296875" style="227"/>
    <col min="13" max="13" width="11.54296875" style="228"/>
    <col min="14" max="16384" width="11.54296875" style="202"/>
  </cols>
  <sheetData>
    <row r="1" spans="1:13" ht="25">
      <c r="A1" s="329" t="s">
        <v>9198</v>
      </c>
      <c r="B1" s="329"/>
      <c r="C1" s="329"/>
      <c r="D1" s="329"/>
      <c r="E1" s="329"/>
      <c r="F1" s="329"/>
      <c r="G1" s="329"/>
      <c r="H1" s="329"/>
      <c r="I1" s="329"/>
      <c r="J1" s="329"/>
      <c r="K1" s="329"/>
      <c r="L1" s="329"/>
      <c r="M1" s="329"/>
    </row>
    <row r="2" spans="1:13" ht="46.5">
      <c r="A2" s="205" t="s">
        <v>1445</v>
      </c>
      <c r="B2" s="205" t="s">
        <v>1430</v>
      </c>
      <c r="C2" s="205" t="s">
        <v>1446</v>
      </c>
      <c r="D2" s="205" t="s">
        <v>4</v>
      </c>
      <c r="E2" s="205" t="s">
        <v>5</v>
      </c>
      <c r="F2" s="205" t="s">
        <v>6</v>
      </c>
      <c r="G2" s="205" t="s">
        <v>7</v>
      </c>
      <c r="H2" s="205" t="s">
        <v>8</v>
      </c>
      <c r="I2" s="205" t="s">
        <v>9</v>
      </c>
      <c r="J2" s="205" t="s">
        <v>1434</v>
      </c>
      <c r="K2" s="205" t="s">
        <v>1432</v>
      </c>
      <c r="L2" s="205" t="s">
        <v>1433</v>
      </c>
      <c r="M2" s="205" t="s">
        <v>3</v>
      </c>
    </row>
    <row r="3" spans="1:13">
      <c r="A3" s="206" t="s">
        <v>9198</v>
      </c>
      <c r="B3" s="207" t="s">
        <v>9292</v>
      </c>
      <c r="C3" s="206" t="s">
        <v>9293</v>
      </c>
      <c r="D3" s="208" t="s">
        <v>9389</v>
      </c>
      <c r="E3" s="207" t="s">
        <v>9294</v>
      </c>
      <c r="F3" s="207" t="s">
        <v>1098</v>
      </c>
      <c r="G3" s="206" t="s">
        <v>9199</v>
      </c>
      <c r="H3" s="206" t="s">
        <v>177</v>
      </c>
      <c r="I3" s="206" t="s">
        <v>176</v>
      </c>
      <c r="J3" s="209" t="s">
        <v>9295</v>
      </c>
      <c r="K3" s="210">
        <v>8800000</v>
      </c>
      <c r="L3" s="206" t="s">
        <v>402</v>
      </c>
      <c r="M3" s="211" t="s">
        <v>14</v>
      </c>
    </row>
    <row r="4" spans="1:13">
      <c r="A4" s="206" t="s">
        <v>9198</v>
      </c>
      <c r="B4" s="207" t="s">
        <v>9296</v>
      </c>
      <c r="C4" s="206" t="s">
        <v>9293</v>
      </c>
      <c r="D4" s="208" t="s">
        <v>9390</v>
      </c>
      <c r="E4" s="207" t="s">
        <v>9297</v>
      </c>
      <c r="F4" s="207" t="s">
        <v>1098</v>
      </c>
      <c r="G4" s="206" t="s">
        <v>9199</v>
      </c>
      <c r="H4" s="206" t="s">
        <v>177</v>
      </c>
      <c r="I4" s="206" t="s">
        <v>176</v>
      </c>
      <c r="J4" s="209" t="s">
        <v>9295</v>
      </c>
      <c r="K4" s="210">
        <v>352000</v>
      </c>
      <c r="L4" s="206" t="s">
        <v>402</v>
      </c>
      <c r="M4" s="211" t="s">
        <v>14</v>
      </c>
    </row>
    <row r="5" spans="1:13">
      <c r="A5" s="206" t="s">
        <v>9198</v>
      </c>
      <c r="B5" s="207" t="s">
        <v>9298</v>
      </c>
      <c r="C5" s="206" t="s">
        <v>9293</v>
      </c>
      <c r="D5" s="208" t="s">
        <v>9391</v>
      </c>
      <c r="E5" s="207" t="s">
        <v>9294</v>
      </c>
      <c r="F5" s="207" t="s">
        <v>1098</v>
      </c>
      <c r="G5" s="206" t="s">
        <v>9199</v>
      </c>
      <c r="H5" s="206" t="s">
        <v>177</v>
      </c>
      <c r="I5" s="206" t="s">
        <v>176</v>
      </c>
      <c r="J5" s="209" t="s">
        <v>9295</v>
      </c>
      <c r="K5" s="210">
        <v>20000000</v>
      </c>
      <c r="L5" s="206" t="s">
        <v>402</v>
      </c>
      <c r="M5" s="211" t="s">
        <v>14</v>
      </c>
    </row>
    <row r="6" spans="1:13">
      <c r="A6" s="206" t="s">
        <v>9198</v>
      </c>
      <c r="B6" s="207" t="s">
        <v>9299</v>
      </c>
      <c r="C6" s="206" t="s">
        <v>9293</v>
      </c>
      <c r="D6" s="208" t="s">
        <v>9392</v>
      </c>
      <c r="E6" s="207" t="s">
        <v>9297</v>
      </c>
      <c r="F6" s="207" t="s">
        <v>1098</v>
      </c>
      <c r="G6" s="206" t="s">
        <v>9199</v>
      </c>
      <c r="H6" s="206" t="s">
        <v>177</v>
      </c>
      <c r="I6" s="206" t="s">
        <v>176</v>
      </c>
      <c r="J6" s="209" t="s">
        <v>9295</v>
      </c>
      <c r="K6" s="210">
        <v>800000</v>
      </c>
      <c r="L6" s="206" t="s">
        <v>402</v>
      </c>
      <c r="M6" s="211" t="s">
        <v>14</v>
      </c>
    </row>
    <row r="7" spans="1:13">
      <c r="A7" s="207" t="s">
        <v>9198</v>
      </c>
      <c r="B7" s="207" t="s">
        <v>9300</v>
      </c>
      <c r="C7" s="207" t="s">
        <v>9293</v>
      </c>
      <c r="D7" s="212" t="s">
        <v>9393</v>
      </c>
      <c r="E7" s="207" t="s">
        <v>9301</v>
      </c>
      <c r="F7" s="207" t="s">
        <v>1098</v>
      </c>
      <c r="G7" s="207" t="s">
        <v>9199</v>
      </c>
      <c r="H7" s="207" t="s">
        <v>177</v>
      </c>
      <c r="I7" s="207" t="s">
        <v>176</v>
      </c>
      <c r="J7" s="213" t="s">
        <v>9295</v>
      </c>
      <c r="K7" s="210">
        <v>12000000</v>
      </c>
      <c r="L7" s="207" t="s">
        <v>402</v>
      </c>
      <c r="M7" s="214" t="s">
        <v>14</v>
      </c>
    </row>
    <row r="8" spans="1:13">
      <c r="A8" s="206" t="s">
        <v>9198</v>
      </c>
      <c r="B8" s="207" t="s">
        <v>9302</v>
      </c>
      <c r="C8" s="206" t="s">
        <v>9293</v>
      </c>
      <c r="D8" s="208" t="s">
        <v>9394</v>
      </c>
      <c r="E8" s="207" t="s">
        <v>9303</v>
      </c>
      <c r="F8" s="207" t="s">
        <v>1098</v>
      </c>
      <c r="G8" s="206" t="s">
        <v>9199</v>
      </c>
      <c r="H8" s="206" t="s">
        <v>177</v>
      </c>
      <c r="I8" s="206" t="s">
        <v>176</v>
      </c>
      <c r="J8" s="209" t="s">
        <v>9295</v>
      </c>
      <c r="K8" s="210">
        <v>1060000</v>
      </c>
      <c r="L8" s="206" t="s">
        <v>402</v>
      </c>
      <c r="M8" s="211" t="s">
        <v>14</v>
      </c>
    </row>
    <row r="9" spans="1:13">
      <c r="A9" s="206" t="s">
        <v>9198</v>
      </c>
      <c r="B9" s="207" t="s">
        <v>9304</v>
      </c>
      <c r="C9" s="206" t="s">
        <v>9293</v>
      </c>
      <c r="D9" s="208" t="s">
        <v>9395</v>
      </c>
      <c r="E9" s="207" t="s">
        <v>9305</v>
      </c>
      <c r="F9" s="207" t="s">
        <v>1098</v>
      </c>
      <c r="G9" s="206" t="s">
        <v>9199</v>
      </c>
      <c r="H9" s="206" t="s">
        <v>177</v>
      </c>
      <c r="I9" s="206" t="s">
        <v>176</v>
      </c>
      <c r="J9" s="209" t="s">
        <v>9295</v>
      </c>
      <c r="K9" s="210">
        <v>250000</v>
      </c>
      <c r="L9" s="206" t="s">
        <v>402</v>
      </c>
      <c r="M9" s="211" t="s">
        <v>14</v>
      </c>
    </row>
    <row r="10" spans="1:13">
      <c r="A10" s="206" t="s">
        <v>9198</v>
      </c>
      <c r="B10" s="207" t="s">
        <v>9306</v>
      </c>
      <c r="C10" s="206" t="s">
        <v>9293</v>
      </c>
      <c r="D10" s="208" t="s">
        <v>9396</v>
      </c>
      <c r="E10" s="207" t="s">
        <v>9307</v>
      </c>
      <c r="F10" s="207" t="s">
        <v>1098</v>
      </c>
      <c r="G10" s="206" t="s">
        <v>9199</v>
      </c>
      <c r="H10" s="206" t="s">
        <v>177</v>
      </c>
      <c r="I10" s="206" t="s">
        <v>176</v>
      </c>
      <c r="J10" s="209" t="s">
        <v>9295</v>
      </c>
      <c r="K10" s="210">
        <v>955000</v>
      </c>
      <c r="L10" s="206" t="s">
        <v>402</v>
      </c>
      <c r="M10" s="211" t="s">
        <v>14</v>
      </c>
    </row>
    <row r="11" spans="1:13">
      <c r="A11" s="206" t="s">
        <v>9198</v>
      </c>
      <c r="B11" s="207" t="s">
        <v>9308</v>
      </c>
      <c r="C11" s="206" t="s">
        <v>9293</v>
      </c>
      <c r="D11" s="208" t="s">
        <v>9397</v>
      </c>
      <c r="E11" s="207" t="s">
        <v>9305</v>
      </c>
      <c r="F11" s="207" t="s">
        <v>1098</v>
      </c>
      <c r="G11" s="206" t="s">
        <v>9199</v>
      </c>
      <c r="H11" s="206" t="s">
        <v>177</v>
      </c>
      <c r="I11" s="206" t="s">
        <v>176</v>
      </c>
      <c r="J11" s="209" t="s">
        <v>9295</v>
      </c>
      <c r="K11" s="210">
        <v>215000</v>
      </c>
      <c r="L11" s="206" t="s">
        <v>402</v>
      </c>
      <c r="M11" s="211" t="s">
        <v>14</v>
      </c>
    </row>
    <row r="12" spans="1:13">
      <c r="A12" s="206" t="s">
        <v>9198</v>
      </c>
      <c r="B12" s="207" t="s">
        <v>9309</v>
      </c>
      <c r="C12" s="206" t="s">
        <v>9293</v>
      </c>
      <c r="D12" s="208" t="s">
        <v>9398</v>
      </c>
      <c r="E12" s="207" t="s">
        <v>9310</v>
      </c>
      <c r="F12" s="207" t="s">
        <v>1098</v>
      </c>
      <c r="G12" s="206" t="s">
        <v>9199</v>
      </c>
      <c r="H12" s="206" t="s">
        <v>177</v>
      </c>
      <c r="I12" s="206" t="s">
        <v>176</v>
      </c>
      <c r="J12" s="209" t="s">
        <v>9295</v>
      </c>
      <c r="K12" s="210">
        <v>3750000</v>
      </c>
      <c r="L12" s="206" t="s">
        <v>402</v>
      </c>
      <c r="M12" s="211" t="s">
        <v>14</v>
      </c>
    </row>
    <row r="13" spans="1:13">
      <c r="A13" s="206" t="s">
        <v>9198</v>
      </c>
      <c r="B13" s="207" t="s">
        <v>9311</v>
      </c>
      <c r="C13" s="206" t="s">
        <v>9293</v>
      </c>
      <c r="D13" s="208" t="s">
        <v>9399</v>
      </c>
      <c r="E13" s="207" t="s">
        <v>9312</v>
      </c>
      <c r="F13" s="207" t="s">
        <v>1098</v>
      </c>
      <c r="G13" s="206" t="s">
        <v>9199</v>
      </c>
      <c r="H13" s="206" t="s">
        <v>177</v>
      </c>
      <c r="I13" s="206" t="s">
        <v>176</v>
      </c>
      <c r="J13" s="209" t="s">
        <v>9295</v>
      </c>
      <c r="K13" s="210">
        <v>12500</v>
      </c>
      <c r="L13" s="206" t="s">
        <v>402</v>
      </c>
      <c r="M13" s="211" t="s">
        <v>14</v>
      </c>
    </row>
    <row r="14" spans="1:13">
      <c r="A14" s="206" t="s">
        <v>9198</v>
      </c>
      <c r="B14" s="207" t="s">
        <v>9313</v>
      </c>
      <c r="C14" s="206" t="s">
        <v>9293</v>
      </c>
      <c r="D14" s="208" t="s">
        <v>9400</v>
      </c>
      <c r="E14" s="207" t="s">
        <v>9301</v>
      </c>
      <c r="F14" s="207" t="s">
        <v>1098</v>
      </c>
      <c r="G14" s="206" t="s">
        <v>9199</v>
      </c>
      <c r="H14" s="206" t="s">
        <v>177</v>
      </c>
      <c r="I14" s="206" t="s">
        <v>176</v>
      </c>
      <c r="J14" s="209" t="s">
        <v>9295</v>
      </c>
      <c r="K14" s="210">
        <v>24000000</v>
      </c>
      <c r="L14" s="206" t="s">
        <v>402</v>
      </c>
      <c r="M14" s="211" t="s">
        <v>14</v>
      </c>
    </row>
    <row r="15" spans="1:13">
      <c r="A15" s="206" t="s">
        <v>9198</v>
      </c>
      <c r="B15" s="207" t="s">
        <v>9314</v>
      </c>
      <c r="C15" s="206" t="s">
        <v>9293</v>
      </c>
      <c r="D15" s="208" t="s">
        <v>9401</v>
      </c>
      <c r="E15" s="207" t="s">
        <v>9301</v>
      </c>
      <c r="F15" s="207" t="s">
        <v>1098</v>
      </c>
      <c r="G15" s="206" t="s">
        <v>9199</v>
      </c>
      <c r="H15" s="206" t="s">
        <v>177</v>
      </c>
      <c r="I15" s="206" t="s">
        <v>176</v>
      </c>
      <c r="J15" s="209" t="s">
        <v>9295</v>
      </c>
      <c r="K15" s="210">
        <v>12500000</v>
      </c>
      <c r="L15" s="206" t="s">
        <v>402</v>
      </c>
      <c r="M15" s="211" t="s">
        <v>14</v>
      </c>
    </row>
    <row r="16" spans="1:13">
      <c r="A16" s="206" t="s">
        <v>9198</v>
      </c>
      <c r="B16" s="207" t="s">
        <v>9315</v>
      </c>
      <c r="C16" s="206" t="s">
        <v>9293</v>
      </c>
      <c r="D16" s="208" t="s">
        <v>9402</v>
      </c>
      <c r="E16" s="207" t="s">
        <v>9297</v>
      </c>
      <c r="F16" s="207" t="s">
        <v>1098</v>
      </c>
      <c r="G16" s="206" t="s">
        <v>9199</v>
      </c>
      <c r="H16" s="206" t="s">
        <v>177</v>
      </c>
      <c r="I16" s="206" t="s">
        <v>176</v>
      </c>
      <c r="J16" s="209" t="s">
        <v>9295</v>
      </c>
      <c r="K16" s="210">
        <v>250000</v>
      </c>
      <c r="L16" s="206" t="s">
        <v>402</v>
      </c>
      <c r="M16" s="211" t="s">
        <v>14</v>
      </c>
    </row>
    <row r="17" spans="1:13" ht="31">
      <c r="A17" s="207" t="s">
        <v>9198</v>
      </c>
      <c r="B17" s="207" t="s">
        <v>9316</v>
      </c>
      <c r="C17" s="207" t="s">
        <v>9293</v>
      </c>
      <c r="D17" s="212" t="s">
        <v>9403</v>
      </c>
      <c r="E17" s="207" t="s">
        <v>9317</v>
      </c>
      <c r="F17" s="207" t="s">
        <v>1098</v>
      </c>
      <c r="G17" s="207" t="s">
        <v>9199</v>
      </c>
      <c r="H17" s="207" t="s">
        <v>177</v>
      </c>
      <c r="I17" s="207" t="s">
        <v>176</v>
      </c>
      <c r="J17" s="213" t="s">
        <v>9295</v>
      </c>
      <c r="K17" s="210">
        <v>31500000</v>
      </c>
      <c r="L17" s="207" t="s">
        <v>402</v>
      </c>
      <c r="M17" s="214" t="s">
        <v>14</v>
      </c>
    </row>
    <row r="18" spans="1:13">
      <c r="A18" s="206" t="s">
        <v>9198</v>
      </c>
      <c r="B18" s="207" t="s">
        <v>9318</v>
      </c>
      <c r="C18" s="206" t="s">
        <v>9293</v>
      </c>
      <c r="D18" s="208" t="s">
        <v>9404</v>
      </c>
      <c r="E18" s="207" t="s">
        <v>9301</v>
      </c>
      <c r="F18" s="207" t="s">
        <v>1098</v>
      </c>
      <c r="G18" s="206" t="s">
        <v>9199</v>
      </c>
      <c r="H18" s="206" t="s">
        <v>177</v>
      </c>
      <c r="I18" s="206" t="s">
        <v>176</v>
      </c>
      <c r="J18" s="209" t="s">
        <v>9295</v>
      </c>
      <c r="K18" s="210">
        <v>31500000</v>
      </c>
      <c r="L18" s="206" t="s">
        <v>402</v>
      </c>
      <c r="M18" s="211" t="s">
        <v>14</v>
      </c>
    </row>
    <row r="19" spans="1:13">
      <c r="A19" s="206" t="s">
        <v>9198</v>
      </c>
      <c r="B19" s="207" t="s">
        <v>9319</v>
      </c>
      <c r="C19" s="206" t="s">
        <v>9293</v>
      </c>
      <c r="D19" s="208" t="s">
        <v>9405</v>
      </c>
      <c r="E19" s="207" t="s">
        <v>9301</v>
      </c>
      <c r="F19" s="207" t="s">
        <v>1098</v>
      </c>
      <c r="G19" s="206" t="s">
        <v>9199</v>
      </c>
      <c r="H19" s="206" t="s">
        <v>177</v>
      </c>
      <c r="I19" s="206" t="s">
        <v>176</v>
      </c>
      <c r="J19" s="209" t="s">
        <v>9295</v>
      </c>
      <c r="K19" s="210">
        <v>17640000</v>
      </c>
      <c r="L19" s="206" t="s">
        <v>402</v>
      </c>
      <c r="M19" s="211" t="s">
        <v>14</v>
      </c>
    </row>
    <row r="20" spans="1:13">
      <c r="A20" s="206" t="s">
        <v>9198</v>
      </c>
      <c r="B20" s="207" t="s">
        <v>9320</v>
      </c>
      <c r="C20" s="206" t="s">
        <v>9293</v>
      </c>
      <c r="D20" s="208" t="s">
        <v>9406</v>
      </c>
      <c r="E20" s="207" t="s">
        <v>9301</v>
      </c>
      <c r="F20" s="207" t="s">
        <v>1098</v>
      </c>
      <c r="G20" s="206" t="s">
        <v>9199</v>
      </c>
      <c r="H20" s="206" t="s">
        <v>177</v>
      </c>
      <c r="I20" s="206" t="s">
        <v>176</v>
      </c>
      <c r="J20" s="209" t="s">
        <v>9295</v>
      </c>
      <c r="K20" s="210">
        <v>31500000</v>
      </c>
      <c r="L20" s="206" t="s">
        <v>402</v>
      </c>
      <c r="M20" s="211" t="s">
        <v>14</v>
      </c>
    </row>
    <row r="21" spans="1:13" ht="46.5">
      <c r="A21" s="207" t="s">
        <v>9198</v>
      </c>
      <c r="B21" s="207" t="s">
        <v>9321</v>
      </c>
      <c r="C21" s="207" t="s">
        <v>9293</v>
      </c>
      <c r="D21" s="212" t="s">
        <v>9407</v>
      </c>
      <c r="E21" s="207" t="s">
        <v>9301</v>
      </c>
      <c r="F21" s="207" t="s">
        <v>1098</v>
      </c>
      <c r="G21" s="207" t="s">
        <v>9199</v>
      </c>
      <c r="H21" s="207" t="s">
        <v>177</v>
      </c>
      <c r="I21" s="207" t="s">
        <v>176</v>
      </c>
      <c r="J21" s="213" t="s">
        <v>9295</v>
      </c>
      <c r="K21" s="210">
        <v>9722222</v>
      </c>
      <c r="L21" s="207" t="s">
        <v>402</v>
      </c>
      <c r="M21" s="214" t="s">
        <v>14</v>
      </c>
    </row>
    <row r="22" spans="1:13" ht="31">
      <c r="A22" s="207" t="s">
        <v>9198</v>
      </c>
      <c r="B22" s="207" t="s">
        <v>9322</v>
      </c>
      <c r="C22" s="207" t="s">
        <v>9293</v>
      </c>
      <c r="D22" s="212" t="s">
        <v>9408</v>
      </c>
      <c r="E22" s="207" t="s">
        <v>9301</v>
      </c>
      <c r="F22" s="207" t="s">
        <v>1098</v>
      </c>
      <c r="G22" s="207" t="s">
        <v>9199</v>
      </c>
      <c r="H22" s="207" t="s">
        <v>177</v>
      </c>
      <c r="I22" s="207" t="s">
        <v>176</v>
      </c>
      <c r="J22" s="213" t="s">
        <v>9295</v>
      </c>
      <c r="K22" s="210">
        <v>2430556</v>
      </c>
      <c r="L22" s="207" t="s">
        <v>402</v>
      </c>
      <c r="M22" s="214" t="s">
        <v>14</v>
      </c>
    </row>
    <row r="23" spans="1:13" ht="31">
      <c r="A23" s="207" t="s">
        <v>9198</v>
      </c>
      <c r="B23" s="207" t="s">
        <v>9323</v>
      </c>
      <c r="C23" s="207" t="s">
        <v>9293</v>
      </c>
      <c r="D23" s="212" t="s">
        <v>9409</v>
      </c>
      <c r="E23" s="207" t="s">
        <v>9301</v>
      </c>
      <c r="F23" s="207" t="s">
        <v>1098</v>
      </c>
      <c r="G23" s="207" t="s">
        <v>9199</v>
      </c>
      <c r="H23" s="207" t="s">
        <v>177</v>
      </c>
      <c r="I23" s="207" t="s">
        <v>176</v>
      </c>
      <c r="J23" s="213" t="s">
        <v>9295</v>
      </c>
      <c r="K23" s="210">
        <v>1544946</v>
      </c>
      <c r="L23" s="207" t="s">
        <v>402</v>
      </c>
      <c r="M23" s="214" t="s">
        <v>14</v>
      </c>
    </row>
    <row r="24" spans="1:13" ht="31">
      <c r="A24" s="207" t="s">
        <v>9198</v>
      </c>
      <c r="B24" s="207" t="s">
        <v>9324</v>
      </c>
      <c r="C24" s="207" t="s">
        <v>9293</v>
      </c>
      <c r="D24" s="212" t="s">
        <v>9410</v>
      </c>
      <c r="E24" s="207" t="s">
        <v>9301</v>
      </c>
      <c r="F24" s="207" t="s">
        <v>1098</v>
      </c>
      <c r="G24" s="207" t="s">
        <v>9199</v>
      </c>
      <c r="H24" s="207" t="s">
        <v>177</v>
      </c>
      <c r="I24" s="207" t="s">
        <v>176</v>
      </c>
      <c r="J24" s="213" t="s">
        <v>9295</v>
      </c>
      <c r="K24" s="210">
        <v>1377026</v>
      </c>
      <c r="L24" s="207" t="s">
        <v>402</v>
      </c>
      <c r="M24" s="214" t="s">
        <v>14</v>
      </c>
    </row>
    <row r="25" spans="1:13" ht="31">
      <c r="A25" s="207" t="s">
        <v>9198</v>
      </c>
      <c r="B25" s="207" t="s">
        <v>9325</v>
      </c>
      <c r="C25" s="207" t="s">
        <v>9293</v>
      </c>
      <c r="D25" s="212" t="s">
        <v>9411</v>
      </c>
      <c r="E25" s="207" t="s">
        <v>9301</v>
      </c>
      <c r="F25" s="207" t="s">
        <v>1098</v>
      </c>
      <c r="G25" s="207" t="s">
        <v>9199</v>
      </c>
      <c r="H25" s="207" t="s">
        <v>177</v>
      </c>
      <c r="I25" s="207" t="s">
        <v>176</v>
      </c>
      <c r="J25" s="213" t="s">
        <v>9295</v>
      </c>
      <c r="K25" s="210">
        <v>1208900</v>
      </c>
      <c r="L25" s="207" t="s">
        <v>402</v>
      </c>
      <c r="M25" s="214" t="s">
        <v>14</v>
      </c>
    </row>
    <row r="26" spans="1:13" ht="31">
      <c r="A26" s="207" t="s">
        <v>9198</v>
      </c>
      <c r="B26" s="207" t="s">
        <v>9326</v>
      </c>
      <c r="C26" s="207" t="s">
        <v>9293</v>
      </c>
      <c r="D26" s="212" t="s">
        <v>9412</v>
      </c>
      <c r="E26" s="207" t="s">
        <v>9301</v>
      </c>
      <c r="F26" s="207" t="s">
        <v>1098</v>
      </c>
      <c r="G26" s="207" t="s">
        <v>9199</v>
      </c>
      <c r="H26" s="207" t="s">
        <v>177</v>
      </c>
      <c r="I26" s="207" t="s">
        <v>176</v>
      </c>
      <c r="J26" s="213" t="s">
        <v>9295</v>
      </c>
      <c r="K26" s="210">
        <v>1029420</v>
      </c>
      <c r="L26" s="207" t="s">
        <v>402</v>
      </c>
      <c r="M26" s="214" t="s">
        <v>14</v>
      </c>
    </row>
    <row r="27" spans="1:13" ht="31">
      <c r="A27" s="207" t="s">
        <v>9198</v>
      </c>
      <c r="B27" s="207" t="s">
        <v>9327</v>
      </c>
      <c r="C27" s="207" t="s">
        <v>9293</v>
      </c>
      <c r="D27" s="212" t="s">
        <v>9413</v>
      </c>
      <c r="E27" s="207" t="s">
        <v>9297</v>
      </c>
      <c r="F27" s="207" t="s">
        <v>1098</v>
      </c>
      <c r="G27" s="207" t="s">
        <v>9199</v>
      </c>
      <c r="H27" s="207" t="s">
        <v>177</v>
      </c>
      <c r="I27" s="207" t="s">
        <v>176</v>
      </c>
      <c r="J27" s="213" t="s">
        <v>9295</v>
      </c>
      <c r="K27" s="210">
        <v>18740000</v>
      </c>
      <c r="L27" s="207" t="s">
        <v>402</v>
      </c>
      <c r="M27" s="214" t="s">
        <v>14</v>
      </c>
    </row>
    <row r="28" spans="1:13" ht="31">
      <c r="A28" s="207" t="s">
        <v>9198</v>
      </c>
      <c r="B28" s="207" t="s">
        <v>9328</v>
      </c>
      <c r="C28" s="207" t="s">
        <v>9293</v>
      </c>
      <c r="D28" s="212" t="s">
        <v>9414</v>
      </c>
      <c r="E28" s="207" t="s">
        <v>9297</v>
      </c>
      <c r="F28" s="207" t="s">
        <v>1098</v>
      </c>
      <c r="G28" s="207" t="s">
        <v>9199</v>
      </c>
      <c r="H28" s="207" t="s">
        <v>177</v>
      </c>
      <c r="I28" s="207" t="s">
        <v>176</v>
      </c>
      <c r="J28" s="213" t="s">
        <v>9295</v>
      </c>
      <c r="K28" s="210">
        <v>16328000</v>
      </c>
      <c r="L28" s="207" t="s">
        <v>402</v>
      </c>
      <c r="M28" s="214" t="s">
        <v>14</v>
      </c>
    </row>
    <row r="29" spans="1:13" ht="31">
      <c r="A29" s="207" t="s">
        <v>9198</v>
      </c>
      <c r="B29" s="207" t="s">
        <v>9329</v>
      </c>
      <c r="C29" s="207" t="s">
        <v>9293</v>
      </c>
      <c r="D29" s="212" t="s">
        <v>9415</v>
      </c>
      <c r="E29" s="207" t="s">
        <v>9297</v>
      </c>
      <c r="F29" s="207" t="s">
        <v>1098</v>
      </c>
      <c r="G29" s="207" t="s">
        <v>9199</v>
      </c>
      <c r="H29" s="207" t="s">
        <v>177</v>
      </c>
      <c r="I29" s="207" t="s">
        <v>176</v>
      </c>
      <c r="J29" s="213" t="s">
        <v>9295</v>
      </c>
      <c r="K29" s="210">
        <v>15150000</v>
      </c>
      <c r="L29" s="207" t="s">
        <v>402</v>
      </c>
      <c r="M29" s="214" t="s">
        <v>14</v>
      </c>
    </row>
    <row r="30" spans="1:13" ht="31">
      <c r="A30" s="207" t="s">
        <v>9198</v>
      </c>
      <c r="B30" s="207" t="s">
        <v>9330</v>
      </c>
      <c r="C30" s="207" t="s">
        <v>9293</v>
      </c>
      <c r="D30" s="212" t="s">
        <v>9416</v>
      </c>
      <c r="E30" s="207" t="s">
        <v>9297</v>
      </c>
      <c r="F30" s="207" t="s">
        <v>1098</v>
      </c>
      <c r="G30" s="207" t="s">
        <v>9199</v>
      </c>
      <c r="H30" s="207" t="s">
        <v>177</v>
      </c>
      <c r="I30" s="207" t="s">
        <v>176</v>
      </c>
      <c r="J30" s="213" t="s">
        <v>9295</v>
      </c>
      <c r="K30" s="210">
        <v>10600000</v>
      </c>
      <c r="L30" s="207" t="s">
        <v>402</v>
      </c>
      <c r="M30" s="214" t="s">
        <v>14</v>
      </c>
    </row>
    <row r="31" spans="1:13" ht="31">
      <c r="A31" s="207" t="s">
        <v>9198</v>
      </c>
      <c r="B31" s="207" t="s">
        <v>9331</v>
      </c>
      <c r="C31" s="207" t="s">
        <v>9293</v>
      </c>
      <c r="D31" s="212" t="s">
        <v>9417</v>
      </c>
      <c r="E31" s="207" t="s">
        <v>9297</v>
      </c>
      <c r="F31" s="207" t="s">
        <v>1098</v>
      </c>
      <c r="G31" s="207" t="s">
        <v>9199</v>
      </c>
      <c r="H31" s="207" t="s">
        <v>177</v>
      </c>
      <c r="I31" s="207" t="s">
        <v>176</v>
      </c>
      <c r="J31" s="213" t="s">
        <v>9295</v>
      </c>
      <c r="K31" s="210">
        <v>8100000</v>
      </c>
      <c r="L31" s="207" t="s">
        <v>402</v>
      </c>
      <c r="M31" s="214" t="s">
        <v>14</v>
      </c>
    </row>
    <row r="32" spans="1:13" ht="31">
      <c r="A32" s="207" t="s">
        <v>9198</v>
      </c>
      <c r="B32" s="207" t="s">
        <v>9332</v>
      </c>
      <c r="C32" s="207" t="s">
        <v>9293</v>
      </c>
      <c r="D32" s="212" t="s">
        <v>9418</v>
      </c>
      <c r="E32" s="207" t="s">
        <v>9333</v>
      </c>
      <c r="F32" s="207" t="s">
        <v>1098</v>
      </c>
      <c r="G32" s="207" t="s">
        <v>9199</v>
      </c>
      <c r="H32" s="207" t="s">
        <v>177</v>
      </c>
      <c r="I32" s="207" t="s">
        <v>176</v>
      </c>
      <c r="J32" s="213" t="s">
        <v>9295</v>
      </c>
      <c r="K32" s="210">
        <v>5400000</v>
      </c>
      <c r="L32" s="207" t="s">
        <v>402</v>
      </c>
      <c r="M32" s="214" t="s">
        <v>14</v>
      </c>
    </row>
    <row r="33" spans="1:13" ht="31">
      <c r="A33" s="207" t="s">
        <v>9198</v>
      </c>
      <c r="B33" s="207" t="s">
        <v>9334</v>
      </c>
      <c r="C33" s="207" t="s">
        <v>9293</v>
      </c>
      <c r="D33" s="212" t="s">
        <v>9419</v>
      </c>
      <c r="E33" s="207" t="s">
        <v>2877</v>
      </c>
      <c r="F33" s="207" t="s">
        <v>9335</v>
      </c>
      <c r="G33" s="207" t="s">
        <v>9199</v>
      </c>
      <c r="H33" s="207" t="s">
        <v>177</v>
      </c>
      <c r="I33" s="207" t="s">
        <v>176</v>
      </c>
      <c r="J33" s="213" t="s">
        <v>1099</v>
      </c>
      <c r="K33" s="210">
        <v>1055958</v>
      </c>
      <c r="L33" s="207" t="s">
        <v>2057</v>
      </c>
      <c r="M33" s="214" t="s">
        <v>14</v>
      </c>
    </row>
    <row r="34" spans="1:13" ht="31">
      <c r="A34" s="207" t="s">
        <v>9198</v>
      </c>
      <c r="B34" s="207" t="s">
        <v>9336</v>
      </c>
      <c r="C34" s="207" t="s">
        <v>9293</v>
      </c>
      <c r="D34" s="212" t="s">
        <v>9420</v>
      </c>
      <c r="E34" s="207" t="s">
        <v>2877</v>
      </c>
      <c r="F34" s="207" t="s">
        <v>9335</v>
      </c>
      <c r="G34" s="207" t="s">
        <v>9199</v>
      </c>
      <c r="H34" s="207" t="s">
        <v>177</v>
      </c>
      <c r="I34" s="207" t="s">
        <v>176</v>
      </c>
      <c r="J34" s="213" t="s">
        <v>1099</v>
      </c>
      <c r="K34" s="210">
        <v>2016806.7226890759</v>
      </c>
      <c r="L34" s="207" t="s">
        <v>2057</v>
      </c>
      <c r="M34" s="214" t="s">
        <v>14</v>
      </c>
    </row>
    <row r="35" spans="1:13" ht="31">
      <c r="A35" s="206" t="s">
        <v>9198</v>
      </c>
      <c r="B35" s="207" t="s">
        <v>9337</v>
      </c>
      <c r="C35" s="206" t="s">
        <v>9293</v>
      </c>
      <c r="D35" s="215" t="s">
        <v>9421</v>
      </c>
      <c r="E35" s="207" t="s">
        <v>9338</v>
      </c>
      <c r="F35" s="207" t="s">
        <v>9335</v>
      </c>
      <c r="G35" s="206" t="s">
        <v>9199</v>
      </c>
      <c r="H35" s="206" t="s">
        <v>177</v>
      </c>
      <c r="I35" s="206" t="s">
        <v>176</v>
      </c>
      <c r="J35" s="209" t="s">
        <v>1099</v>
      </c>
      <c r="K35" s="216">
        <v>263025000</v>
      </c>
      <c r="L35" s="206" t="s">
        <v>2057</v>
      </c>
      <c r="M35" s="211" t="s">
        <v>14</v>
      </c>
    </row>
    <row r="36" spans="1:13" ht="46.5">
      <c r="A36" s="206" t="s">
        <v>9198</v>
      </c>
      <c r="B36" s="207" t="s">
        <v>9339</v>
      </c>
      <c r="C36" s="206" t="s">
        <v>9293</v>
      </c>
      <c r="D36" s="215" t="s">
        <v>9422</v>
      </c>
      <c r="E36" s="207" t="s">
        <v>2877</v>
      </c>
      <c r="F36" s="207" t="s">
        <v>9335</v>
      </c>
      <c r="G36" s="206" t="s">
        <v>9199</v>
      </c>
      <c r="H36" s="206" t="s">
        <v>177</v>
      </c>
      <c r="I36" s="206" t="s">
        <v>176</v>
      </c>
      <c r="J36" s="209" t="s">
        <v>1099</v>
      </c>
      <c r="K36" s="210">
        <v>636000</v>
      </c>
      <c r="L36" s="206" t="s">
        <v>2057</v>
      </c>
      <c r="M36" s="211" t="s">
        <v>14</v>
      </c>
    </row>
    <row r="37" spans="1:13" ht="31">
      <c r="A37" s="206" t="s">
        <v>9198</v>
      </c>
      <c r="B37" s="207" t="s">
        <v>9340</v>
      </c>
      <c r="C37" s="206" t="s">
        <v>9293</v>
      </c>
      <c r="D37" s="215" t="s">
        <v>9423</v>
      </c>
      <c r="E37" s="207" t="s">
        <v>2877</v>
      </c>
      <c r="F37" s="207" t="s">
        <v>9335</v>
      </c>
      <c r="G37" s="206" t="s">
        <v>9199</v>
      </c>
      <c r="H37" s="206" t="s">
        <v>177</v>
      </c>
      <c r="I37" s="206" t="s">
        <v>176</v>
      </c>
      <c r="J37" s="209" t="s">
        <v>1099</v>
      </c>
      <c r="K37" s="210">
        <v>573000</v>
      </c>
      <c r="L37" s="206" t="s">
        <v>2057</v>
      </c>
      <c r="M37" s="211" t="s">
        <v>14</v>
      </c>
    </row>
    <row r="38" spans="1:13" ht="31">
      <c r="A38" s="206" t="s">
        <v>9198</v>
      </c>
      <c r="B38" s="207" t="s">
        <v>9341</v>
      </c>
      <c r="C38" s="206" t="s">
        <v>9293</v>
      </c>
      <c r="D38" s="215" t="s">
        <v>9424</v>
      </c>
      <c r="E38" s="207" t="s">
        <v>9342</v>
      </c>
      <c r="F38" s="207" t="s">
        <v>9335</v>
      </c>
      <c r="G38" s="206" t="s">
        <v>9199</v>
      </c>
      <c r="H38" s="206" t="s">
        <v>177</v>
      </c>
      <c r="I38" s="206" t="s">
        <v>176</v>
      </c>
      <c r="J38" s="209" t="s">
        <v>1099</v>
      </c>
      <c r="K38" s="210">
        <v>450000</v>
      </c>
      <c r="L38" s="206" t="s">
        <v>2057</v>
      </c>
      <c r="M38" s="211" t="s">
        <v>14</v>
      </c>
    </row>
    <row r="39" spans="1:13" ht="46.5">
      <c r="A39" s="206" t="s">
        <v>9198</v>
      </c>
      <c r="B39" s="207" t="s">
        <v>9343</v>
      </c>
      <c r="C39" s="206" t="s">
        <v>9293</v>
      </c>
      <c r="D39" s="215" t="s">
        <v>9425</v>
      </c>
      <c r="E39" s="207" t="s">
        <v>9338</v>
      </c>
      <c r="F39" s="207" t="s">
        <v>9335</v>
      </c>
      <c r="G39" s="206" t="s">
        <v>9199</v>
      </c>
      <c r="H39" s="206" t="s">
        <v>177</v>
      </c>
      <c r="I39" s="206" t="s">
        <v>176</v>
      </c>
      <c r="J39" s="209" t="s">
        <v>1099</v>
      </c>
      <c r="K39" s="210">
        <v>864000000</v>
      </c>
      <c r="L39" s="206" t="s">
        <v>2057</v>
      </c>
      <c r="M39" s="211" t="s">
        <v>14</v>
      </c>
    </row>
    <row r="40" spans="1:13" ht="31">
      <c r="A40" s="206" t="s">
        <v>9198</v>
      </c>
      <c r="B40" s="207" t="s">
        <v>9344</v>
      </c>
      <c r="C40" s="206" t="s">
        <v>9293</v>
      </c>
      <c r="D40" s="215" t="s">
        <v>9426</v>
      </c>
      <c r="E40" s="207" t="s">
        <v>9338</v>
      </c>
      <c r="F40" s="207" t="s">
        <v>9335</v>
      </c>
      <c r="G40" s="206" t="s">
        <v>9199</v>
      </c>
      <c r="H40" s="206" t="s">
        <v>177</v>
      </c>
      <c r="I40" s="206" t="s">
        <v>176</v>
      </c>
      <c r="J40" s="209" t="s">
        <v>1099</v>
      </c>
      <c r="K40" s="210">
        <v>450000000</v>
      </c>
      <c r="L40" s="206" t="s">
        <v>2057</v>
      </c>
      <c r="M40" s="211" t="s">
        <v>14</v>
      </c>
    </row>
    <row r="41" spans="1:13" ht="31">
      <c r="A41" s="206" t="s">
        <v>9198</v>
      </c>
      <c r="B41" s="207" t="s">
        <v>9345</v>
      </c>
      <c r="C41" s="206" t="s">
        <v>9293</v>
      </c>
      <c r="D41" s="215" t="s">
        <v>9427</v>
      </c>
      <c r="E41" s="207" t="s">
        <v>9338</v>
      </c>
      <c r="F41" s="207" t="s">
        <v>9335</v>
      </c>
      <c r="G41" s="206" t="s">
        <v>9199</v>
      </c>
      <c r="H41" s="206" t="s">
        <v>177</v>
      </c>
      <c r="I41" s="206" t="s">
        <v>176</v>
      </c>
      <c r="J41" s="209" t="s">
        <v>1099</v>
      </c>
      <c r="K41" s="210">
        <v>248000000</v>
      </c>
      <c r="L41" s="206" t="s">
        <v>2057</v>
      </c>
      <c r="M41" s="211" t="s">
        <v>14</v>
      </c>
    </row>
    <row r="42" spans="1:13">
      <c r="A42" s="206" t="s">
        <v>9198</v>
      </c>
      <c r="B42" s="207" t="s">
        <v>9346</v>
      </c>
      <c r="C42" s="206" t="s">
        <v>9293</v>
      </c>
      <c r="D42" s="208" t="s">
        <v>9428</v>
      </c>
      <c r="E42" s="207" t="s">
        <v>2877</v>
      </c>
      <c r="F42" s="207" t="s">
        <v>21</v>
      </c>
      <c r="G42" s="206" t="s">
        <v>9199</v>
      </c>
      <c r="H42" s="206" t="s">
        <v>177</v>
      </c>
      <c r="I42" s="206" t="s">
        <v>176</v>
      </c>
      <c r="J42" s="209" t="s">
        <v>1099</v>
      </c>
      <c r="K42" s="210">
        <v>316787.39999999997</v>
      </c>
      <c r="L42" s="206" t="s">
        <v>2057</v>
      </c>
      <c r="M42" s="211" t="s">
        <v>14</v>
      </c>
    </row>
    <row r="43" spans="1:13">
      <c r="A43" s="206" t="s">
        <v>9198</v>
      </c>
      <c r="B43" s="207" t="s">
        <v>9347</v>
      </c>
      <c r="C43" s="206" t="s">
        <v>9293</v>
      </c>
      <c r="D43" s="208" t="s">
        <v>9429</v>
      </c>
      <c r="E43" s="207" t="s">
        <v>2877</v>
      </c>
      <c r="F43" s="207" t="s">
        <v>21</v>
      </c>
      <c r="G43" s="206" t="s">
        <v>9199</v>
      </c>
      <c r="H43" s="206" t="s">
        <v>177</v>
      </c>
      <c r="I43" s="206" t="s">
        <v>176</v>
      </c>
      <c r="J43" s="209" t="s">
        <v>1099</v>
      </c>
      <c r="K43" s="210">
        <v>605042.01680672274</v>
      </c>
      <c r="L43" s="206" t="s">
        <v>2057</v>
      </c>
      <c r="M43" s="211" t="s">
        <v>14</v>
      </c>
    </row>
    <row r="44" spans="1:13">
      <c r="A44" s="206" t="s">
        <v>9198</v>
      </c>
      <c r="B44" s="207" t="s">
        <v>9348</v>
      </c>
      <c r="C44" s="206" t="s">
        <v>9293</v>
      </c>
      <c r="D44" s="208" t="s">
        <v>9430</v>
      </c>
      <c r="E44" s="207" t="s">
        <v>9338</v>
      </c>
      <c r="F44" s="207" t="s">
        <v>21</v>
      </c>
      <c r="G44" s="206" t="s">
        <v>9199</v>
      </c>
      <c r="H44" s="206" t="s">
        <v>177</v>
      </c>
      <c r="I44" s="206" t="s">
        <v>176</v>
      </c>
      <c r="J44" s="209" t="s">
        <v>1099</v>
      </c>
      <c r="K44" s="216">
        <v>78907500</v>
      </c>
      <c r="L44" s="206" t="s">
        <v>2057</v>
      </c>
      <c r="M44" s="211" t="s">
        <v>14</v>
      </c>
    </row>
    <row r="45" spans="1:13">
      <c r="A45" s="206" t="s">
        <v>9198</v>
      </c>
      <c r="B45" s="207" t="s">
        <v>9349</v>
      </c>
      <c r="C45" s="206" t="s">
        <v>9293</v>
      </c>
      <c r="D45" s="208" t="s">
        <v>9431</v>
      </c>
      <c r="E45" s="207" t="s">
        <v>2877</v>
      </c>
      <c r="F45" s="207" t="s">
        <v>21</v>
      </c>
      <c r="G45" s="206" t="s">
        <v>9199</v>
      </c>
      <c r="H45" s="206" t="s">
        <v>177</v>
      </c>
      <c r="I45" s="206" t="s">
        <v>176</v>
      </c>
      <c r="J45" s="209" t="s">
        <v>1099</v>
      </c>
      <c r="K45" s="210">
        <v>190800</v>
      </c>
      <c r="L45" s="206" t="s">
        <v>2057</v>
      </c>
      <c r="M45" s="211" t="s">
        <v>14</v>
      </c>
    </row>
    <row r="46" spans="1:13">
      <c r="A46" s="206" t="s">
        <v>9198</v>
      </c>
      <c r="B46" s="207" t="s">
        <v>9350</v>
      </c>
      <c r="C46" s="206" t="s">
        <v>9293</v>
      </c>
      <c r="D46" s="208" t="s">
        <v>9432</v>
      </c>
      <c r="E46" s="207" t="s">
        <v>2877</v>
      </c>
      <c r="F46" s="207" t="s">
        <v>21</v>
      </c>
      <c r="G46" s="206" t="s">
        <v>9199</v>
      </c>
      <c r="H46" s="206" t="s">
        <v>177</v>
      </c>
      <c r="I46" s="206" t="s">
        <v>176</v>
      </c>
      <c r="J46" s="209" t="s">
        <v>1099</v>
      </c>
      <c r="K46" s="210">
        <v>171900</v>
      </c>
      <c r="L46" s="206" t="s">
        <v>2057</v>
      </c>
      <c r="M46" s="211" t="s">
        <v>14</v>
      </c>
    </row>
    <row r="47" spans="1:13">
      <c r="A47" s="206" t="s">
        <v>9198</v>
      </c>
      <c r="B47" s="207" t="s">
        <v>9351</v>
      </c>
      <c r="C47" s="206" t="s">
        <v>9293</v>
      </c>
      <c r="D47" s="208" t="s">
        <v>9433</v>
      </c>
      <c r="E47" s="207" t="s">
        <v>9342</v>
      </c>
      <c r="F47" s="207" t="s">
        <v>21</v>
      </c>
      <c r="G47" s="206" t="s">
        <v>9199</v>
      </c>
      <c r="H47" s="206" t="s">
        <v>177</v>
      </c>
      <c r="I47" s="206" t="s">
        <v>176</v>
      </c>
      <c r="J47" s="209" t="s">
        <v>1099</v>
      </c>
      <c r="K47" s="210">
        <v>135000</v>
      </c>
      <c r="L47" s="206" t="s">
        <v>2057</v>
      </c>
      <c r="M47" s="211" t="s">
        <v>14</v>
      </c>
    </row>
    <row r="48" spans="1:13">
      <c r="A48" s="206" t="s">
        <v>9198</v>
      </c>
      <c r="B48" s="207" t="s">
        <v>9352</v>
      </c>
      <c r="C48" s="206" t="s">
        <v>9293</v>
      </c>
      <c r="D48" s="208" t="s">
        <v>9434</v>
      </c>
      <c r="E48" s="207" t="s">
        <v>9338</v>
      </c>
      <c r="F48" s="207" t="s">
        <v>21</v>
      </c>
      <c r="G48" s="206" t="s">
        <v>9199</v>
      </c>
      <c r="H48" s="206" t="s">
        <v>177</v>
      </c>
      <c r="I48" s="206" t="s">
        <v>176</v>
      </c>
      <c r="J48" s="209" t="s">
        <v>1099</v>
      </c>
      <c r="K48" s="210">
        <v>259200000</v>
      </c>
      <c r="L48" s="206" t="s">
        <v>2057</v>
      </c>
      <c r="M48" s="211" t="s">
        <v>14</v>
      </c>
    </row>
    <row r="49" spans="1:13">
      <c r="A49" s="206" t="s">
        <v>9198</v>
      </c>
      <c r="B49" s="207" t="s">
        <v>9353</v>
      </c>
      <c r="C49" s="206" t="s">
        <v>9293</v>
      </c>
      <c r="D49" s="208" t="s">
        <v>9435</v>
      </c>
      <c r="E49" s="207" t="s">
        <v>9338</v>
      </c>
      <c r="F49" s="207" t="s">
        <v>21</v>
      </c>
      <c r="G49" s="206" t="s">
        <v>9199</v>
      </c>
      <c r="H49" s="206" t="s">
        <v>177</v>
      </c>
      <c r="I49" s="206" t="s">
        <v>176</v>
      </c>
      <c r="J49" s="209" t="s">
        <v>1099</v>
      </c>
      <c r="K49" s="210">
        <v>135000000</v>
      </c>
      <c r="L49" s="206" t="s">
        <v>2057</v>
      </c>
      <c r="M49" s="211" t="s">
        <v>14</v>
      </c>
    </row>
    <row r="50" spans="1:13">
      <c r="A50" s="206" t="s">
        <v>9198</v>
      </c>
      <c r="B50" s="207" t="s">
        <v>9354</v>
      </c>
      <c r="C50" s="206" t="s">
        <v>9293</v>
      </c>
      <c r="D50" s="208" t="s">
        <v>9436</v>
      </c>
      <c r="E50" s="207" t="s">
        <v>9338</v>
      </c>
      <c r="F50" s="207" t="s">
        <v>21</v>
      </c>
      <c r="G50" s="206" t="s">
        <v>9199</v>
      </c>
      <c r="H50" s="206" t="s">
        <v>177</v>
      </c>
      <c r="I50" s="206" t="s">
        <v>176</v>
      </c>
      <c r="J50" s="209" t="s">
        <v>1099</v>
      </c>
      <c r="K50" s="210">
        <v>74400000</v>
      </c>
      <c r="L50" s="206" t="s">
        <v>2057</v>
      </c>
      <c r="M50" s="211" t="s">
        <v>14</v>
      </c>
    </row>
    <row r="51" spans="1:13" ht="46.5">
      <c r="A51" s="207" t="s">
        <v>9198</v>
      </c>
      <c r="B51" s="207" t="s">
        <v>9355</v>
      </c>
      <c r="C51" s="207" t="s">
        <v>9293</v>
      </c>
      <c r="D51" s="212" t="s">
        <v>9437</v>
      </c>
      <c r="E51" s="207" t="s">
        <v>9338</v>
      </c>
      <c r="F51" s="207" t="s">
        <v>9335</v>
      </c>
      <c r="G51" s="207" t="s">
        <v>9199</v>
      </c>
      <c r="H51" s="207" t="s">
        <v>177</v>
      </c>
      <c r="I51" s="207" t="s">
        <v>176</v>
      </c>
      <c r="J51" s="213" t="s">
        <v>1099</v>
      </c>
      <c r="K51" s="210">
        <v>349999992</v>
      </c>
      <c r="L51" s="207" t="s">
        <v>2057</v>
      </c>
      <c r="M51" s="214" t="s">
        <v>14</v>
      </c>
    </row>
    <row r="52" spans="1:13" ht="46.5">
      <c r="A52" s="207" t="s">
        <v>9198</v>
      </c>
      <c r="B52" s="207" t="s">
        <v>9356</v>
      </c>
      <c r="C52" s="207" t="s">
        <v>9293</v>
      </c>
      <c r="D52" s="212" t="s">
        <v>9438</v>
      </c>
      <c r="E52" s="207" t="s">
        <v>9338</v>
      </c>
      <c r="F52" s="207" t="s">
        <v>9335</v>
      </c>
      <c r="G52" s="207" t="s">
        <v>9199</v>
      </c>
      <c r="H52" s="207" t="s">
        <v>177</v>
      </c>
      <c r="I52" s="207" t="s">
        <v>176</v>
      </c>
      <c r="J52" s="213" t="s">
        <v>1099</v>
      </c>
      <c r="K52" s="210">
        <v>87500016</v>
      </c>
      <c r="L52" s="207" t="s">
        <v>2057</v>
      </c>
      <c r="M52" s="214" t="s">
        <v>14</v>
      </c>
    </row>
    <row r="53" spans="1:13" ht="46.5">
      <c r="A53" s="207" t="s">
        <v>9198</v>
      </c>
      <c r="B53" s="207" t="s">
        <v>9357</v>
      </c>
      <c r="C53" s="207" t="s">
        <v>9293</v>
      </c>
      <c r="D53" s="212" t="s">
        <v>9439</v>
      </c>
      <c r="E53" s="207" t="s">
        <v>9338</v>
      </c>
      <c r="F53" s="207" t="s">
        <v>9335</v>
      </c>
      <c r="G53" s="207" t="s">
        <v>9199</v>
      </c>
      <c r="H53" s="207" t="s">
        <v>177</v>
      </c>
      <c r="I53" s="207" t="s">
        <v>176</v>
      </c>
      <c r="J53" s="213" t="s">
        <v>1099</v>
      </c>
      <c r="K53" s="210">
        <v>55618056</v>
      </c>
      <c r="L53" s="207" t="s">
        <v>2057</v>
      </c>
      <c r="M53" s="214" t="s">
        <v>14</v>
      </c>
    </row>
    <row r="54" spans="1:13" ht="46.5">
      <c r="A54" s="207" t="s">
        <v>9198</v>
      </c>
      <c r="B54" s="207" t="s">
        <v>9358</v>
      </c>
      <c r="C54" s="207" t="s">
        <v>9293</v>
      </c>
      <c r="D54" s="212" t="s">
        <v>9440</v>
      </c>
      <c r="E54" s="207" t="s">
        <v>9338</v>
      </c>
      <c r="F54" s="207" t="s">
        <v>9335</v>
      </c>
      <c r="G54" s="207" t="s">
        <v>9199</v>
      </c>
      <c r="H54" s="207" t="s">
        <v>177</v>
      </c>
      <c r="I54" s="207" t="s">
        <v>176</v>
      </c>
      <c r="J54" s="213" t="s">
        <v>1099</v>
      </c>
      <c r="K54" s="210">
        <v>49572936</v>
      </c>
      <c r="L54" s="207" t="s">
        <v>2057</v>
      </c>
      <c r="M54" s="214" t="s">
        <v>14</v>
      </c>
    </row>
    <row r="55" spans="1:13" ht="46.5">
      <c r="A55" s="207" t="s">
        <v>9198</v>
      </c>
      <c r="B55" s="207" t="s">
        <v>9359</v>
      </c>
      <c r="C55" s="207" t="s">
        <v>9293</v>
      </c>
      <c r="D55" s="212" t="s">
        <v>9441</v>
      </c>
      <c r="E55" s="207" t="s">
        <v>9338</v>
      </c>
      <c r="F55" s="207" t="s">
        <v>9335</v>
      </c>
      <c r="G55" s="207" t="s">
        <v>9199</v>
      </c>
      <c r="H55" s="207" t="s">
        <v>177</v>
      </c>
      <c r="I55" s="207" t="s">
        <v>176</v>
      </c>
      <c r="J55" s="213" t="s">
        <v>1099</v>
      </c>
      <c r="K55" s="210">
        <v>43520400</v>
      </c>
      <c r="L55" s="207" t="s">
        <v>2057</v>
      </c>
      <c r="M55" s="214" t="s">
        <v>14</v>
      </c>
    </row>
    <row r="56" spans="1:13" ht="46.5">
      <c r="A56" s="207" t="s">
        <v>9198</v>
      </c>
      <c r="B56" s="217" t="s">
        <v>9360</v>
      </c>
      <c r="C56" s="218" t="s">
        <v>9293</v>
      </c>
      <c r="D56" s="219" t="s">
        <v>9442</v>
      </c>
      <c r="E56" s="218" t="s">
        <v>9338</v>
      </c>
      <c r="F56" s="207" t="s">
        <v>9335</v>
      </c>
      <c r="G56" s="218" t="s">
        <v>9199</v>
      </c>
      <c r="H56" s="218" t="s">
        <v>177</v>
      </c>
      <c r="I56" s="218" t="s">
        <v>176</v>
      </c>
      <c r="J56" s="213" t="s">
        <v>1099</v>
      </c>
      <c r="K56" s="210">
        <v>37059120</v>
      </c>
      <c r="L56" s="218" t="s">
        <v>216</v>
      </c>
      <c r="M56" s="220" t="s">
        <v>9361</v>
      </c>
    </row>
    <row r="57" spans="1:13" ht="31">
      <c r="A57" s="207" t="s">
        <v>9198</v>
      </c>
      <c r="B57" s="207" t="s">
        <v>9362</v>
      </c>
      <c r="C57" s="207" t="s">
        <v>9293</v>
      </c>
      <c r="D57" s="212" t="s">
        <v>9443</v>
      </c>
      <c r="E57" s="207" t="s">
        <v>9338</v>
      </c>
      <c r="F57" s="207" t="s">
        <v>21</v>
      </c>
      <c r="G57" s="207" t="s">
        <v>9199</v>
      </c>
      <c r="H57" s="207" t="s">
        <v>177</v>
      </c>
      <c r="I57" s="207" t="s">
        <v>176</v>
      </c>
      <c r="J57" s="213" t="s">
        <v>1099</v>
      </c>
      <c r="K57" s="210">
        <v>104999997.59999999</v>
      </c>
      <c r="L57" s="207" t="s">
        <v>2057</v>
      </c>
      <c r="M57" s="214" t="s">
        <v>14</v>
      </c>
    </row>
    <row r="58" spans="1:13" ht="31">
      <c r="A58" s="207" t="s">
        <v>9198</v>
      </c>
      <c r="B58" s="207" t="s">
        <v>9363</v>
      </c>
      <c r="C58" s="207" t="s">
        <v>9293</v>
      </c>
      <c r="D58" s="212" t="s">
        <v>9444</v>
      </c>
      <c r="E58" s="207" t="s">
        <v>9338</v>
      </c>
      <c r="F58" s="207" t="s">
        <v>21</v>
      </c>
      <c r="G58" s="207" t="s">
        <v>9199</v>
      </c>
      <c r="H58" s="207" t="s">
        <v>177</v>
      </c>
      <c r="I58" s="207" t="s">
        <v>176</v>
      </c>
      <c r="J58" s="213" t="s">
        <v>1099</v>
      </c>
      <c r="K58" s="210">
        <v>26250004.800000001</v>
      </c>
      <c r="L58" s="207" t="s">
        <v>2057</v>
      </c>
      <c r="M58" s="214" t="s">
        <v>14</v>
      </c>
    </row>
    <row r="59" spans="1:13" ht="31">
      <c r="A59" s="207" t="s">
        <v>9198</v>
      </c>
      <c r="B59" s="207" t="s">
        <v>9364</v>
      </c>
      <c r="C59" s="207" t="s">
        <v>9293</v>
      </c>
      <c r="D59" s="212" t="s">
        <v>9445</v>
      </c>
      <c r="E59" s="207" t="s">
        <v>9338</v>
      </c>
      <c r="F59" s="207" t="s">
        <v>21</v>
      </c>
      <c r="G59" s="207" t="s">
        <v>9199</v>
      </c>
      <c r="H59" s="207" t="s">
        <v>177</v>
      </c>
      <c r="I59" s="207" t="s">
        <v>176</v>
      </c>
      <c r="J59" s="213" t="s">
        <v>1099</v>
      </c>
      <c r="K59" s="210">
        <v>16685416.799999999</v>
      </c>
      <c r="L59" s="207" t="s">
        <v>2057</v>
      </c>
      <c r="M59" s="214" t="s">
        <v>14</v>
      </c>
    </row>
    <row r="60" spans="1:13" ht="31">
      <c r="A60" s="207" t="s">
        <v>9198</v>
      </c>
      <c r="B60" s="207" t="s">
        <v>9365</v>
      </c>
      <c r="C60" s="207" t="s">
        <v>9293</v>
      </c>
      <c r="D60" s="212" t="s">
        <v>9446</v>
      </c>
      <c r="E60" s="207" t="s">
        <v>9338</v>
      </c>
      <c r="F60" s="207" t="s">
        <v>21</v>
      </c>
      <c r="G60" s="207" t="s">
        <v>9199</v>
      </c>
      <c r="H60" s="207" t="s">
        <v>177</v>
      </c>
      <c r="I60" s="207" t="s">
        <v>176</v>
      </c>
      <c r="J60" s="213" t="s">
        <v>1099</v>
      </c>
      <c r="K60" s="210">
        <v>14871880.799999999</v>
      </c>
      <c r="L60" s="207" t="s">
        <v>2057</v>
      </c>
      <c r="M60" s="214" t="s">
        <v>14</v>
      </c>
    </row>
    <row r="61" spans="1:13" ht="31">
      <c r="A61" s="207" t="s">
        <v>9198</v>
      </c>
      <c r="B61" s="207" t="s">
        <v>9366</v>
      </c>
      <c r="C61" s="207" t="s">
        <v>9293</v>
      </c>
      <c r="D61" s="212" t="s">
        <v>9447</v>
      </c>
      <c r="E61" s="207" t="s">
        <v>9338</v>
      </c>
      <c r="F61" s="207" t="s">
        <v>21</v>
      </c>
      <c r="G61" s="207" t="s">
        <v>9199</v>
      </c>
      <c r="H61" s="207" t="s">
        <v>177</v>
      </c>
      <c r="I61" s="207" t="s">
        <v>176</v>
      </c>
      <c r="J61" s="213" t="s">
        <v>1099</v>
      </c>
      <c r="K61" s="210">
        <v>13056120</v>
      </c>
      <c r="L61" s="207" t="s">
        <v>2057</v>
      </c>
      <c r="M61" s="214" t="s">
        <v>14</v>
      </c>
    </row>
    <row r="62" spans="1:13" ht="31">
      <c r="A62" s="207" t="s">
        <v>9198</v>
      </c>
      <c r="B62" s="217" t="s">
        <v>9367</v>
      </c>
      <c r="C62" s="218" t="s">
        <v>9293</v>
      </c>
      <c r="D62" s="219" t="s">
        <v>9448</v>
      </c>
      <c r="E62" s="218" t="s">
        <v>9338</v>
      </c>
      <c r="F62" s="207" t="s">
        <v>21</v>
      </c>
      <c r="G62" s="218" t="s">
        <v>9199</v>
      </c>
      <c r="H62" s="218" t="s">
        <v>177</v>
      </c>
      <c r="I62" s="218" t="s">
        <v>176</v>
      </c>
      <c r="J62" s="213" t="s">
        <v>1099</v>
      </c>
      <c r="K62" s="210">
        <v>11117736</v>
      </c>
      <c r="L62" s="218" t="s">
        <v>216</v>
      </c>
      <c r="M62" s="220" t="s">
        <v>9361</v>
      </c>
    </row>
    <row r="63" spans="1:13" ht="31">
      <c r="A63" s="207" t="s">
        <v>9198</v>
      </c>
      <c r="B63" s="207" t="s">
        <v>9368</v>
      </c>
      <c r="C63" s="207" t="s">
        <v>9293</v>
      </c>
      <c r="D63" s="212" t="s">
        <v>9449</v>
      </c>
      <c r="E63" s="207" t="s">
        <v>9338</v>
      </c>
      <c r="F63" s="207" t="s">
        <v>9335</v>
      </c>
      <c r="G63" s="207" t="s">
        <v>9199</v>
      </c>
      <c r="H63" s="207" t="s">
        <v>177</v>
      </c>
      <c r="I63" s="207" t="s">
        <v>176</v>
      </c>
      <c r="J63" s="213" t="s">
        <v>1099</v>
      </c>
      <c r="K63" s="210">
        <v>710000000</v>
      </c>
      <c r="L63" s="207" t="s">
        <v>2057</v>
      </c>
      <c r="M63" s="214" t="s">
        <v>14</v>
      </c>
    </row>
    <row r="64" spans="1:13" ht="31">
      <c r="A64" s="207" t="s">
        <v>9198</v>
      </c>
      <c r="B64" s="207" t="s">
        <v>9369</v>
      </c>
      <c r="C64" s="207" t="s">
        <v>9293</v>
      </c>
      <c r="D64" s="212" t="s">
        <v>9450</v>
      </c>
      <c r="E64" s="207" t="s">
        <v>9338</v>
      </c>
      <c r="F64" s="207" t="s">
        <v>9335</v>
      </c>
      <c r="G64" s="207" t="s">
        <v>9199</v>
      </c>
      <c r="H64" s="207" t="s">
        <v>177</v>
      </c>
      <c r="I64" s="207" t="s">
        <v>176</v>
      </c>
      <c r="J64" s="213" t="s">
        <v>1099</v>
      </c>
      <c r="K64" s="210">
        <v>660000000</v>
      </c>
      <c r="L64" s="207" t="s">
        <v>2057</v>
      </c>
      <c r="M64" s="214" t="s">
        <v>14</v>
      </c>
    </row>
    <row r="65" spans="1:13" ht="31">
      <c r="A65" s="207" t="s">
        <v>9198</v>
      </c>
      <c r="B65" s="207" t="s">
        <v>9370</v>
      </c>
      <c r="C65" s="207" t="s">
        <v>9293</v>
      </c>
      <c r="D65" s="212" t="s">
        <v>9451</v>
      </c>
      <c r="E65" s="207" t="s">
        <v>9338</v>
      </c>
      <c r="F65" s="207" t="s">
        <v>9335</v>
      </c>
      <c r="G65" s="207" t="s">
        <v>9199</v>
      </c>
      <c r="H65" s="207" t="s">
        <v>177</v>
      </c>
      <c r="I65" s="207" t="s">
        <v>176</v>
      </c>
      <c r="J65" s="213" t="s">
        <v>1099</v>
      </c>
      <c r="K65" s="210">
        <v>590000000</v>
      </c>
      <c r="L65" s="207" t="s">
        <v>2057</v>
      </c>
      <c r="M65" s="214" t="s">
        <v>14</v>
      </c>
    </row>
    <row r="66" spans="1:13" ht="31">
      <c r="A66" s="207" t="s">
        <v>9198</v>
      </c>
      <c r="B66" s="207" t="s">
        <v>9371</v>
      </c>
      <c r="C66" s="207" t="s">
        <v>9293</v>
      </c>
      <c r="D66" s="212" t="s">
        <v>9452</v>
      </c>
      <c r="E66" s="207" t="s">
        <v>9338</v>
      </c>
      <c r="F66" s="207" t="s">
        <v>9335</v>
      </c>
      <c r="G66" s="207" t="s">
        <v>9199</v>
      </c>
      <c r="H66" s="207" t="s">
        <v>177</v>
      </c>
      <c r="I66" s="207" t="s">
        <v>176</v>
      </c>
      <c r="J66" s="213" t="s">
        <v>1099</v>
      </c>
      <c r="K66" s="210">
        <v>438000000</v>
      </c>
      <c r="L66" s="207" t="s">
        <v>2057</v>
      </c>
      <c r="M66" s="214" t="s">
        <v>14</v>
      </c>
    </row>
    <row r="67" spans="1:13" ht="31">
      <c r="A67" s="207" t="s">
        <v>9198</v>
      </c>
      <c r="B67" s="207" t="s">
        <v>9372</v>
      </c>
      <c r="C67" s="207" t="s">
        <v>9293</v>
      </c>
      <c r="D67" s="212" t="s">
        <v>9453</v>
      </c>
      <c r="E67" s="207" t="s">
        <v>9338</v>
      </c>
      <c r="F67" s="207" t="s">
        <v>9335</v>
      </c>
      <c r="G67" s="207" t="s">
        <v>9199</v>
      </c>
      <c r="H67" s="207" t="s">
        <v>177</v>
      </c>
      <c r="I67" s="207" t="s">
        <v>176</v>
      </c>
      <c r="J67" s="213" t="s">
        <v>1099</v>
      </c>
      <c r="K67" s="210">
        <v>300000000</v>
      </c>
      <c r="L67" s="207" t="s">
        <v>2057</v>
      </c>
      <c r="M67" s="214" t="s">
        <v>14</v>
      </c>
    </row>
    <row r="68" spans="1:13" ht="31">
      <c r="A68" s="207" t="s">
        <v>9198</v>
      </c>
      <c r="B68" s="207" t="s">
        <v>9373</v>
      </c>
      <c r="C68" s="207" t="s">
        <v>9293</v>
      </c>
      <c r="D68" s="212" t="s">
        <v>9454</v>
      </c>
      <c r="E68" s="207" t="s">
        <v>9338</v>
      </c>
      <c r="F68" s="207" t="s">
        <v>9335</v>
      </c>
      <c r="G68" s="207" t="s">
        <v>9199</v>
      </c>
      <c r="H68" s="207" t="s">
        <v>177</v>
      </c>
      <c r="I68" s="207" t="s">
        <v>176</v>
      </c>
      <c r="J68" s="213" t="s">
        <v>1099</v>
      </c>
      <c r="K68" s="210">
        <v>157000000</v>
      </c>
      <c r="L68" s="207" t="s">
        <v>2057</v>
      </c>
      <c r="M68" s="214" t="s">
        <v>14</v>
      </c>
    </row>
    <row r="69" spans="1:13" ht="31">
      <c r="A69" s="207" t="s">
        <v>9198</v>
      </c>
      <c r="B69" s="207" t="s">
        <v>9374</v>
      </c>
      <c r="C69" s="207" t="s">
        <v>9293</v>
      </c>
      <c r="D69" s="212" t="s">
        <v>9455</v>
      </c>
      <c r="E69" s="207" t="s">
        <v>9338</v>
      </c>
      <c r="F69" s="207" t="s">
        <v>21</v>
      </c>
      <c r="G69" s="207" t="s">
        <v>9199</v>
      </c>
      <c r="H69" s="207" t="s">
        <v>177</v>
      </c>
      <c r="I69" s="207" t="s">
        <v>176</v>
      </c>
      <c r="J69" s="213" t="s">
        <v>1099</v>
      </c>
      <c r="K69" s="210">
        <v>213000000</v>
      </c>
      <c r="L69" s="207" t="s">
        <v>2057</v>
      </c>
      <c r="M69" s="214" t="s">
        <v>14</v>
      </c>
    </row>
    <row r="70" spans="1:13" ht="31">
      <c r="A70" s="207" t="s">
        <v>9198</v>
      </c>
      <c r="B70" s="207" t="s">
        <v>9375</v>
      </c>
      <c r="C70" s="207" t="s">
        <v>9293</v>
      </c>
      <c r="D70" s="212" t="s">
        <v>9456</v>
      </c>
      <c r="E70" s="207" t="s">
        <v>9338</v>
      </c>
      <c r="F70" s="207" t="s">
        <v>21</v>
      </c>
      <c r="G70" s="207" t="s">
        <v>9199</v>
      </c>
      <c r="H70" s="207" t="s">
        <v>177</v>
      </c>
      <c r="I70" s="207" t="s">
        <v>176</v>
      </c>
      <c r="J70" s="213" t="s">
        <v>1099</v>
      </c>
      <c r="K70" s="210">
        <v>198000000</v>
      </c>
      <c r="L70" s="207" t="s">
        <v>2057</v>
      </c>
      <c r="M70" s="214" t="s">
        <v>14</v>
      </c>
    </row>
    <row r="71" spans="1:13" ht="31">
      <c r="A71" s="207" t="s">
        <v>9198</v>
      </c>
      <c r="B71" s="207" t="s">
        <v>9376</v>
      </c>
      <c r="C71" s="207" t="s">
        <v>9293</v>
      </c>
      <c r="D71" s="212" t="s">
        <v>9457</v>
      </c>
      <c r="E71" s="207" t="s">
        <v>9338</v>
      </c>
      <c r="F71" s="207" t="s">
        <v>21</v>
      </c>
      <c r="G71" s="207" t="s">
        <v>9199</v>
      </c>
      <c r="H71" s="207" t="s">
        <v>177</v>
      </c>
      <c r="I71" s="207" t="s">
        <v>176</v>
      </c>
      <c r="J71" s="213" t="s">
        <v>1099</v>
      </c>
      <c r="K71" s="210">
        <v>177000000</v>
      </c>
      <c r="L71" s="207" t="s">
        <v>2057</v>
      </c>
      <c r="M71" s="214" t="s">
        <v>14</v>
      </c>
    </row>
    <row r="72" spans="1:13" ht="31">
      <c r="A72" s="207" t="s">
        <v>9198</v>
      </c>
      <c r="B72" s="207" t="s">
        <v>9377</v>
      </c>
      <c r="C72" s="207" t="s">
        <v>9293</v>
      </c>
      <c r="D72" s="212" t="s">
        <v>9458</v>
      </c>
      <c r="E72" s="207" t="s">
        <v>9338</v>
      </c>
      <c r="F72" s="207" t="s">
        <v>21</v>
      </c>
      <c r="G72" s="207" t="s">
        <v>9199</v>
      </c>
      <c r="H72" s="207" t="s">
        <v>177</v>
      </c>
      <c r="I72" s="207" t="s">
        <v>176</v>
      </c>
      <c r="J72" s="213" t="s">
        <v>1099</v>
      </c>
      <c r="K72" s="210">
        <v>131400000</v>
      </c>
      <c r="L72" s="207" t="s">
        <v>2057</v>
      </c>
      <c r="M72" s="214" t="s">
        <v>14</v>
      </c>
    </row>
    <row r="73" spans="1:13" ht="31">
      <c r="A73" s="207" t="s">
        <v>9198</v>
      </c>
      <c r="B73" s="207" t="s">
        <v>9378</v>
      </c>
      <c r="C73" s="207" t="s">
        <v>9293</v>
      </c>
      <c r="D73" s="212" t="s">
        <v>9459</v>
      </c>
      <c r="E73" s="207" t="s">
        <v>9338</v>
      </c>
      <c r="F73" s="207" t="s">
        <v>21</v>
      </c>
      <c r="G73" s="207" t="s">
        <v>9199</v>
      </c>
      <c r="H73" s="207" t="s">
        <v>177</v>
      </c>
      <c r="I73" s="207" t="s">
        <v>176</v>
      </c>
      <c r="J73" s="213" t="s">
        <v>1099</v>
      </c>
      <c r="K73" s="210">
        <v>90000000</v>
      </c>
      <c r="L73" s="207" t="s">
        <v>2057</v>
      </c>
      <c r="M73" s="214" t="s">
        <v>14</v>
      </c>
    </row>
    <row r="74" spans="1:13" ht="31">
      <c r="A74" s="207" t="s">
        <v>9198</v>
      </c>
      <c r="B74" s="207" t="s">
        <v>9379</v>
      </c>
      <c r="C74" s="207" t="s">
        <v>9293</v>
      </c>
      <c r="D74" s="212" t="s">
        <v>9460</v>
      </c>
      <c r="E74" s="207" t="s">
        <v>9338</v>
      </c>
      <c r="F74" s="207" t="s">
        <v>21</v>
      </c>
      <c r="G74" s="207" t="s">
        <v>9199</v>
      </c>
      <c r="H74" s="207" t="s">
        <v>177</v>
      </c>
      <c r="I74" s="207" t="s">
        <v>176</v>
      </c>
      <c r="J74" s="213" t="s">
        <v>1099</v>
      </c>
      <c r="K74" s="210">
        <v>47100000</v>
      </c>
      <c r="L74" s="207" t="s">
        <v>2057</v>
      </c>
      <c r="M74" s="214" t="s">
        <v>14</v>
      </c>
    </row>
    <row r="75" spans="1:13">
      <c r="A75" s="206" t="s">
        <v>9198</v>
      </c>
      <c r="B75" s="207" t="s">
        <v>9380</v>
      </c>
      <c r="C75" s="206" t="s">
        <v>9381</v>
      </c>
      <c r="D75" s="208" t="s">
        <v>9461</v>
      </c>
      <c r="E75" s="207" t="s">
        <v>9382</v>
      </c>
      <c r="F75" s="207" t="s">
        <v>438</v>
      </c>
      <c r="G75" s="206" t="s">
        <v>9199</v>
      </c>
      <c r="H75" s="206" t="s">
        <v>177</v>
      </c>
      <c r="I75" s="206" t="s">
        <v>176</v>
      </c>
      <c r="J75" s="209" t="s">
        <v>9295</v>
      </c>
      <c r="K75" s="210">
        <v>2594740</v>
      </c>
      <c r="L75" s="206" t="s">
        <v>402</v>
      </c>
      <c r="M75" s="211" t="s">
        <v>14</v>
      </c>
    </row>
    <row r="76" spans="1:13">
      <c r="A76" s="206" t="s">
        <v>9198</v>
      </c>
      <c r="B76" s="207" t="s">
        <v>9383</v>
      </c>
      <c r="C76" s="206" t="s">
        <v>9381</v>
      </c>
      <c r="D76" s="208" t="s">
        <v>9461</v>
      </c>
      <c r="E76" s="207" t="s">
        <v>9384</v>
      </c>
      <c r="F76" s="207" t="s">
        <v>438</v>
      </c>
      <c r="G76" s="206" t="s">
        <v>9199</v>
      </c>
      <c r="H76" s="206" t="s">
        <v>177</v>
      </c>
      <c r="I76" s="206" t="s">
        <v>176</v>
      </c>
      <c r="J76" s="209" t="s">
        <v>9295</v>
      </c>
      <c r="K76" s="210">
        <v>1766244</v>
      </c>
      <c r="L76" s="206" t="s">
        <v>402</v>
      </c>
      <c r="M76" s="211" t="s">
        <v>14</v>
      </c>
    </row>
    <row r="77" spans="1:13">
      <c r="A77" s="206" t="s">
        <v>9198</v>
      </c>
      <c r="B77" s="207" t="s">
        <v>9385</v>
      </c>
      <c r="C77" s="206" t="s">
        <v>9381</v>
      </c>
      <c r="D77" s="208" t="s">
        <v>9461</v>
      </c>
      <c r="E77" s="207" t="s">
        <v>9386</v>
      </c>
      <c r="F77" s="207" t="s">
        <v>438</v>
      </c>
      <c r="G77" s="206" t="s">
        <v>9199</v>
      </c>
      <c r="H77" s="206" t="s">
        <v>177</v>
      </c>
      <c r="I77" s="206" t="s">
        <v>176</v>
      </c>
      <c r="J77" s="209" t="s">
        <v>9295</v>
      </c>
      <c r="K77" s="210">
        <v>910435</v>
      </c>
      <c r="L77" s="206" t="s">
        <v>402</v>
      </c>
      <c r="M77" s="211" t="s">
        <v>14</v>
      </c>
    </row>
    <row r="78" spans="1:13" ht="139.5">
      <c r="A78" s="221" t="s">
        <v>9198</v>
      </c>
      <c r="B78" s="206" t="s">
        <v>89</v>
      </c>
      <c r="C78" s="222" t="s">
        <v>9387</v>
      </c>
      <c r="D78" s="222" t="s">
        <v>90</v>
      </c>
      <c r="E78" s="222" t="s">
        <v>91</v>
      </c>
      <c r="F78" s="222" t="s">
        <v>21</v>
      </c>
      <c r="G78" s="222" t="s">
        <v>70</v>
      </c>
      <c r="H78" s="222" t="s">
        <v>26</v>
      </c>
      <c r="I78" s="222" t="s">
        <v>166</v>
      </c>
      <c r="J78" s="223" t="s">
        <v>1435</v>
      </c>
      <c r="K78" s="224">
        <v>1950607.0046400002</v>
      </c>
      <c r="L78" s="225" t="s">
        <v>2057</v>
      </c>
      <c r="M78" s="226" t="s">
        <v>14</v>
      </c>
    </row>
    <row r="79" spans="1:13" ht="139.5">
      <c r="A79" s="221" t="s">
        <v>9198</v>
      </c>
      <c r="B79" s="206" t="s">
        <v>92</v>
      </c>
      <c r="C79" s="222" t="s">
        <v>9387</v>
      </c>
      <c r="D79" s="222" t="s">
        <v>90</v>
      </c>
      <c r="E79" s="222" t="s">
        <v>91</v>
      </c>
      <c r="F79" s="222" t="s">
        <v>21</v>
      </c>
      <c r="G79" s="222" t="s">
        <v>70</v>
      </c>
      <c r="H79" s="222" t="s">
        <v>42</v>
      </c>
      <c r="I79" s="222" t="s">
        <v>166</v>
      </c>
      <c r="J79" s="223" t="s">
        <v>1435</v>
      </c>
      <c r="K79" s="224">
        <v>3251011.6743999999</v>
      </c>
      <c r="L79" s="225" t="s">
        <v>2057</v>
      </c>
      <c r="M79" s="226" t="s">
        <v>14</v>
      </c>
    </row>
    <row r="80" spans="1:13" ht="139.5">
      <c r="A80" s="221" t="s">
        <v>9198</v>
      </c>
      <c r="B80" s="206" t="s">
        <v>93</v>
      </c>
      <c r="C80" s="222" t="s">
        <v>9387</v>
      </c>
      <c r="D80" s="222" t="s">
        <v>90</v>
      </c>
      <c r="E80" s="222" t="s">
        <v>91</v>
      </c>
      <c r="F80" s="222" t="s">
        <v>21</v>
      </c>
      <c r="G80" s="222" t="s">
        <v>74</v>
      </c>
      <c r="H80" s="222" t="s">
        <v>26</v>
      </c>
      <c r="I80" s="222" t="s">
        <v>166</v>
      </c>
      <c r="J80" s="223" t="s">
        <v>1435</v>
      </c>
      <c r="K80" s="224">
        <v>1950607.0046400002</v>
      </c>
      <c r="L80" s="225" t="s">
        <v>2057</v>
      </c>
      <c r="M80" s="226" t="s">
        <v>14</v>
      </c>
    </row>
    <row r="81" spans="1:13" ht="139.5">
      <c r="A81" s="221" t="s">
        <v>9198</v>
      </c>
      <c r="B81" s="206" t="s">
        <v>94</v>
      </c>
      <c r="C81" s="222" t="s">
        <v>9387</v>
      </c>
      <c r="D81" s="222" t="s">
        <v>90</v>
      </c>
      <c r="E81" s="222" t="s">
        <v>91</v>
      </c>
      <c r="F81" s="222" t="s">
        <v>21</v>
      </c>
      <c r="G81" s="222" t="s">
        <v>74</v>
      </c>
      <c r="H81" s="222" t="s">
        <v>42</v>
      </c>
      <c r="I81" s="222" t="s">
        <v>166</v>
      </c>
      <c r="J81" s="223" t="s">
        <v>1435</v>
      </c>
      <c r="K81" s="224">
        <v>4226315.1767199999</v>
      </c>
      <c r="L81" s="225" t="s">
        <v>2057</v>
      </c>
      <c r="M81" s="226" t="s">
        <v>14</v>
      </c>
    </row>
    <row r="82" spans="1:13" ht="139.5">
      <c r="A82" s="221" t="s">
        <v>9198</v>
      </c>
      <c r="B82" s="206" t="s">
        <v>95</v>
      </c>
      <c r="C82" s="222" t="s">
        <v>9387</v>
      </c>
      <c r="D82" s="222" t="s">
        <v>90</v>
      </c>
      <c r="E82" s="222" t="s">
        <v>91</v>
      </c>
      <c r="F82" s="222" t="s">
        <v>21</v>
      </c>
      <c r="G82" s="222" t="s">
        <v>72</v>
      </c>
      <c r="H82" s="222" t="s">
        <v>26</v>
      </c>
      <c r="I82" s="222" t="s">
        <v>166</v>
      </c>
      <c r="J82" s="223" t="s">
        <v>1435</v>
      </c>
      <c r="K82" s="224">
        <v>1950607.0046400002</v>
      </c>
      <c r="L82" s="225" t="s">
        <v>2057</v>
      </c>
      <c r="M82" s="226" t="s">
        <v>14</v>
      </c>
    </row>
    <row r="83" spans="1:13" ht="139.5">
      <c r="A83" s="221" t="s">
        <v>9198</v>
      </c>
      <c r="B83" s="206" t="s">
        <v>96</v>
      </c>
      <c r="C83" s="222" t="s">
        <v>9387</v>
      </c>
      <c r="D83" s="222" t="s">
        <v>90</v>
      </c>
      <c r="E83" s="222" t="s">
        <v>91</v>
      </c>
      <c r="F83" s="222" t="s">
        <v>21</v>
      </c>
      <c r="G83" s="222" t="s">
        <v>72</v>
      </c>
      <c r="H83" s="222" t="s">
        <v>42</v>
      </c>
      <c r="I83" s="222" t="s">
        <v>166</v>
      </c>
      <c r="J83" s="223" t="s">
        <v>1435</v>
      </c>
      <c r="K83" s="224">
        <v>5201618.6790399998</v>
      </c>
      <c r="L83" s="225" t="s">
        <v>2057</v>
      </c>
      <c r="M83" s="226" t="s">
        <v>14</v>
      </c>
    </row>
    <row r="84" spans="1:13" ht="139.5">
      <c r="A84" s="221" t="s">
        <v>9198</v>
      </c>
      <c r="B84" s="206" t="s">
        <v>97</v>
      </c>
      <c r="C84" s="222" t="s">
        <v>9387</v>
      </c>
      <c r="D84" s="222" t="s">
        <v>98</v>
      </c>
      <c r="E84" s="222" t="s">
        <v>99</v>
      </c>
      <c r="F84" s="222" t="s">
        <v>21</v>
      </c>
      <c r="G84" s="222" t="s">
        <v>70</v>
      </c>
      <c r="H84" s="222" t="s">
        <v>26</v>
      </c>
      <c r="I84" s="222" t="s">
        <v>166</v>
      </c>
      <c r="J84" s="223" t="s">
        <v>1435</v>
      </c>
      <c r="K84" s="224">
        <v>3684479.53944</v>
      </c>
      <c r="L84" s="225" t="s">
        <v>2057</v>
      </c>
      <c r="M84" s="226" t="s">
        <v>14</v>
      </c>
    </row>
    <row r="85" spans="1:13" ht="139.5">
      <c r="A85" s="221" t="s">
        <v>9198</v>
      </c>
      <c r="B85" s="206" t="s">
        <v>100</v>
      </c>
      <c r="C85" s="222" t="s">
        <v>9387</v>
      </c>
      <c r="D85" s="222" t="s">
        <v>98</v>
      </c>
      <c r="E85" s="222" t="s">
        <v>99</v>
      </c>
      <c r="F85" s="222" t="s">
        <v>21</v>
      </c>
      <c r="G85" s="222" t="s">
        <v>70</v>
      </c>
      <c r="H85" s="222" t="s">
        <v>42</v>
      </c>
      <c r="I85" s="222" t="s">
        <v>166</v>
      </c>
      <c r="J85" s="223" t="s">
        <v>1435</v>
      </c>
      <c r="K85" s="224">
        <v>6140800.3070399994</v>
      </c>
      <c r="L85" s="225" t="s">
        <v>2057</v>
      </c>
      <c r="M85" s="226" t="s">
        <v>14</v>
      </c>
    </row>
    <row r="86" spans="1:13" ht="139.5">
      <c r="A86" s="221" t="s">
        <v>9198</v>
      </c>
      <c r="B86" s="206" t="s">
        <v>101</v>
      </c>
      <c r="C86" s="222" t="s">
        <v>9387</v>
      </c>
      <c r="D86" s="222" t="s">
        <v>98</v>
      </c>
      <c r="E86" s="222" t="s">
        <v>99</v>
      </c>
      <c r="F86" s="222" t="s">
        <v>21</v>
      </c>
      <c r="G86" s="222" t="s">
        <v>74</v>
      </c>
      <c r="H86" s="222" t="s">
        <v>26</v>
      </c>
      <c r="I86" s="222" t="s">
        <v>166</v>
      </c>
      <c r="J86" s="223" t="s">
        <v>1435</v>
      </c>
      <c r="K86" s="224">
        <v>3684479.53944</v>
      </c>
      <c r="L86" s="225" t="s">
        <v>2057</v>
      </c>
      <c r="M86" s="226" t="s">
        <v>14</v>
      </c>
    </row>
    <row r="87" spans="1:13" ht="139.5">
      <c r="A87" s="221" t="s">
        <v>9198</v>
      </c>
      <c r="B87" s="206" t="s">
        <v>102</v>
      </c>
      <c r="C87" s="222" t="s">
        <v>9387</v>
      </c>
      <c r="D87" s="222" t="s">
        <v>98</v>
      </c>
      <c r="E87" s="222" t="s">
        <v>99</v>
      </c>
      <c r="F87" s="222" t="s">
        <v>21</v>
      </c>
      <c r="G87" s="222" t="s">
        <v>74</v>
      </c>
      <c r="H87" s="222" t="s">
        <v>42</v>
      </c>
      <c r="I87" s="222" t="s">
        <v>166</v>
      </c>
      <c r="J87" s="223" t="s">
        <v>1435</v>
      </c>
      <c r="K87" s="224">
        <v>7983040.3991519995</v>
      </c>
      <c r="L87" s="225" t="s">
        <v>2057</v>
      </c>
      <c r="M87" s="226" t="s">
        <v>14</v>
      </c>
    </row>
    <row r="88" spans="1:13" ht="139.5">
      <c r="A88" s="221" t="s">
        <v>9198</v>
      </c>
      <c r="B88" s="206" t="s">
        <v>103</v>
      </c>
      <c r="C88" s="222" t="s">
        <v>9387</v>
      </c>
      <c r="D88" s="222" t="s">
        <v>98</v>
      </c>
      <c r="E88" s="222" t="s">
        <v>99</v>
      </c>
      <c r="F88" s="222" t="s">
        <v>21</v>
      </c>
      <c r="G88" s="222" t="s">
        <v>72</v>
      </c>
      <c r="H88" s="222" t="s">
        <v>26</v>
      </c>
      <c r="I88" s="222" t="s">
        <v>166</v>
      </c>
      <c r="J88" s="223" t="s">
        <v>1435</v>
      </c>
      <c r="K88" s="224">
        <v>3684479.53944</v>
      </c>
      <c r="L88" s="225" t="s">
        <v>2057</v>
      </c>
      <c r="M88" s="226" t="s">
        <v>14</v>
      </c>
    </row>
    <row r="89" spans="1:13" ht="139.5">
      <c r="A89" s="221" t="s">
        <v>9198</v>
      </c>
      <c r="B89" s="206" t="s">
        <v>104</v>
      </c>
      <c r="C89" s="222" t="s">
        <v>9387</v>
      </c>
      <c r="D89" s="222" t="s">
        <v>98</v>
      </c>
      <c r="E89" s="222" t="s">
        <v>99</v>
      </c>
      <c r="F89" s="222" t="s">
        <v>21</v>
      </c>
      <c r="G89" s="222" t="s">
        <v>72</v>
      </c>
      <c r="H89" s="222" t="s">
        <v>42</v>
      </c>
      <c r="I89" s="222" t="s">
        <v>166</v>
      </c>
      <c r="J89" s="223" t="s">
        <v>1435</v>
      </c>
      <c r="K89" s="224">
        <v>9825280.4912639987</v>
      </c>
      <c r="L89" s="225" t="s">
        <v>2057</v>
      </c>
      <c r="M89" s="226" t="s">
        <v>14</v>
      </c>
    </row>
    <row r="90" spans="1:13" ht="139.5">
      <c r="A90" s="221" t="s">
        <v>9198</v>
      </c>
      <c r="B90" s="206" t="s">
        <v>105</v>
      </c>
      <c r="C90" s="222" t="s">
        <v>9387</v>
      </c>
      <c r="D90" s="222" t="s">
        <v>106</v>
      </c>
      <c r="E90" s="222" t="s">
        <v>91</v>
      </c>
      <c r="F90" s="222" t="s">
        <v>21</v>
      </c>
      <c r="G90" s="222" t="s">
        <v>70</v>
      </c>
      <c r="H90" s="222" t="s">
        <v>26</v>
      </c>
      <c r="I90" s="222" t="s">
        <v>166</v>
      </c>
      <c r="J90" s="223" t="s">
        <v>1435</v>
      </c>
      <c r="K90" s="224">
        <v>1950607.0046400002</v>
      </c>
      <c r="L90" s="225" t="s">
        <v>2057</v>
      </c>
      <c r="M90" s="226" t="s">
        <v>14</v>
      </c>
    </row>
    <row r="91" spans="1:13" ht="139.5">
      <c r="A91" s="221" t="s">
        <v>9198</v>
      </c>
      <c r="B91" s="206" t="s">
        <v>107</v>
      </c>
      <c r="C91" s="222" t="s">
        <v>9387</v>
      </c>
      <c r="D91" s="222" t="s">
        <v>106</v>
      </c>
      <c r="E91" s="222" t="s">
        <v>91</v>
      </c>
      <c r="F91" s="222" t="s">
        <v>21</v>
      </c>
      <c r="G91" s="222" t="s">
        <v>70</v>
      </c>
      <c r="H91" s="222" t="s">
        <v>42</v>
      </c>
      <c r="I91" s="222" t="s">
        <v>166</v>
      </c>
      <c r="J91" s="223" t="s">
        <v>1435</v>
      </c>
      <c r="K91" s="224">
        <v>3251011.6743999999</v>
      </c>
      <c r="L91" s="225" t="s">
        <v>2057</v>
      </c>
      <c r="M91" s="226" t="s">
        <v>14</v>
      </c>
    </row>
    <row r="92" spans="1:13" ht="139.5">
      <c r="A92" s="221" t="s">
        <v>9198</v>
      </c>
      <c r="B92" s="206" t="s">
        <v>108</v>
      </c>
      <c r="C92" s="222" t="s">
        <v>9387</v>
      </c>
      <c r="D92" s="222" t="s">
        <v>106</v>
      </c>
      <c r="E92" s="222" t="s">
        <v>91</v>
      </c>
      <c r="F92" s="222" t="s">
        <v>21</v>
      </c>
      <c r="G92" s="222" t="s">
        <v>74</v>
      </c>
      <c r="H92" s="222" t="s">
        <v>26</v>
      </c>
      <c r="I92" s="222" t="s">
        <v>166</v>
      </c>
      <c r="J92" s="223" t="s">
        <v>1435</v>
      </c>
      <c r="K92" s="224">
        <v>1950607.0046400002</v>
      </c>
      <c r="L92" s="225" t="s">
        <v>2057</v>
      </c>
      <c r="M92" s="226" t="s">
        <v>14</v>
      </c>
    </row>
    <row r="93" spans="1:13" ht="139.5">
      <c r="A93" s="221" t="s">
        <v>9198</v>
      </c>
      <c r="B93" s="206" t="s">
        <v>109</v>
      </c>
      <c r="C93" s="222" t="s">
        <v>9387</v>
      </c>
      <c r="D93" s="222" t="s">
        <v>106</v>
      </c>
      <c r="E93" s="222" t="s">
        <v>91</v>
      </c>
      <c r="F93" s="222" t="s">
        <v>21</v>
      </c>
      <c r="G93" s="222" t="s">
        <v>74</v>
      </c>
      <c r="H93" s="222" t="s">
        <v>42</v>
      </c>
      <c r="I93" s="222" t="s">
        <v>166</v>
      </c>
      <c r="J93" s="223" t="s">
        <v>1435</v>
      </c>
      <c r="K93" s="224">
        <v>4226315.1767199999</v>
      </c>
      <c r="L93" s="225" t="s">
        <v>2057</v>
      </c>
      <c r="M93" s="226" t="s">
        <v>14</v>
      </c>
    </row>
    <row r="94" spans="1:13" ht="139.5">
      <c r="A94" s="221" t="s">
        <v>9198</v>
      </c>
      <c r="B94" s="206" t="s">
        <v>110</v>
      </c>
      <c r="C94" s="222" t="s">
        <v>9387</v>
      </c>
      <c r="D94" s="222" t="s">
        <v>106</v>
      </c>
      <c r="E94" s="222" t="s">
        <v>91</v>
      </c>
      <c r="F94" s="222" t="s">
        <v>21</v>
      </c>
      <c r="G94" s="222" t="s">
        <v>72</v>
      </c>
      <c r="H94" s="222" t="s">
        <v>26</v>
      </c>
      <c r="I94" s="222" t="s">
        <v>166</v>
      </c>
      <c r="J94" s="223" t="s">
        <v>1435</v>
      </c>
      <c r="K94" s="224">
        <v>1950607.0046400002</v>
      </c>
      <c r="L94" s="225" t="s">
        <v>2057</v>
      </c>
      <c r="M94" s="226" t="s">
        <v>14</v>
      </c>
    </row>
    <row r="95" spans="1:13" ht="139.5">
      <c r="A95" s="221" t="s">
        <v>9198</v>
      </c>
      <c r="B95" s="206" t="s">
        <v>111</v>
      </c>
      <c r="C95" s="222" t="s">
        <v>9387</v>
      </c>
      <c r="D95" s="222" t="s">
        <v>106</v>
      </c>
      <c r="E95" s="222" t="s">
        <v>91</v>
      </c>
      <c r="F95" s="222" t="s">
        <v>21</v>
      </c>
      <c r="G95" s="222" t="s">
        <v>72</v>
      </c>
      <c r="H95" s="222" t="s">
        <v>42</v>
      </c>
      <c r="I95" s="222" t="s">
        <v>166</v>
      </c>
      <c r="J95" s="223" t="s">
        <v>1435</v>
      </c>
      <c r="K95" s="224">
        <v>5201618.6790399998</v>
      </c>
      <c r="L95" s="225" t="s">
        <v>2057</v>
      </c>
      <c r="M95" s="226" t="s">
        <v>14</v>
      </c>
    </row>
    <row r="96" spans="1:13" ht="139.5">
      <c r="A96" s="221" t="s">
        <v>9198</v>
      </c>
      <c r="B96" s="206" t="s">
        <v>112</v>
      </c>
      <c r="C96" s="222" t="s">
        <v>9387</v>
      </c>
      <c r="D96" s="222" t="s">
        <v>113</v>
      </c>
      <c r="E96" s="222" t="s">
        <v>99</v>
      </c>
      <c r="F96" s="222" t="s">
        <v>21</v>
      </c>
      <c r="G96" s="222" t="s">
        <v>70</v>
      </c>
      <c r="H96" s="222" t="s">
        <v>26</v>
      </c>
      <c r="I96" s="222" t="s">
        <v>166</v>
      </c>
      <c r="J96" s="223" t="s">
        <v>1435</v>
      </c>
      <c r="K96" s="224">
        <v>3684479.53944</v>
      </c>
      <c r="L96" s="225" t="s">
        <v>2057</v>
      </c>
      <c r="M96" s="226" t="s">
        <v>14</v>
      </c>
    </row>
    <row r="97" spans="1:13" ht="139.5">
      <c r="A97" s="221" t="s">
        <v>9198</v>
      </c>
      <c r="B97" s="206" t="s">
        <v>114</v>
      </c>
      <c r="C97" s="222" t="s">
        <v>9387</v>
      </c>
      <c r="D97" s="222" t="s">
        <v>113</v>
      </c>
      <c r="E97" s="222" t="s">
        <v>99</v>
      </c>
      <c r="F97" s="222" t="s">
        <v>21</v>
      </c>
      <c r="G97" s="222" t="s">
        <v>70</v>
      </c>
      <c r="H97" s="222" t="s">
        <v>42</v>
      </c>
      <c r="I97" s="222" t="s">
        <v>166</v>
      </c>
      <c r="J97" s="223" t="s">
        <v>1435</v>
      </c>
      <c r="K97" s="224">
        <v>6140800.3070399994</v>
      </c>
      <c r="L97" s="225" t="s">
        <v>2057</v>
      </c>
      <c r="M97" s="226" t="s">
        <v>14</v>
      </c>
    </row>
    <row r="98" spans="1:13" ht="139.5">
      <c r="A98" s="221" t="s">
        <v>9198</v>
      </c>
      <c r="B98" s="206" t="s">
        <v>115</v>
      </c>
      <c r="C98" s="222" t="s">
        <v>9387</v>
      </c>
      <c r="D98" s="222" t="s">
        <v>113</v>
      </c>
      <c r="E98" s="222" t="s">
        <v>99</v>
      </c>
      <c r="F98" s="222" t="s">
        <v>21</v>
      </c>
      <c r="G98" s="222" t="s">
        <v>74</v>
      </c>
      <c r="H98" s="222" t="s">
        <v>26</v>
      </c>
      <c r="I98" s="222" t="s">
        <v>166</v>
      </c>
      <c r="J98" s="223" t="s">
        <v>1435</v>
      </c>
      <c r="K98" s="224">
        <v>3684479.53944</v>
      </c>
      <c r="L98" s="225" t="s">
        <v>2057</v>
      </c>
      <c r="M98" s="226" t="s">
        <v>14</v>
      </c>
    </row>
    <row r="99" spans="1:13" ht="139.5">
      <c r="A99" s="221" t="s">
        <v>9198</v>
      </c>
      <c r="B99" s="206" t="s">
        <v>116</v>
      </c>
      <c r="C99" s="222" t="s">
        <v>9387</v>
      </c>
      <c r="D99" s="222" t="s">
        <v>113</v>
      </c>
      <c r="E99" s="222" t="s">
        <v>99</v>
      </c>
      <c r="F99" s="222" t="s">
        <v>21</v>
      </c>
      <c r="G99" s="222" t="s">
        <v>74</v>
      </c>
      <c r="H99" s="222" t="s">
        <v>42</v>
      </c>
      <c r="I99" s="222" t="s">
        <v>166</v>
      </c>
      <c r="J99" s="223" t="s">
        <v>1435</v>
      </c>
      <c r="K99" s="224">
        <v>7983040.3991519995</v>
      </c>
      <c r="L99" s="225" t="s">
        <v>2057</v>
      </c>
      <c r="M99" s="226" t="s">
        <v>14</v>
      </c>
    </row>
    <row r="100" spans="1:13" ht="139.5">
      <c r="A100" s="221" t="s">
        <v>9198</v>
      </c>
      <c r="B100" s="206" t="s">
        <v>117</v>
      </c>
      <c r="C100" s="222" t="s">
        <v>9387</v>
      </c>
      <c r="D100" s="222" t="s">
        <v>113</v>
      </c>
      <c r="E100" s="222" t="s">
        <v>99</v>
      </c>
      <c r="F100" s="222" t="s">
        <v>21</v>
      </c>
      <c r="G100" s="222" t="s">
        <v>72</v>
      </c>
      <c r="H100" s="222" t="s">
        <v>26</v>
      </c>
      <c r="I100" s="222" t="s">
        <v>166</v>
      </c>
      <c r="J100" s="223" t="s">
        <v>1435</v>
      </c>
      <c r="K100" s="224">
        <v>3684479.53944</v>
      </c>
      <c r="L100" s="225" t="s">
        <v>2057</v>
      </c>
      <c r="M100" s="226" t="s">
        <v>14</v>
      </c>
    </row>
    <row r="101" spans="1:13" ht="139.5">
      <c r="A101" s="221" t="s">
        <v>9198</v>
      </c>
      <c r="B101" s="206" t="s">
        <v>118</v>
      </c>
      <c r="C101" s="222" t="s">
        <v>9387</v>
      </c>
      <c r="D101" s="222" t="s">
        <v>113</v>
      </c>
      <c r="E101" s="222" t="s">
        <v>99</v>
      </c>
      <c r="F101" s="222" t="s">
        <v>21</v>
      </c>
      <c r="G101" s="222" t="s">
        <v>72</v>
      </c>
      <c r="H101" s="222" t="s">
        <v>42</v>
      </c>
      <c r="I101" s="222" t="s">
        <v>166</v>
      </c>
      <c r="J101" s="223" t="s">
        <v>1435</v>
      </c>
      <c r="K101" s="224">
        <v>9825280.4912639987</v>
      </c>
      <c r="L101" s="225" t="s">
        <v>2057</v>
      </c>
      <c r="M101" s="226" t="s">
        <v>14</v>
      </c>
    </row>
    <row r="102" spans="1:13" ht="62">
      <c r="A102" s="221" t="s">
        <v>9198</v>
      </c>
      <c r="B102" s="206" t="s">
        <v>119</v>
      </c>
      <c r="C102" s="222" t="s">
        <v>9387</v>
      </c>
      <c r="D102" s="222" t="s">
        <v>120</v>
      </c>
      <c r="E102" s="222" t="s">
        <v>29</v>
      </c>
      <c r="F102" s="222" t="s">
        <v>21</v>
      </c>
      <c r="G102" s="222" t="s">
        <v>70</v>
      </c>
      <c r="H102" s="222" t="s">
        <v>26</v>
      </c>
      <c r="I102" s="222" t="s">
        <v>167</v>
      </c>
      <c r="J102" s="223" t="s">
        <v>1435</v>
      </c>
      <c r="K102" s="224">
        <v>150000</v>
      </c>
      <c r="L102" s="225" t="s">
        <v>2057</v>
      </c>
      <c r="M102" s="226" t="s">
        <v>14</v>
      </c>
    </row>
    <row r="103" spans="1:13" ht="62">
      <c r="A103" s="221" t="s">
        <v>9198</v>
      </c>
      <c r="B103" s="206" t="s">
        <v>121</v>
      </c>
      <c r="C103" s="222" t="s">
        <v>9387</v>
      </c>
      <c r="D103" s="222" t="s">
        <v>120</v>
      </c>
      <c r="E103" s="222" t="s">
        <v>29</v>
      </c>
      <c r="F103" s="222" t="s">
        <v>21</v>
      </c>
      <c r="G103" s="222" t="s">
        <v>70</v>
      </c>
      <c r="H103" s="222" t="s">
        <v>42</v>
      </c>
      <c r="I103" s="222" t="s">
        <v>167</v>
      </c>
      <c r="J103" s="223" t="s">
        <v>1435</v>
      </c>
      <c r="K103" s="224">
        <v>271000</v>
      </c>
      <c r="L103" s="225" t="s">
        <v>2057</v>
      </c>
      <c r="M103" s="226" t="s">
        <v>14</v>
      </c>
    </row>
    <row r="104" spans="1:13" ht="62">
      <c r="A104" s="221" t="s">
        <v>9198</v>
      </c>
      <c r="B104" s="206" t="s">
        <v>122</v>
      </c>
      <c r="C104" s="222" t="s">
        <v>9387</v>
      </c>
      <c r="D104" s="222" t="s">
        <v>120</v>
      </c>
      <c r="E104" s="222" t="s">
        <v>29</v>
      </c>
      <c r="F104" s="222" t="s">
        <v>21</v>
      </c>
      <c r="G104" s="222" t="s">
        <v>74</v>
      </c>
      <c r="H104" s="222" t="s">
        <v>26</v>
      </c>
      <c r="I104" s="222" t="s">
        <v>167</v>
      </c>
      <c r="J104" s="223" t="s">
        <v>1435</v>
      </c>
      <c r="K104" s="224">
        <v>150000</v>
      </c>
      <c r="L104" s="225" t="s">
        <v>2057</v>
      </c>
      <c r="M104" s="226" t="s">
        <v>14</v>
      </c>
    </row>
    <row r="105" spans="1:13" ht="62">
      <c r="A105" s="221" t="s">
        <v>9198</v>
      </c>
      <c r="B105" s="206" t="s">
        <v>123</v>
      </c>
      <c r="C105" s="222" t="s">
        <v>9387</v>
      </c>
      <c r="D105" s="222" t="s">
        <v>120</v>
      </c>
      <c r="E105" s="222" t="s">
        <v>29</v>
      </c>
      <c r="F105" s="222" t="s">
        <v>21</v>
      </c>
      <c r="G105" s="222" t="s">
        <v>74</v>
      </c>
      <c r="H105" s="222" t="s">
        <v>42</v>
      </c>
      <c r="I105" s="222" t="s">
        <v>167</v>
      </c>
      <c r="J105" s="223" t="s">
        <v>1435</v>
      </c>
      <c r="K105" s="224">
        <v>320000</v>
      </c>
      <c r="L105" s="225" t="s">
        <v>2057</v>
      </c>
      <c r="M105" s="226" t="s">
        <v>14</v>
      </c>
    </row>
    <row r="106" spans="1:13" ht="62">
      <c r="A106" s="221" t="s">
        <v>9198</v>
      </c>
      <c r="B106" s="206" t="s">
        <v>124</v>
      </c>
      <c r="C106" s="222" t="s">
        <v>9387</v>
      </c>
      <c r="D106" s="222" t="s">
        <v>120</v>
      </c>
      <c r="E106" s="222" t="s">
        <v>29</v>
      </c>
      <c r="F106" s="222" t="s">
        <v>21</v>
      </c>
      <c r="G106" s="222" t="s">
        <v>72</v>
      </c>
      <c r="H106" s="222" t="s">
        <v>26</v>
      </c>
      <c r="I106" s="222" t="s">
        <v>167</v>
      </c>
      <c r="J106" s="223" t="s">
        <v>1435</v>
      </c>
      <c r="K106" s="224">
        <v>150000</v>
      </c>
      <c r="L106" s="225" t="s">
        <v>2057</v>
      </c>
      <c r="M106" s="226" t="s">
        <v>14</v>
      </c>
    </row>
    <row r="107" spans="1:13" ht="62">
      <c r="A107" s="221" t="s">
        <v>9198</v>
      </c>
      <c r="B107" s="206" t="s">
        <v>125</v>
      </c>
      <c r="C107" s="222" t="s">
        <v>9387</v>
      </c>
      <c r="D107" s="222" t="s">
        <v>120</v>
      </c>
      <c r="E107" s="222" t="s">
        <v>29</v>
      </c>
      <c r="F107" s="222" t="s">
        <v>21</v>
      </c>
      <c r="G107" s="222" t="s">
        <v>72</v>
      </c>
      <c r="H107" s="222" t="s">
        <v>42</v>
      </c>
      <c r="I107" s="222" t="s">
        <v>167</v>
      </c>
      <c r="J107" s="223" t="s">
        <v>1435</v>
      </c>
      <c r="K107" s="224">
        <v>360000</v>
      </c>
      <c r="L107" s="225" t="s">
        <v>2057</v>
      </c>
      <c r="M107" s="226" t="s">
        <v>14</v>
      </c>
    </row>
    <row r="108" spans="1:13" ht="62">
      <c r="A108" s="221" t="s">
        <v>9198</v>
      </c>
      <c r="B108" s="206" t="s">
        <v>126</v>
      </c>
      <c r="C108" s="222" t="s">
        <v>9387</v>
      </c>
      <c r="D108" s="222" t="s">
        <v>633</v>
      </c>
      <c r="E108" s="222" t="s">
        <v>128</v>
      </c>
      <c r="F108" s="222" t="s">
        <v>21</v>
      </c>
      <c r="G108" s="222" t="s">
        <v>70</v>
      </c>
      <c r="H108" s="222" t="s">
        <v>42</v>
      </c>
      <c r="I108" s="222" t="s">
        <v>167</v>
      </c>
      <c r="J108" s="223" t="s">
        <v>1435</v>
      </c>
      <c r="K108" s="224">
        <v>12000000</v>
      </c>
      <c r="L108" s="225" t="s">
        <v>2057</v>
      </c>
      <c r="M108" s="226" t="s">
        <v>14</v>
      </c>
    </row>
    <row r="109" spans="1:13" ht="62">
      <c r="A109" s="221" t="s">
        <v>9198</v>
      </c>
      <c r="B109" s="206" t="s">
        <v>129</v>
      </c>
      <c r="C109" s="222" t="s">
        <v>9387</v>
      </c>
      <c r="D109" s="222" t="s">
        <v>633</v>
      </c>
      <c r="E109" s="222" t="s">
        <v>128</v>
      </c>
      <c r="F109" s="222" t="s">
        <v>21</v>
      </c>
      <c r="G109" s="222" t="s">
        <v>74</v>
      </c>
      <c r="H109" s="222" t="s">
        <v>42</v>
      </c>
      <c r="I109" s="222" t="s">
        <v>167</v>
      </c>
      <c r="J109" s="223" t="s">
        <v>1435</v>
      </c>
      <c r="K109" s="224">
        <v>15600000</v>
      </c>
      <c r="L109" s="225" t="s">
        <v>2057</v>
      </c>
      <c r="M109" s="226" t="s">
        <v>14</v>
      </c>
    </row>
    <row r="110" spans="1:13" ht="62">
      <c r="A110" s="221" t="s">
        <v>9198</v>
      </c>
      <c r="B110" s="206" t="s">
        <v>130</v>
      </c>
      <c r="C110" s="222" t="s">
        <v>9387</v>
      </c>
      <c r="D110" s="222" t="s">
        <v>633</v>
      </c>
      <c r="E110" s="222" t="s">
        <v>128</v>
      </c>
      <c r="F110" s="222" t="s">
        <v>21</v>
      </c>
      <c r="G110" s="222" t="s">
        <v>72</v>
      </c>
      <c r="H110" s="222" t="s">
        <v>42</v>
      </c>
      <c r="I110" s="222" t="s">
        <v>167</v>
      </c>
      <c r="J110" s="223" t="s">
        <v>1435</v>
      </c>
      <c r="K110" s="224">
        <v>19200000</v>
      </c>
      <c r="L110" s="225" t="s">
        <v>2057</v>
      </c>
      <c r="M110" s="226" t="s">
        <v>14</v>
      </c>
    </row>
    <row r="111" spans="1:13" ht="77.5">
      <c r="A111" s="221" t="s">
        <v>9198</v>
      </c>
      <c r="B111" s="206" t="s">
        <v>131</v>
      </c>
      <c r="C111" s="222" t="s">
        <v>9387</v>
      </c>
      <c r="D111" s="222" t="s">
        <v>132</v>
      </c>
      <c r="E111" s="222" t="s">
        <v>133</v>
      </c>
      <c r="F111" s="222" t="s">
        <v>21</v>
      </c>
      <c r="G111" s="222" t="s">
        <v>70</v>
      </c>
      <c r="H111" s="222" t="s">
        <v>26</v>
      </c>
      <c r="I111" s="222" t="s">
        <v>436</v>
      </c>
      <c r="J111" s="223" t="s">
        <v>1435</v>
      </c>
      <c r="K111" s="224">
        <v>263989.4166</v>
      </c>
      <c r="L111" s="225" t="s">
        <v>2057</v>
      </c>
      <c r="M111" s="226" t="s">
        <v>14</v>
      </c>
    </row>
    <row r="112" spans="1:13" ht="77.5">
      <c r="A112" s="221" t="s">
        <v>9198</v>
      </c>
      <c r="B112" s="206" t="s">
        <v>134</v>
      </c>
      <c r="C112" s="222" t="s">
        <v>9387</v>
      </c>
      <c r="D112" s="222" t="s">
        <v>132</v>
      </c>
      <c r="E112" s="222" t="s">
        <v>133</v>
      </c>
      <c r="F112" s="222" t="s">
        <v>21</v>
      </c>
      <c r="G112" s="222" t="s">
        <v>70</v>
      </c>
      <c r="H112" s="222" t="s">
        <v>42</v>
      </c>
      <c r="I112" s="222" t="s">
        <v>436</v>
      </c>
      <c r="J112" s="223" t="s">
        <v>1435</v>
      </c>
      <c r="K112" s="224">
        <v>422383.06656000001</v>
      </c>
      <c r="L112" s="225" t="s">
        <v>2057</v>
      </c>
      <c r="M112" s="226" t="s">
        <v>14</v>
      </c>
    </row>
    <row r="113" spans="1:13" ht="77.5">
      <c r="A113" s="221" t="s">
        <v>9198</v>
      </c>
      <c r="B113" s="206" t="s">
        <v>135</v>
      </c>
      <c r="C113" s="222" t="s">
        <v>9387</v>
      </c>
      <c r="D113" s="222" t="s">
        <v>132</v>
      </c>
      <c r="E113" s="222" t="s">
        <v>133</v>
      </c>
      <c r="F113" s="222" t="s">
        <v>21</v>
      </c>
      <c r="G113" s="222" t="s">
        <v>74</v>
      </c>
      <c r="H113" s="222" t="s">
        <v>26</v>
      </c>
      <c r="I113" s="222" t="s">
        <v>436</v>
      </c>
      <c r="J113" s="223" t="s">
        <v>1435</v>
      </c>
      <c r="K113" s="224">
        <v>263989.4166</v>
      </c>
      <c r="L113" s="225" t="s">
        <v>2057</v>
      </c>
      <c r="M113" s="226" t="s">
        <v>14</v>
      </c>
    </row>
    <row r="114" spans="1:13" ht="77.5">
      <c r="A114" s="221" t="s">
        <v>9198</v>
      </c>
      <c r="B114" s="206" t="s">
        <v>136</v>
      </c>
      <c r="C114" s="222" t="s">
        <v>9387</v>
      </c>
      <c r="D114" s="222" t="s">
        <v>132</v>
      </c>
      <c r="E114" s="222" t="s">
        <v>133</v>
      </c>
      <c r="F114" s="222" t="s">
        <v>21</v>
      </c>
      <c r="G114" s="222" t="s">
        <v>74</v>
      </c>
      <c r="H114" s="222" t="s">
        <v>42</v>
      </c>
      <c r="I114" s="222" t="s">
        <v>436</v>
      </c>
      <c r="J114" s="223" t="s">
        <v>1435</v>
      </c>
      <c r="K114" s="224">
        <v>549097.98652799998</v>
      </c>
      <c r="L114" s="225" t="s">
        <v>2057</v>
      </c>
      <c r="M114" s="226" t="s">
        <v>14</v>
      </c>
    </row>
    <row r="115" spans="1:13" ht="77.5">
      <c r="A115" s="221" t="s">
        <v>9198</v>
      </c>
      <c r="B115" s="206" t="s">
        <v>137</v>
      </c>
      <c r="C115" s="222" t="s">
        <v>9387</v>
      </c>
      <c r="D115" s="222" t="s">
        <v>132</v>
      </c>
      <c r="E115" s="222" t="s">
        <v>133</v>
      </c>
      <c r="F115" s="222" t="s">
        <v>21</v>
      </c>
      <c r="G115" s="222" t="s">
        <v>72</v>
      </c>
      <c r="H115" s="222" t="s">
        <v>26</v>
      </c>
      <c r="I115" s="222" t="s">
        <v>436</v>
      </c>
      <c r="J115" s="223" t="s">
        <v>1435</v>
      </c>
      <c r="K115" s="224">
        <v>263989.4166</v>
      </c>
      <c r="L115" s="225" t="s">
        <v>2057</v>
      </c>
      <c r="M115" s="226" t="s">
        <v>14</v>
      </c>
    </row>
    <row r="116" spans="1:13" ht="77.5">
      <c r="A116" s="221" t="s">
        <v>9198</v>
      </c>
      <c r="B116" s="206" t="s">
        <v>138</v>
      </c>
      <c r="C116" s="222" t="s">
        <v>9387</v>
      </c>
      <c r="D116" s="222" t="s">
        <v>132</v>
      </c>
      <c r="E116" s="222" t="s">
        <v>133</v>
      </c>
      <c r="F116" s="222" t="s">
        <v>21</v>
      </c>
      <c r="G116" s="222" t="s">
        <v>72</v>
      </c>
      <c r="H116" s="222" t="s">
        <v>42</v>
      </c>
      <c r="I116" s="222" t="s">
        <v>436</v>
      </c>
      <c r="J116" s="223" t="s">
        <v>1435</v>
      </c>
      <c r="K116" s="224">
        <v>675812.90649600001</v>
      </c>
      <c r="L116" s="225" t="s">
        <v>2057</v>
      </c>
      <c r="M116" s="226" t="s">
        <v>14</v>
      </c>
    </row>
    <row r="117" spans="1:13" ht="62">
      <c r="A117" s="221" t="s">
        <v>9198</v>
      </c>
      <c r="B117" s="206" t="s">
        <v>139</v>
      </c>
      <c r="C117" s="222" t="s">
        <v>9387</v>
      </c>
      <c r="D117" s="222" t="s">
        <v>140</v>
      </c>
      <c r="E117" s="222" t="s">
        <v>141</v>
      </c>
      <c r="F117" s="222" t="s">
        <v>21</v>
      </c>
      <c r="G117" s="222" t="s">
        <v>70</v>
      </c>
      <c r="H117" s="222" t="s">
        <v>26</v>
      </c>
      <c r="I117" s="222" t="s">
        <v>167</v>
      </c>
      <c r="J117" s="223" t="s">
        <v>1435</v>
      </c>
      <c r="K117" s="224">
        <v>120000</v>
      </c>
      <c r="L117" s="225" t="s">
        <v>2057</v>
      </c>
      <c r="M117" s="226" t="s">
        <v>14</v>
      </c>
    </row>
    <row r="118" spans="1:13" ht="62">
      <c r="A118" s="221" t="s">
        <v>9198</v>
      </c>
      <c r="B118" s="206" t="s">
        <v>142</v>
      </c>
      <c r="C118" s="222" t="s">
        <v>9387</v>
      </c>
      <c r="D118" s="222" t="s">
        <v>140</v>
      </c>
      <c r="E118" s="222" t="s">
        <v>141</v>
      </c>
      <c r="F118" s="222" t="s">
        <v>21</v>
      </c>
      <c r="G118" s="222" t="s">
        <v>70</v>
      </c>
      <c r="H118" s="222" t="s">
        <v>42</v>
      </c>
      <c r="I118" s="222" t="s">
        <v>167</v>
      </c>
      <c r="J118" s="223" t="s">
        <v>1435</v>
      </c>
      <c r="K118" s="224">
        <v>240000</v>
      </c>
      <c r="L118" s="225" t="s">
        <v>2057</v>
      </c>
      <c r="M118" s="226" t="s">
        <v>14</v>
      </c>
    </row>
    <row r="119" spans="1:13" ht="62">
      <c r="A119" s="221" t="s">
        <v>9198</v>
      </c>
      <c r="B119" s="206" t="s">
        <v>143</v>
      </c>
      <c r="C119" s="222" t="s">
        <v>9387</v>
      </c>
      <c r="D119" s="222" t="s">
        <v>140</v>
      </c>
      <c r="E119" s="222" t="s">
        <v>141</v>
      </c>
      <c r="F119" s="222" t="s">
        <v>21</v>
      </c>
      <c r="G119" s="222" t="s">
        <v>74</v>
      </c>
      <c r="H119" s="222" t="s">
        <v>26</v>
      </c>
      <c r="I119" s="222" t="s">
        <v>167</v>
      </c>
      <c r="J119" s="223" t="s">
        <v>1435</v>
      </c>
      <c r="K119" s="224">
        <v>120000</v>
      </c>
      <c r="L119" s="225" t="s">
        <v>2057</v>
      </c>
      <c r="M119" s="226" t="s">
        <v>14</v>
      </c>
    </row>
    <row r="120" spans="1:13" ht="62">
      <c r="A120" s="221" t="s">
        <v>9198</v>
      </c>
      <c r="B120" s="206" t="s">
        <v>144</v>
      </c>
      <c r="C120" s="222" t="s">
        <v>9387</v>
      </c>
      <c r="D120" s="222" t="s">
        <v>140</v>
      </c>
      <c r="E120" s="222" t="s">
        <v>141</v>
      </c>
      <c r="F120" s="222" t="s">
        <v>21</v>
      </c>
      <c r="G120" s="222" t="s">
        <v>74</v>
      </c>
      <c r="H120" s="222" t="s">
        <v>42</v>
      </c>
      <c r="I120" s="222" t="s">
        <v>167</v>
      </c>
      <c r="J120" s="223" t="s">
        <v>1435</v>
      </c>
      <c r="K120" s="224">
        <v>360000</v>
      </c>
      <c r="L120" s="225" t="s">
        <v>2057</v>
      </c>
      <c r="M120" s="226" t="s">
        <v>14</v>
      </c>
    </row>
    <row r="121" spans="1:13" ht="62">
      <c r="A121" s="221" t="s">
        <v>9198</v>
      </c>
      <c r="B121" s="206" t="s">
        <v>145</v>
      </c>
      <c r="C121" s="222" t="s">
        <v>9387</v>
      </c>
      <c r="D121" s="222" t="s">
        <v>140</v>
      </c>
      <c r="E121" s="222" t="s">
        <v>141</v>
      </c>
      <c r="F121" s="222" t="s">
        <v>21</v>
      </c>
      <c r="G121" s="222" t="s">
        <v>72</v>
      </c>
      <c r="H121" s="222" t="s">
        <v>26</v>
      </c>
      <c r="I121" s="222" t="s">
        <v>167</v>
      </c>
      <c r="J121" s="223" t="s">
        <v>1435</v>
      </c>
      <c r="K121" s="224">
        <v>120000</v>
      </c>
      <c r="L121" s="225" t="s">
        <v>2057</v>
      </c>
      <c r="M121" s="226" t="s">
        <v>14</v>
      </c>
    </row>
    <row r="122" spans="1:13" ht="62">
      <c r="A122" s="221" t="s">
        <v>9198</v>
      </c>
      <c r="B122" s="206" t="s">
        <v>146</v>
      </c>
      <c r="C122" s="222" t="s">
        <v>9387</v>
      </c>
      <c r="D122" s="222" t="s">
        <v>140</v>
      </c>
      <c r="E122" s="222" t="s">
        <v>141</v>
      </c>
      <c r="F122" s="222" t="s">
        <v>21</v>
      </c>
      <c r="G122" s="222" t="s">
        <v>72</v>
      </c>
      <c r="H122" s="222" t="s">
        <v>42</v>
      </c>
      <c r="I122" s="222" t="s">
        <v>167</v>
      </c>
      <c r="J122" s="223" t="s">
        <v>1435</v>
      </c>
      <c r="K122" s="224">
        <v>380000</v>
      </c>
      <c r="L122" s="225" t="s">
        <v>2057</v>
      </c>
      <c r="M122" s="226" t="s">
        <v>14</v>
      </c>
    </row>
    <row r="123" spans="1:13" ht="77.5">
      <c r="A123" s="221" t="s">
        <v>9198</v>
      </c>
      <c r="B123" s="206" t="s">
        <v>147</v>
      </c>
      <c r="C123" s="222" t="s">
        <v>9387</v>
      </c>
      <c r="D123" s="222" t="s">
        <v>148</v>
      </c>
      <c r="E123" s="222" t="s">
        <v>128</v>
      </c>
      <c r="F123" s="222" t="s">
        <v>21</v>
      </c>
      <c r="G123" s="222" t="s">
        <v>70</v>
      </c>
      <c r="H123" s="222" t="s">
        <v>42</v>
      </c>
      <c r="I123" s="222" t="s">
        <v>436</v>
      </c>
      <c r="J123" s="223" t="s">
        <v>1435</v>
      </c>
      <c r="K123" s="224">
        <v>9880000</v>
      </c>
      <c r="L123" s="225" t="s">
        <v>2057</v>
      </c>
      <c r="M123" s="226" t="s">
        <v>14</v>
      </c>
    </row>
    <row r="124" spans="1:13" ht="77.5">
      <c r="A124" s="221" t="s">
        <v>9198</v>
      </c>
      <c r="B124" s="206" t="s">
        <v>149</v>
      </c>
      <c r="C124" s="222" t="s">
        <v>9387</v>
      </c>
      <c r="D124" s="222" t="s">
        <v>148</v>
      </c>
      <c r="E124" s="222" t="s">
        <v>128</v>
      </c>
      <c r="F124" s="222" t="s">
        <v>21</v>
      </c>
      <c r="G124" s="222" t="s">
        <v>74</v>
      </c>
      <c r="H124" s="222" t="s">
        <v>42</v>
      </c>
      <c r="I124" s="222" t="s">
        <v>436</v>
      </c>
      <c r="J124" s="223" t="s">
        <v>1435</v>
      </c>
      <c r="K124" s="224">
        <v>12844000</v>
      </c>
      <c r="L124" s="225" t="s">
        <v>2057</v>
      </c>
      <c r="M124" s="226" t="s">
        <v>14</v>
      </c>
    </row>
    <row r="125" spans="1:13" ht="77.5">
      <c r="A125" s="221" t="s">
        <v>9198</v>
      </c>
      <c r="B125" s="206" t="s">
        <v>150</v>
      </c>
      <c r="C125" s="222" t="s">
        <v>9387</v>
      </c>
      <c r="D125" s="222" t="s">
        <v>148</v>
      </c>
      <c r="E125" s="222" t="s">
        <v>128</v>
      </c>
      <c r="F125" s="222" t="s">
        <v>21</v>
      </c>
      <c r="G125" s="222" t="s">
        <v>72</v>
      </c>
      <c r="H125" s="222" t="s">
        <v>42</v>
      </c>
      <c r="I125" s="222" t="s">
        <v>436</v>
      </c>
      <c r="J125" s="223" t="s">
        <v>1435</v>
      </c>
      <c r="K125" s="224">
        <v>15808000</v>
      </c>
      <c r="L125" s="225" t="s">
        <v>2057</v>
      </c>
      <c r="M125" s="226" t="s">
        <v>14</v>
      </c>
    </row>
    <row r="126" spans="1:13" ht="77.5">
      <c r="A126" s="221" t="s">
        <v>9198</v>
      </c>
      <c r="B126" s="206" t="s">
        <v>151</v>
      </c>
      <c r="C126" s="222" t="s">
        <v>9387</v>
      </c>
      <c r="D126" s="222" t="s">
        <v>152</v>
      </c>
      <c r="E126" s="222" t="s">
        <v>29</v>
      </c>
      <c r="F126" s="222" t="s">
        <v>21</v>
      </c>
      <c r="G126" s="222" t="s">
        <v>70</v>
      </c>
      <c r="H126" s="222" t="s">
        <v>42</v>
      </c>
      <c r="I126" s="222" t="s">
        <v>436</v>
      </c>
      <c r="J126" s="223" t="s">
        <v>1435</v>
      </c>
      <c r="K126" s="224">
        <v>176096.95824000001</v>
      </c>
      <c r="L126" s="225" t="s">
        <v>2057</v>
      </c>
      <c r="M126" s="226" t="s">
        <v>14</v>
      </c>
    </row>
    <row r="127" spans="1:13" ht="77.5">
      <c r="A127" s="221" t="s">
        <v>9198</v>
      </c>
      <c r="B127" s="206" t="s">
        <v>153</v>
      </c>
      <c r="C127" s="222" t="s">
        <v>9387</v>
      </c>
      <c r="D127" s="222" t="s">
        <v>152</v>
      </c>
      <c r="E127" s="222" t="s">
        <v>29</v>
      </c>
      <c r="F127" s="222" t="s">
        <v>21</v>
      </c>
      <c r="G127" s="222" t="s">
        <v>70</v>
      </c>
      <c r="H127" s="222" t="s">
        <v>26</v>
      </c>
      <c r="I127" s="222" t="s">
        <v>436</v>
      </c>
      <c r="J127" s="223" t="s">
        <v>1435</v>
      </c>
      <c r="K127" s="224">
        <v>135458.372</v>
      </c>
      <c r="L127" s="225" t="s">
        <v>2057</v>
      </c>
      <c r="M127" s="226" t="s">
        <v>14</v>
      </c>
    </row>
    <row r="128" spans="1:13" ht="77.5">
      <c r="A128" s="221" t="s">
        <v>9198</v>
      </c>
      <c r="B128" s="206" t="s">
        <v>154</v>
      </c>
      <c r="C128" s="222" t="s">
        <v>9387</v>
      </c>
      <c r="D128" s="222" t="s">
        <v>152</v>
      </c>
      <c r="E128" s="222" t="s">
        <v>29</v>
      </c>
      <c r="F128" s="222" t="s">
        <v>21</v>
      </c>
      <c r="G128" s="222" t="s">
        <v>74</v>
      </c>
      <c r="H128" s="222" t="s">
        <v>42</v>
      </c>
      <c r="I128" s="222" t="s">
        <v>436</v>
      </c>
      <c r="J128" s="223" t="s">
        <v>1435</v>
      </c>
      <c r="K128" s="224">
        <v>228926.04571200002</v>
      </c>
      <c r="L128" s="225" t="s">
        <v>2057</v>
      </c>
      <c r="M128" s="226" t="s">
        <v>14</v>
      </c>
    </row>
    <row r="129" spans="1:13" ht="77.5">
      <c r="A129" s="221" t="s">
        <v>9198</v>
      </c>
      <c r="B129" s="206" t="s">
        <v>155</v>
      </c>
      <c r="C129" s="222" t="s">
        <v>9387</v>
      </c>
      <c r="D129" s="222" t="s">
        <v>152</v>
      </c>
      <c r="E129" s="222" t="s">
        <v>29</v>
      </c>
      <c r="F129" s="222" t="s">
        <v>21</v>
      </c>
      <c r="G129" s="222" t="s">
        <v>74</v>
      </c>
      <c r="H129" s="222" t="s">
        <v>26</v>
      </c>
      <c r="I129" s="222" t="s">
        <v>436</v>
      </c>
      <c r="J129" s="223" t="s">
        <v>1435</v>
      </c>
      <c r="K129" s="224">
        <v>135458.372</v>
      </c>
      <c r="L129" s="225" t="s">
        <v>2057</v>
      </c>
      <c r="M129" s="226" t="s">
        <v>14</v>
      </c>
    </row>
    <row r="130" spans="1:13" ht="77.5">
      <c r="A130" s="221" t="s">
        <v>9198</v>
      </c>
      <c r="B130" s="206" t="s">
        <v>156</v>
      </c>
      <c r="C130" s="222" t="s">
        <v>9387</v>
      </c>
      <c r="D130" s="222" t="s">
        <v>152</v>
      </c>
      <c r="E130" s="222" t="s">
        <v>29</v>
      </c>
      <c r="F130" s="222" t="s">
        <v>21</v>
      </c>
      <c r="G130" s="222" t="s">
        <v>72</v>
      </c>
      <c r="H130" s="222" t="s">
        <v>42</v>
      </c>
      <c r="I130" s="222" t="s">
        <v>436</v>
      </c>
      <c r="J130" s="223" t="s">
        <v>1435</v>
      </c>
      <c r="K130" s="224">
        <v>281755.13318400003</v>
      </c>
      <c r="L130" s="225" t="s">
        <v>2057</v>
      </c>
      <c r="M130" s="226" t="s">
        <v>14</v>
      </c>
    </row>
    <row r="131" spans="1:13" ht="77.5">
      <c r="A131" s="221" t="s">
        <v>9198</v>
      </c>
      <c r="B131" s="206" t="s">
        <v>157</v>
      </c>
      <c r="C131" s="222" t="s">
        <v>9387</v>
      </c>
      <c r="D131" s="222" t="s">
        <v>152</v>
      </c>
      <c r="E131" s="222" t="s">
        <v>29</v>
      </c>
      <c r="F131" s="222" t="s">
        <v>21</v>
      </c>
      <c r="G131" s="222" t="s">
        <v>72</v>
      </c>
      <c r="H131" s="222" t="s">
        <v>26</v>
      </c>
      <c r="I131" s="222" t="s">
        <v>436</v>
      </c>
      <c r="J131" s="223" t="s">
        <v>1435</v>
      </c>
      <c r="K131" s="224">
        <v>135458.372</v>
      </c>
      <c r="L131" s="225" t="s">
        <v>2057</v>
      </c>
      <c r="M131" s="226" t="s">
        <v>14</v>
      </c>
    </row>
    <row r="132" spans="1:13" ht="77.5">
      <c r="A132" s="221" t="s">
        <v>9198</v>
      </c>
      <c r="B132" s="206" t="s">
        <v>158</v>
      </c>
      <c r="C132" s="222" t="s">
        <v>9387</v>
      </c>
      <c r="D132" s="222" t="s">
        <v>159</v>
      </c>
      <c r="E132" s="222" t="s">
        <v>29</v>
      </c>
      <c r="F132" s="222" t="s">
        <v>21</v>
      </c>
      <c r="G132" s="222" t="s">
        <v>70</v>
      </c>
      <c r="H132" s="222" t="s">
        <v>42</v>
      </c>
      <c r="I132" s="222" t="s">
        <v>436</v>
      </c>
      <c r="J132" s="223" t="s">
        <v>1435</v>
      </c>
      <c r="K132" s="224">
        <v>123267.87076800001</v>
      </c>
      <c r="L132" s="225" t="s">
        <v>2057</v>
      </c>
      <c r="M132" s="226" t="s">
        <v>14</v>
      </c>
    </row>
    <row r="133" spans="1:13" ht="77.5">
      <c r="A133" s="221" t="s">
        <v>9198</v>
      </c>
      <c r="B133" s="206" t="s">
        <v>160</v>
      </c>
      <c r="C133" s="222" t="s">
        <v>9387</v>
      </c>
      <c r="D133" s="222" t="s">
        <v>159</v>
      </c>
      <c r="E133" s="222" t="s">
        <v>29</v>
      </c>
      <c r="F133" s="222" t="s">
        <v>21</v>
      </c>
      <c r="G133" s="222" t="s">
        <v>74</v>
      </c>
      <c r="H133" s="222" t="s">
        <v>26</v>
      </c>
      <c r="I133" s="222" t="s">
        <v>436</v>
      </c>
      <c r="J133" s="223" t="s">
        <v>1435</v>
      </c>
      <c r="K133" s="224">
        <v>94820.860400000005</v>
      </c>
      <c r="L133" s="225" t="s">
        <v>2057</v>
      </c>
      <c r="M133" s="226" t="s">
        <v>14</v>
      </c>
    </row>
    <row r="134" spans="1:13" ht="77.5">
      <c r="A134" s="221" t="s">
        <v>9198</v>
      </c>
      <c r="B134" s="206" t="s">
        <v>161</v>
      </c>
      <c r="C134" s="222" t="s">
        <v>9387</v>
      </c>
      <c r="D134" s="222" t="s">
        <v>159</v>
      </c>
      <c r="E134" s="222" t="s">
        <v>29</v>
      </c>
      <c r="F134" s="222" t="s">
        <v>21</v>
      </c>
      <c r="G134" s="222" t="s">
        <v>74</v>
      </c>
      <c r="H134" s="222" t="s">
        <v>42</v>
      </c>
      <c r="I134" s="222" t="s">
        <v>436</v>
      </c>
      <c r="J134" s="223" t="s">
        <v>1435</v>
      </c>
      <c r="K134" s="224">
        <v>180000</v>
      </c>
      <c r="L134" s="225" t="s">
        <v>2057</v>
      </c>
      <c r="M134" s="226" t="s">
        <v>14</v>
      </c>
    </row>
    <row r="135" spans="1:13" ht="77.5">
      <c r="A135" s="221" t="s">
        <v>9198</v>
      </c>
      <c r="B135" s="206" t="s">
        <v>162</v>
      </c>
      <c r="C135" s="222" t="s">
        <v>9387</v>
      </c>
      <c r="D135" s="222" t="s">
        <v>159</v>
      </c>
      <c r="E135" s="222" t="s">
        <v>29</v>
      </c>
      <c r="F135" s="222" t="s">
        <v>21</v>
      </c>
      <c r="G135" s="222" t="s">
        <v>72</v>
      </c>
      <c r="H135" s="222" t="s">
        <v>26</v>
      </c>
      <c r="I135" s="222" t="s">
        <v>436</v>
      </c>
      <c r="J135" s="223" t="s">
        <v>1435</v>
      </c>
      <c r="K135" s="224">
        <v>94820.860400000005</v>
      </c>
      <c r="L135" s="225" t="s">
        <v>2057</v>
      </c>
      <c r="M135" s="226" t="s">
        <v>14</v>
      </c>
    </row>
    <row r="136" spans="1:13" ht="77.5">
      <c r="A136" s="221" t="s">
        <v>9198</v>
      </c>
      <c r="B136" s="206" t="s">
        <v>163</v>
      </c>
      <c r="C136" s="222" t="s">
        <v>9387</v>
      </c>
      <c r="D136" s="222" t="s">
        <v>159</v>
      </c>
      <c r="E136" s="222" t="s">
        <v>29</v>
      </c>
      <c r="F136" s="222" t="s">
        <v>21</v>
      </c>
      <c r="G136" s="222" t="s">
        <v>72</v>
      </c>
      <c r="H136" s="222" t="s">
        <v>42</v>
      </c>
      <c r="I136" s="222" t="s">
        <v>436</v>
      </c>
      <c r="J136" s="223" t="s">
        <v>1435</v>
      </c>
      <c r="K136" s="224">
        <v>200000</v>
      </c>
      <c r="L136" s="225" t="s">
        <v>2057</v>
      </c>
      <c r="M136" s="226" t="s">
        <v>14</v>
      </c>
    </row>
    <row r="137" spans="1:13" ht="77.5">
      <c r="A137" s="221" t="s">
        <v>9198</v>
      </c>
      <c r="B137" s="206" t="s">
        <v>164</v>
      </c>
      <c r="C137" s="222" t="s">
        <v>9387</v>
      </c>
      <c r="D137" s="222" t="s">
        <v>159</v>
      </c>
      <c r="E137" s="222" t="s">
        <v>29</v>
      </c>
      <c r="F137" s="222" t="s">
        <v>21</v>
      </c>
      <c r="G137" s="222" t="s">
        <v>70</v>
      </c>
      <c r="H137" s="222" t="s">
        <v>26</v>
      </c>
      <c r="I137" s="222" t="s">
        <v>436</v>
      </c>
      <c r="J137" s="223" t="s">
        <v>1435</v>
      </c>
      <c r="K137" s="224">
        <v>94820.860400000005</v>
      </c>
      <c r="L137" s="225" t="s">
        <v>2057</v>
      </c>
      <c r="M137" s="226" t="s">
        <v>14</v>
      </c>
    </row>
    <row r="138" spans="1:13" ht="62">
      <c r="A138" s="221" t="s">
        <v>9198</v>
      </c>
      <c r="B138" s="206" t="s">
        <v>2601</v>
      </c>
      <c r="C138" s="222" t="s">
        <v>9387</v>
      </c>
      <c r="D138" s="222" t="s">
        <v>9388</v>
      </c>
      <c r="E138" s="222" t="s">
        <v>128</v>
      </c>
      <c r="F138" s="222" t="s">
        <v>21</v>
      </c>
      <c r="G138" s="222" t="s">
        <v>70</v>
      </c>
      <c r="H138" s="222" t="s">
        <v>42</v>
      </c>
      <c r="I138" s="222" t="s">
        <v>167</v>
      </c>
      <c r="J138" s="223" t="s">
        <v>1435</v>
      </c>
      <c r="K138" s="224">
        <v>16000000</v>
      </c>
      <c r="L138" s="225" t="s">
        <v>2057</v>
      </c>
      <c r="M138" s="226" t="s">
        <v>14</v>
      </c>
    </row>
    <row r="139" spans="1:13" ht="62">
      <c r="A139" s="221" t="s">
        <v>9198</v>
      </c>
      <c r="B139" s="206" t="s">
        <v>2603</v>
      </c>
      <c r="C139" s="222" t="s">
        <v>9387</v>
      </c>
      <c r="D139" s="222" t="s">
        <v>9388</v>
      </c>
      <c r="E139" s="222" t="s">
        <v>128</v>
      </c>
      <c r="F139" s="222" t="s">
        <v>21</v>
      </c>
      <c r="G139" s="222" t="s">
        <v>74</v>
      </c>
      <c r="H139" s="222" t="s">
        <v>42</v>
      </c>
      <c r="I139" s="222" t="s">
        <v>167</v>
      </c>
      <c r="J139" s="223" t="s">
        <v>1435</v>
      </c>
      <c r="K139" s="224">
        <v>18000000</v>
      </c>
      <c r="L139" s="225" t="s">
        <v>2057</v>
      </c>
      <c r="M139" s="226" t="s">
        <v>14</v>
      </c>
    </row>
    <row r="140" spans="1:13" ht="62">
      <c r="A140" s="221" t="s">
        <v>9198</v>
      </c>
      <c r="B140" s="206" t="s">
        <v>2604</v>
      </c>
      <c r="C140" s="222" t="s">
        <v>9387</v>
      </c>
      <c r="D140" s="222" t="s">
        <v>9388</v>
      </c>
      <c r="E140" s="222" t="s">
        <v>128</v>
      </c>
      <c r="F140" s="222" t="s">
        <v>21</v>
      </c>
      <c r="G140" s="222" t="s">
        <v>72</v>
      </c>
      <c r="H140" s="222" t="s">
        <v>42</v>
      </c>
      <c r="I140" s="222" t="s">
        <v>167</v>
      </c>
      <c r="J140" s="223" t="s">
        <v>1435</v>
      </c>
      <c r="K140" s="224">
        <v>20000000</v>
      </c>
      <c r="L140" s="225" t="s">
        <v>2057</v>
      </c>
      <c r="M140" s="226" t="s">
        <v>14</v>
      </c>
    </row>
  </sheetData>
  <mergeCells count="1">
    <mergeCell ref="A1:M1"/>
  </mergeCells>
  <conditionalFormatting sqref="A78:K140">
    <cfRule type="expression" dxfId="8" priority="1">
      <formula>ISERROR(A78)</formula>
    </cfRule>
  </conditionalFormatting>
  <dataValidations count="4">
    <dataValidation type="list" allowBlank="1" showInputMessage="1" showErrorMessage="1" sqref="M57:M61 M3:M55 M63:M77">
      <formula1>"COP,USD"</formula1>
    </dataValidation>
    <dataValidation type="list" allowBlank="1" showInputMessage="1" showErrorMessage="1" sqref="L57:L61 L3:L55 L63:L77">
      <formula1>"Sí,No"</formula1>
    </dataValidation>
    <dataValidation type="list" allowBlank="1" showInputMessage="1" showErrorMessage="1" error="Solo se admite COP/USD" sqref="M78:M140">
      <formula1>"COP,USD"</formula1>
    </dataValidation>
    <dataValidation type="list" allowBlank="1" showInputMessage="1" showErrorMessage="1" error="Solo se admite Sí/No" sqref="L78:L140">
      <formula1>"Sí,No"</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2"/>
  <sheetViews>
    <sheetView workbookViewId="0">
      <selection activeCell="D7" sqref="D7"/>
    </sheetView>
  </sheetViews>
  <sheetFormatPr baseColWidth="10" defaultColWidth="11.54296875" defaultRowHeight="15.5"/>
  <cols>
    <col min="1" max="1" width="23.453125" style="202" bestFit="1" customWidth="1"/>
    <col min="2" max="2" width="20.08984375" style="202" bestFit="1" customWidth="1"/>
    <col min="3" max="3" width="14" style="202" bestFit="1" customWidth="1"/>
    <col min="4" max="4" width="121.81640625" style="202" bestFit="1" customWidth="1"/>
    <col min="5" max="9" width="11.54296875" style="202"/>
    <col min="10" max="10" width="12.90625" style="202" bestFit="1" customWidth="1"/>
    <col min="11" max="11" width="22.6328125" style="202" bestFit="1" customWidth="1"/>
    <col min="12" max="12" width="11.54296875" style="227"/>
    <col min="13" max="13" width="11.54296875" style="228"/>
    <col min="14" max="16384" width="11.54296875" style="202"/>
  </cols>
  <sheetData>
    <row r="1" spans="1:13" ht="25">
      <c r="A1" s="329" t="s">
        <v>9479</v>
      </c>
      <c r="B1" s="329"/>
      <c r="C1" s="329"/>
      <c r="D1" s="329"/>
      <c r="E1" s="329"/>
      <c r="F1" s="329"/>
      <c r="G1" s="329"/>
      <c r="H1" s="329"/>
      <c r="I1" s="329"/>
      <c r="J1" s="329"/>
      <c r="K1" s="329"/>
      <c r="L1" s="329"/>
      <c r="M1" s="329"/>
    </row>
    <row r="2" spans="1:13" ht="46.5">
      <c r="A2" s="205" t="s">
        <v>1445</v>
      </c>
      <c r="B2" s="205" t="s">
        <v>1430</v>
      </c>
      <c r="C2" s="205" t="s">
        <v>1446</v>
      </c>
      <c r="D2" s="205" t="s">
        <v>4</v>
      </c>
      <c r="E2" s="205" t="s">
        <v>5</v>
      </c>
      <c r="F2" s="205" t="s">
        <v>6</v>
      </c>
      <c r="G2" s="205" t="s">
        <v>7</v>
      </c>
      <c r="H2" s="205" t="s">
        <v>8</v>
      </c>
      <c r="I2" s="205" t="s">
        <v>9</v>
      </c>
      <c r="J2" s="205" t="s">
        <v>1434</v>
      </c>
      <c r="K2" s="205" t="s">
        <v>1432</v>
      </c>
      <c r="L2" s="205" t="s">
        <v>1433</v>
      </c>
      <c r="M2" s="205" t="s">
        <v>3</v>
      </c>
    </row>
    <row r="3" spans="1:13">
      <c r="A3" s="198" t="s">
        <v>9480</v>
      </c>
      <c r="B3" s="198" t="s">
        <v>9481</v>
      </c>
      <c r="C3" s="198" t="s">
        <v>9482</v>
      </c>
      <c r="D3" s="198" t="s">
        <v>9483</v>
      </c>
      <c r="E3" s="198" t="s">
        <v>91</v>
      </c>
      <c r="F3" s="198" t="s">
        <v>21</v>
      </c>
      <c r="G3" s="199" t="s">
        <v>70</v>
      </c>
      <c r="H3" s="199" t="s">
        <v>26</v>
      </c>
      <c r="I3" s="199" t="s">
        <v>166</v>
      </c>
      <c r="J3" s="200" t="s">
        <v>516</v>
      </c>
      <c r="K3" s="245">
        <v>1150000</v>
      </c>
      <c r="L3" s="201" t="s">
        <v>2057</v>
      </c>
      <c r="M3" s="201" t="s">
        <v>14</v>
      </c>
    </row>
    <row r="4" spans="1:13">
      <c r="A4" s="198" t="s">
        <v>9480</v>
      </c>
      <c r="B4" s="198" t="s">
        <v>9484</v>
      </c>
      <c r="C4" s="198" t="s">
        <v>9482</v>
      </c>
      <c r="D4" s="198" t="s">
        <v>9483</v>
      </c>
      <c r="E4" s="198" t="s">
        <v>91</v>
      </c>
      <c r="F4" s="198" t="s">
        <v>21</v>
      </c>
      <c r="G4" s="199" t="s">
        <v>70</v>
      </c>
      <c r="H4" s="199" t="s">
        <v>42</v>
      </c>
      <c r="I4" s="199" t="s">
        <v>166</v>
      </c>
      <c r="J4" s="200" t="s">
        <v>516</v>
      </c>
      <c r="K4" s="245">
        <v>1720000</v>
      </c>
      <c r="L4" s="201" t="s">
        <v>2057</v>
      </c>
      <c r="M4" s="201" t="s">
        <v>14</v>
      </c>
    </row>
    <row r="5" spans="1:13">
      <c r="A5" s="198" t="s">
        <v>9480</v>
      </c>
      <c r="B5" s="198" t="s">
        <v>9485</v>
      </c>
      <c r="C5" s="198" t="s">
        <v>9482</v>
      </c>
      <c r="D5" s="198" t="s">
        <v>9483</v>
      </c>
      <c r="E5" s="198" t="s">
        <v>91</v>
      </c>
      <c r="F5" s="198" t="s">
        <v>21</v>
      </c>
      <c r="G5" s="199" t="s">
        <v>74</v>
      </c>
      <c r="H5" s="199" t="s">
        <v>26</v>
      </c>
      <c r="I5" s="199" t="s">
        <v>166</v>
      </c>
      <c r="J5" s="200" t="s">
        <v>516</v>
      </c>
      <c r="K5" s="245">
        <v>1480000</v>
      </c>
      <c r="L5" s="201" t="s">
        <v>2057</v>
      </c>
      <c r="M5" s="201" t="s">
        <v>14</v>
      </c>
    </row>
    <row r="6" spans="1:13">
      <c r="A6" s="198" t="s">
        <v>9480</v>
      </c>
      <c r="B6" s="198" t="s">
        <v>9486</v>
      </c>
      <c r="C6" s="198" t="s">
        <v>9482</v>
      </c>
      <c r="D6" s="198" t="s">
        <v>9483</v>
      </c>
      <c r="E6" s="198" t="s">
        <v>91</v>
      </c>
      <c r="F6" s="198" t="s">
        <v>21</v>
      </c>
      <c r="G6" s="199" t="s">
        <v>74</v>
      </c>
      <c r="H6" s="199" t="s">
        <v>42</v>
      </c>
      <c r="I6" s="199" t="s">
        <v>166</v>
      </c>
      <c r="J6" s="200" t="s">
        <v>516</v>
      </c>
      <c r="K6" s="245">
        <v>2600000</v>
      </c>
      <c r="L6" s="201" t="s">
        <v>2057</v>
      </c>
      <c r="M6" s="201" t="s">
        <v>14</v>
      </c>
    </row>
    <row r="7" spans="1:13">
      <c r="A7" s="198" t="s">
        <v>9480</v>
      </c>
      <c r="B7" s="198" t="s">
        <v>9487</v>
      </c>
      <c r="C7" s="198" t="s">
        <v>9482</v>
      </c>
      <c r="D7" s="198" t="s">
        <v>9483</v>
      </c>
      <c r="E7" s="198" t="s">
        <v>91</v>
      </c>
      <c r="F7" s="198" t="s">
        <v>21</v>
      </c>
      <c r="G7" s="199" t="s">
        <v>72</v>
      </c>
      <c r="H7" s="199" t="s">
        <v>26</v>
      </c>
      <c r="I7" s="199" t="s">
        <v>166</v>
      </c>
      <c r="J7" s="200" t="s">
        <v>516</v>
      </c>
      <c r="K7" s="245">
        <v>1850000</v>
      </c>
      <c r="L7" s="201" t="s">
        <v>2057</v>
      </c>
      <c r="M7" s="201" t="s">
        <v>14</v>
      </c>
    </row>
    <row r="8" spans="1:13">
      <c r="A8" s="198" t="s">
        <v>9480</v>
      </c>
      <c r="B8" s="198" t="s">
        <v>9488</v>
      </c>
      <c r="C8" s="198" t="s">
        <v>9482</v>
      </c>
      <c r="D8" s="198" t="s">
        <v>9483</v>
      </c>
      <c r="E8" s="198" t="s">
        <v>91</v>
      </c>
      <c r="F8" s="198" t="s">
        <v>21</v>
      </c>
      <c r="G8" s="199" t="s">
        <v>72</v>
      </c>
      <c r="H8" s="199" t="s">
        <v>42</v>
      </c>
      <c r="I8" s="199" t="s">
        <v>166</v>
      </c>
      <c r="J8" s="200" t="s">
        <v>516</v>
      </c>
      <c r="K8" s="245">
        <v>3900000</v>
      </c>
      <c r="L8" s="201" t="s">
        <v>2057</v>
      </c>
      <c r="M8" s="201" t="s">
        <v>14</v>
      </c>
    </row>
    <row r="9" spans="1:13">
      <c r="A9" s="198" t="s">
        <v>9480</v>
      </c>
      <c r="B9" s="198" t="s">
        <v>9489</v>
      </c>
      <c r="C9" s="198" t="s">
        <v>9482</v>
      </c>
      <c r="D9" s="198" t="s">
        <v>9490</v>
      </c>
      <c r="E9" s="198" t="s">
        <v>99</v>
      </c>
      <c r="F9" s="198" t="s">
        <v>21</v>
      </c>
      <c r="G9" s="199" t="s">
        <v>70</v>
      </c>
      <c r="H9" s="199" t="s">
        <v>26</v>
      </c>
      <c r="I9" s="199" t="s">
        <v>166</v>
      </c>
      <c r="J9" s="200" t="s">
        <v>516</v>
      </c>
      <c r="K9" s="245">
        <v>1480000</v>
      </c>
      <c r="L9" s="201" t="s">
        <v>2057</v>
      </c>
      <c r="M9" s="201" t="s">
        <v>14</v>
      </c>
    </row>
    <row r="10" spans="1:13">
      <c r="A10" s="198" t="s">
        <v>9480</v>
      </c>
      <c r="B10" s="198" t="s">
        <v>9491</v>
      </c>
      <c r="C10" s="198" t="s">
        <v>9482</v>
      </c>
      <c r="D10" s="198" t="s">
        <v>9490</v>
      </c>
      <c r="E10" s="198" t="s">
        <v>99</v>
      </c>
      <c r="F10" s="198" t="s">
        <v>21</v>
      </c>
      <c r="G10" s="199" t="s">
        <v>70</v>
      </c>
      <c r="H10" s="199" t="s">
        <v>42</v>
      </c>
      <c r="I10" s="199" t="s">
        <v>166</v>
      </c>
      <c r="J10" s="200" t="s">
        <v>516</v>
      </c>
      <c r="K10" s="245">
        <v>2200000</v>
      </c>
      <c r="L10" s="201" t="s">
        <v>2057</v>
      </c>
      <c r="M10" s="201" t="s">
        <v>14</v>
      </c>
    </row>
    <row r="11" spans="1:13">
      <c r="A11" s="198" t="s">
        <v>9480</v>
      </c>
      <c r="B11" s="198" t="s">
        <v>9492</v>
      </c>
      <c r="C11" s="198" t="s">
        <v>9482</v>
      </c>
      <c r="D11" s="198" t="s">
        <v>9490</v>
      </c>
      <c r="E11" s="198" t="s">
        <v>99</v>
      </c>
      <c r="F11" s="198" t="s">
        <v>21</v>
      </c>
      <c r="G11" s="199" t="s">
        <v>74</v>
      </c>
      <c r="H11" s="199" t="s">
        <v>26</v>
      </c>
      <c r="I11" s="199" t="s">
        <v>166</v>
      </c>
      <c r="J11" s="200" t="s">
        <v>516</v>
      </c>
      <c r="K11" s="245">
        <v>1800000</v>
      </c>
      <c r="L11" s="201" t="s">
        <v>2057</v>
      </c>
      <c r="M11" s="201" t="s">
        <v>14</v>
      </c>
    </row>
    <row r="12" spans="1:13">
      <c r="A12" s="198" t="s">
        <v>9480</v>
      </c>
      <c r="B12" s="198" t="s">
        <v>9493</v>
      </c>
      <c r="C12" s="198" t="s">
        <v>9482</v>
      </c>
      <c r="D12" s="198" t="s">
        <v>9490</v>
      </c>
      <c r="E12" s="198" t="s">
        <v>99</v>
      </c>
      <c r="F12" s="198" t="s">
        <v>21</v>
      </c>
      <c r="G12" s="199" t="s">
        <v>74</v>
      </c>
      <c r="H12" s="199" t="s">
        <v>42</v>
      </c>
      <c r="I12" s="199" t="s">
        <v>166</v>
      </c>
      <c r="J12" s="200" t="s">
        <v>516</v>
      </c>
      <c r="K12" s="245">
        <v>3150000</v>
      </c>
      <c r="L12" s="201" t="s">
        <v>2057</v>
      </c>
      <c r="M12" s="201" t="s">
        <v>14</v>
      </c>
    </row>
    <row r="13" spans="1:13">
      <c r="A13" s="198" t="s">
        <v>9480</v>
      </c>
      <c r="B13" s="198" t="s">
        <v>9494</v>
      </c>
      <c r="C13" s="198" t="s">
        <v>9482</v>
      </c>
      <c r="D13" s="198" t="s">
        <v>9490</v>
      </c>
      <c r="E13" s="198" t="s">
        <v>99</v>
      </c>
      <c r="F13" s="198" t="s">
        <v>21</v>
      </c>
      <c r="G13" s="199" t="s">
        <v>72</v>
      </c>
      <c r="H13" s="199" t="s">
        <v>26</v>
      </c>
      <c r="I13" s="199" t="s">
        <v>166</v>
      </c>
      <c r="J13" s="200" t="s">
        <v>516</v>
      </c>
      <c r="K13" s="245">
        <v>2200000</v>
      </c>
      <c r="L13" s="201" t="s">
        <v>2057</v>
      </c>
      <c r="M13" s="201" t="s">
        <v>14</v>
      </c>
    </row>
    <row r="14" spans="1:13">
      <c r="A14" s="198" t="s">
        <v>9480</v>
      </c>
      <c r="B14" s="198" t="s">
        <v>9495</v>
      </c>
      <c r="C14" s="198" t="s">
        <v>9482</v>
      </c>
      <c r="D14" s="198" t="s">
        <v>9490</v>
      </c>
      <c r="E14" s="198" t="s">
        <v>99</v>
      </c>
      <c r="F14" s="198" t="s">
        <v>21</v>
      </c>
      <c r="G14" s="199" t="s">
        <v>72</v>
      </c>
      <c r="H14" s="199" t="s">
        <v>42</v>
      </c>
      <c r="I14" s="199" t="s">
        <v>166</v>
      </c>
      <c r="J14" s="200" t="s">
        <v>516</v>
      </c>
      <c r="K14" s="245">
        <v>4900000</v>
      </c>
      <c r="L14" s="201" t="s">
        <v>2057</v>
      </c>
      <c r="M14" s="201" t="s">
        <v>14</v>
      </c>
    </row>
    <row r="15" spans="1:13">
      <c r="A15" s="198" t="s">
        <v>9480</v>
      </c>
      <c r="B15" s="198" t="s">
        <v>9496</v>
      </c>
      <c r="C15" s="198" t="s">
        <v>9482</v>
      </c>
      <c r="D15" s="198" t="s">
        <v>9497</v>
      </c>
      <c r="E15" s="198" t="s">
        <v>91</v>
      </c>
      <c r="F15" s="198" t="s">
        <v>21</v>
      </c>
      <c r="G15" s="199" t="s">
        <v>70</v>
      </c>
      <c r="H15" s="199" t="s">
        <v>26</v>
      </c>
      <c r="I15" s="199" t="s">
        <v>166</v>
      </c>
      <c r="J15" s="200" t="s">
        <v>516</v>
      </c>
      <c r="K15" s="245">
        <v>1120000</v>
      </c>
      <c r="L15" s="201" t="s">
        <v>2057</v>
      </c>
      <c r="M15" s="201" t="s">
        <v>14</v>
      </c>
    </row>
    <row r="16" spans="1:13">
      <c r="A16" s="198" t="s">
        <v>9480</v>
      </c>
      <c r="B16" s="198" t="s">
        <v>9498</v>
      </c>
      <c r="C16" s="198" t="s">
        <v>9482</v>
      </c>
      <c r="D16" s="198" t="s">
        <v>9497</v>
      </c>
      <c r="E16" s="198" t="s">
        <v>91</v>
      </c>
      <c r="F16" s="198" t="s">
        <v>21</v>
      </c>
      <c r="G16" s="199" t="s">
        <v>70</v>
      </c>
      <c r="H16" s="199" t="s">
        <v>42</v>
      </c>
      <c r="I16" s="199" t="s">
        <v>166</v>
      </c>
      <c r="J16" s="200" t="s">
        <v>516</v>
      </c>
      <c r="K16" s="245">
        <v>1500000</v>
      </c>
      <c r="L16" s="201" t="s">
        <v>2057</v>
      </c>
      <c r="M16" s="201" t="s">
        <v>14</v>
      </c>
    </row>
    <row r="17" spans="1:13">
      <c r="A17" s="198" t="s">
        <v>9480</v>
      </c>
      <c r="B17" s="198" t="s">
        <v>9499</v>
      </c>
      <c r="C17" s="198" t="s">
        <v>9482</v>
      </c>
      <c r="D17" s="198" t="s">
        <v>9497</v>
      </c>
      <c r="E17" s="198" t="s">
        <v>91</v>
      </c>
      <c r="F17" s="198" t="s">
        <v>21</v>
      </c>
      <c r="G17" s="199" t="s">
        <v>74</v>
      </c>
      <c r="H17" s="199" t="s">
        <v>26</v>
      </c>
      <c r="I17" s="199" t="s">
        <v>166</v>
      </c>
      <c r="J17" s="200" t="s">
        <v>516</v>
      </c>
      <c r="K17" s="245">
        <v>1350000</v>
      </c>
      <c r="L17" s="201" t="s">
        <v>2057</v>
      </c>
      <c r="M17" s="201" t="s">
        <v>14</v>
      </c>
    </row>
    <row r="18" spans="1:13">
      <c r="A18" s="198" t="s">
        <v>9480</v>
      </c>
      <c r="B18" s="198" t="s">
        <v>9500</v>
      </c>
      <c r="C18" s="198" t="s">
        <v>9482</v>
      </c>
      <c r="D18" s="198" t="s">
        <v>9497</v>
      </c>
      <c r="E18" s="198" t="s">
        <v>91</v>
      </c>
      <c r="F18" s="198" t="s">
        <v>21</v>
      </c>
      <c r="G18" s="199" t="s">
        <v>74</v>
      </c>
      <c r="H18" s="199" t="s">
        <v>42</v>
      </c>
      <c r="I18" s="199" t="s">
        <v>166</v>
      </c>
      <c r="J18" s="200" t="s">
        <v>516</v>
      </c>
      <c r="K18" s="245">
        <v>2620000</v>
      </c>
      <c r="L18" s="201" t="s">
        <v>2057</v>
      </c>
      <c r="M18" s="201" t="s">
        <v>14</v>
      </c>
    </row>
    <row r="19" spans="1:13">
      <c r="A19" s="198" t="s">
        <v>9480</v>
      </c>
      <c r="B19" s="198" t="s">
        <v>9501</v>
      </c>
      <c r="C19" s="198" t="s">
        <v>9482</v>
      </c>
      <c r="D19" s="198" t="s">
        <v>9497</v>
      </c>
      <c r="E19" s="198" t="s">
        <v>91</v>
      </c>
      <c r="F19" s="198" t="s">
        <v>21</v>
      </c>
      <c r="G19" s="199" t="s">
        <v>72</v>
      </c>
      <c r="H19" s="199" t="s">
        <v>26</v>
      </c>
      <c r="I19" s="199" t="s">
        <v>166</v>
      </c>
      <c r="J19" s="200" t="s">
        <v>516</v>
      </c>
      <c r="K19" s="245">
        <v>1800000</v>
      </c>
      <c r="L19" s="201" t="s">
        <v>2057</v>
      </c>
      <c r="M19" s="201" t="s">
        <v>14</v>
      </c>
    </row>
    <row r="20" spans="1:13">
      <c r="A20" s="198" t="s">
        <v>9480</v>
      </c>
      <c r="B20" s="198" t="s">
        <v>9502</v>
      </c>
      <c r="C20" s="198" t="s">
        <v>9482</v>
      </c>
      <c r="D20" s="198" t="s">
        <v>9497</v>
      </c>
      <c r="E20" s="198" t="s">
        <v>91</v>
      </c>
      <c r="F20" s="198" t="s">
        <v>21</v>
      </c>
      <c r="G20" s="199" t="s">
        <v>72</v>
      </c>
      <c r="H20" s="199" t="s">
        <v>42</v>
      </c>
      <c r="I20" s="199" t="s">
        <v>166</v>
      </c>
      <c r="J20" s="200" t="s">
        <v>516</v>
      </c>
      <c r="K20" s="245">
        <v>3900000</v>
      </c>
      <c r="L20" s="201" t="s">
        <v>2057</v>
      </c>
      <c r="M20" s="201" t="s">
        <v>14</v>
      </c>
    </row>
    <row r="21" spans="1:13">
      <c r="A21" s="198" t="s">
        <v>9480</v>
      </c>
      <c r="B21" s="198" t="s">
        <v>9503</v>
      </c>
      <c r="C21" s="198" t="s">
        <v>9482</v>
      </c>
      <c r="D21" s="198" t="s">
        <v>9504</v>
      </c>
      <c r="E21" s="198" t="s">
        <v>99</v>
      </c>
      <c r="F21" s="198" t="s">
        <v>21</v>
      </c>
      <c r="G21" s="199" t="s">
        <v>70</v>
      </c>
      <c r="H21" s="199" t="s">
        <v>26</v>
      </c>
      <c r="I21" s="199" t="s">
        <v>166</v>
      </c>
      <c r="J21" s="200" t="s">
        <v>516</v>
      </c>
      <c r="K21" s="245">
        <v>1400000</v>
      </c>
      <c r="L21" s="201" t="s">
        <v>2057</v>
      </c>
      <c r="M21" s="201" t="s">
        <v>14</v>
      </c>
    </row>
    <row r="22" spans="1:13">
      <c r="A22" s="198" t="s">
        <v>9480</v>
      </c>
      <c r="B22" s="198" t="s">
        <v>9505</v>
      </c>
      <c r="C22" s="198" t="s">
        <v>9482</v>
      </c>
      <c r="D22" s="198" t="s">
        <v>9504</v>
      </c>
      <c r="E22" s="198" t="s">
        <v>99</v>
      </c>
      <c r="F22" s="198" t="s">
        <v>21</v>
      </c>
      <c r="G22" s="199" t="s">
        <v>70</v>
      </c>
      <c r="H22" s="199" t="s">
        <v>42</v>
      </c>
      <c r="I22" s="199" t="s">
        <v>166</v>
      </c>
      <c r="J22" s="200" t="s">
        <v>516</v>
      </c>
      <c r="K22" s="245">
        <v>2200000</v>
      </c>
      <c r="L22" s="201" t="s">
        <v>2057</v>
      </c>
      <c r="M22" s="201" t="s">
        <v>14</v>
      </c>
    </row>
    <row r="23" spans="1:13">
      <c r="A23" s="198" t="s">
        <v>9480</v>
      </c>
      <c r="B23" s="198" t="s">
        <v>9506</v>
      </c>
      <c r="C23" s="198" t="s">
        <v>9482</v>
      </c>
      <c r="D23" s="198" t="s">
        <v>9504</v>
      </c>
      <c r="E23" s="198" t="s">
        <v>99</v>
      </c>
      <c r="F23" s="198" t="s">
        <v>21</v>
      </c>
      <c r="G23" s="199" t="s">
        <v>74</v>
      </c>
      <c r="H23" s="199" t="s">
        <v>26</v>
      </c>
      <c r="I23" s="199" t="s">
        <v>166</v>
      </c>
      <c r="J23" s="200" t="s">
        <v>516</v>
      </c>
      <c r="K23" s="245">
        <v>1750000</v>
      </c>
      <c r="L23" s="201" t="s">
        <v>2057</v>
      </c>
      <c r="M23" s="201" t="s">
        <v>14</v>
      </c>
    </row>
    <row r="24" spans="1:13">
      <c r="A24" s="198" t="s">
        <v>9480</v>
      </c>
      <c r="B24" s="198" t="s">
        <v>9507</v>
      </c>
      <c r="C24" s="198" t="s">
        <v>9482</v>
      </c>
      <c r="D24" s="198" t="s">
        <v>9504</v>
      </c>
      <c r="E24" s="198" t="s">
        <v>99</v>
      </c>
      <c r="F24" s="198" t="s">
        <v>21</v>
      </c>
      <c r="G24" s="199" t="s">
        <v>74</v>
      </c>
      <c r="H24" s="199" t="s">
        <v>42</v>
      </c>
      <c r="I24" s="199" t="s">
        <v>166</v>
      </c>
      <c r="J24" s="200" t="s">
        <v>516</v>
      </c>
      <c r="K24" s="245">
        <v>3300000</v>
      </c>
      <c r="L24" s="201" t="s">
        <v>2057</v>
      </c>
      <c r="M24" s="201" t="s">
        <v>14</v>
      </c>
    </row>
    <row r="25" spans="1:13">
      <c r="A25" s="198" t="s">
        <v>9480</v>
      </c>
      <c r="B25" s="198" t="s">
        <v>9508</v>
      </c>
      <c r="C25" s="198" t="s">
        <v>9482</v>
      </c>
      <c r="D25" s="198" t="s">
        <v>9504</v>
      </c>
      <c r="E25" s="198" t="s">
        <v>99</v>
      </c>
      <c r="F25" s="198" t="s">
        <v>21</v>
      </c>
      <c r="G25" s="199" t="s">
        <v>72</v>
      </c>
      <c r="H25" s="199" t="s">
        <v>26</v>
      </c>
      <c r="I25" s="199" t="s">
        <v>166</v>
      </c>
      <c r="J25" s="200" t="s">
        <v>516</v>
      </c>
      <c r="K25" s="245">
        <v>2300000</v>
      </c>
      <c r="L25" s="201" t="s">
        <v>2057</v>
      </c>
      <c r="M25" s="201" t="s">
        <v>14</v>
      </c>
    </row>
    <row r="26" spans="1:13">
      <c r="A26" s="198" t="s">
        <v>9480</v>
      </c>
      <c r="B26" s="198" t="s">
        <v>9509</v>
      </c>
      <c r="C26" s="198" t="s">
        <v>9482</v>
      </c>
      <c r="D26" s="198" t="s">
        <v>9504</v>
      </c>
      <c r="E26" s="198" t="s">
        <v>99</v>
      </c>
      <c r="F26" s="198" t="s">
        <v>21</v>
      </c>
      <c r="G26" s="199" t="s">
        <v>72</v>
      </c>
      <c r="H26" s="199" t="s">
        <v>42</v>
      </c>
      <c r="I26" s="199" t="s">
        <v>166</v>
      </c>
      <c r="J26" s="200" t="s">
        <v>516</v>
      </c>
      <c r="K26" s="245">
        <v>4900000</v>
      </c>
      <c r="L26" s="201" t="s">
        <v>2057</v>
      </c>
      <c r="M26" s="201" t="s">
        <v>14</v>
      </c>
    </row>
    <row r="27" spans="1:13">
      <c r="A27" s="198" t="s">
        <v>9480</v>
      </c>
      <c r="B27" s="198" t="s">
        <v>9510</v>
      </c>
      <c r="C27" s="198" t="s">
        <v>9482</v>
      </c>
      <c r="D27" s="198" t="s">
        <v>9511</v>
      </c>
      <c r="E27" s="198" t="s">
        <v>29</v>
      </c>
      <c r="F27" s="198" t="s">
        <v>21</v>
      </c>
      <c r="G27" s="199" t="s">
        <v>70</v>
      </c>
      <c r="H27" s="199" t="s">
        <v>26</v>
      </c>
      <c r="I27" s="199" t="s">
        <v>167</v>
      </c>
      <c r="J27" s="200" t="s">
        <v>9512</v>
      </c>
      <c r="K27" s="245">
        <v>98000</v>
      </c>
      <c r="L27" s="201" t="s">
        <v>2057</v>
      </c>
      <c r="M27" s="201" t="s">
        <v>14</v>
      </c>
    </row>
    <row r="28" spans="1:13">
      <c r="A28" s="198" t="s">
        <v>9480</v>
      </c>
      <c r="B28" s="198" t="s">
        <v>9513</v>
      </c>
      <c r="C28" s="198" t="s">
        <v>9482</v>
      </c>
      <c r="D28" s="198" t="s">
        <v>9511</v>
      </c>
      <c r="E28" s="198" t="s">
        <v>29</v>
      </c>
      <c r="F28" s="198" t="s">
        <v>21</v>
      </c>
      <c r="G28" s="199" t="s">
        <v>70</v>
      </c>
      <c r="H28" s="199" t="s">
        <v>42</v>
      </c>
      <c r="I28" s="199" t="s">
        <v>167</v>
      </c>
      <c r="J28" s="200" t="s">
        <v>9512</v>
      </c>
      <c r="K28" s="245">
        <v>139000</v>
      </c>
      <c r="L28" s="201" t="s">
        <v>2057</v>
      </c>
      <c r="M28" s="201" t="s">
        <v>14</v>
      </c>
    </row>
    <row r="29" spans="1:13">
      <c r="A29" s="198" t="s">
        <v>9480</v>
      </c>
      <c r="B29" s="198" t="s">
        <v>9514</v>
      </c>
      <c r="C29" s="198" t="s">
        <v>9482</v>
      </c>
      <c r="D29" s="198" t="s">
        <v>9511</v>
      </c>
      <c r="E29" s="198" t="s">
        <v>29</v>
      </c>
      <c r="F29" s="198" t="s">
        <v>21</v>
      </c>
      <c r="G29" s="199" t="s">
        <v>74</v>
      </c>
      <c r="H29" s="199" t="s">
        <v>26</v>
      </c>
      <c r="I29" s="199" t="s">
        <v>167</v>
      </c>
      <c r="J29" s="200" t="s">
        <v>9512</v>
      </c>
      <c r="K29" s="245">
        <v>118000</v>
      </c>
      <c r="L29" s="201" t="s">
        <v>2057</v>
      </c>
      <c r="M29" s="201" t="s">
        <v>14</v>
      </c>
    </row>
    <row r="30" spans="1:13">
      <c r="A30" s="198" t="s">
        <v>9480</v>
      </c>
      <c r="B30" s="198" t="s">
        <v>9515</v>
      </c>
      <c r="C30" s="198" t="s">
        <v>9482</v>
      </c>
      <c r="D30" s="198" t="s">
        <v>9511</v>
      </c>
      <c r="E30" s="198" t="s">
        <v>29</v>
      </c>
      <c r="F30" s="198" t="s">
        <v>21</v>
      </c>
      <c r="G30" s="199" t="s">
        <v>74</v>
      </c>
      <c r="H30" s="199" t="s">
        <v>42</v>
      </c>
      <c r="I30" s="199" t="s">
        <v>167</v>
      </c>
      <c r="J30" s="200" t="s">
        <v>9512</v>
      </c>
      <c r="K30" s="245">
        <v>212000</v>
      </c>
      <c r="L30" s="201" t="s">
        <v>2057</v>
      </c>
      <c r="M30" s="201" t="s">
        <v>14</v>
      </c>
    </row>
    <row r="31" spans="1:13">
      <c r="A31" s="198" t="s">
        <v>9480</v>
      </c>
      <c r="B31" s="198" t="s">
        <v>9516</v>
      </c>
      <c r="C31" s="198" t="s">
        <v>9482</v>
      </c>
      <c r="D31" s="198" t="s">
        <v>9511</v>
      </c>
      <c r="E31" s="198" t="s">
        <v>29</v>
      </c>
      <c r="F31" s="198" t="s">
        <v>21</v>
      </c>
      <c r="G31" s="199" t="s">
        <v>72</v>
      </c>
      <c r="H31" s="199" t="s">
        <v>26</v>
      </c>
      <c r="I31" s="199" t="s">
        <v>167</v>
      </c>
      <c r="J31" s="200" t="s">
        <v>9512</v>
      </c>
      <c r="K31" s="245">
        <v>175000</v>
      </c>
      <c r="L31" s="201" t="s">
        <v>2057</v>
      </c>
      <c r="M31" s="201" t="s">
        <v>14</v>
      </c>
    </row>
    <row r="32" spans="1:13">
      <c r="A32" s="198" t="s">
        <v>9480</v>
      </c>
      <c r="B32" s="198" t="s">
        <v>9517</v>
      </c>
      <c r="C32" s="198" t="s">
        <v>9482</v>
      </c>
      <c r="D32" s="198" t="s">
        <v>9511</v>
      </c>
      <c r="E32" s="198" t="s">
        <v>29</v>
      </c>
      <c r="F32" s="198" t="s">
        <v>21</v>
      </c>
      <c r="G32" s="199" t="s">
        <v>72</v>
      </c>
      <c r="H32" s="199" t="s">
        <v>42</v>
      </c>
      <c r="I32" s="199" t="s">
        <v>167</v>
      </c>
      <c r="J32" s="200" t="s">
        <v>9512</v>
      </c>
      <c r="K32" s="245">
        <v>302000</v>
      </c>
      <c r="L32" s="201" t="s">
        <v>2057</v>
      </c>
      <c r="M32" s="201" t="s">
        <v>14</v>
      </c>
    </row>
    <row r="33" spans="1:13">
      <c r="A33" s="198" t="s">
        <v>9480</v>
      </c>
      <c r="B33" s="198" t="s">
        <v>9518</v>
      </c>
      <c r="C33" s="198" t="s">
        <v>9482</v>
      </c>
      <c r="D33" s="198" t="s">
        <v>9519</v>
      </c>
      <c r="E33" s="198" t="s">
        <v>128</v>
      </c>
      <c r="F33" s="198" t="s">
        <v>21</v>
      </c>
      <c r="G33" s="199" t="s">
        <v>70</v>
      </c>
      <c r="H33" s="199" t="s">
        <v>42</v>
      </c>
      <c r="I33" s="199" t="s">
        <v>167</v>
      </c>
      <c r="J33" s="200" t="s">
        <v>1443</v>
      </c>
      <c r="K33" s="245">
        <v>11700000</v>
      </c>
      <c r="L33" s="201" t="s">
        <v>2057</v>
      </c>
      <c r="M33" s="201" t="s">
        <v>14</v>
      </c>
    </row>
    <row r="34" spans="1:13">
      <c r="A34" s="198" t="s">
        <v>9480</v>
      </c>
      <c r="B34" s="198" t="s">
        <v>9520</v>
      </c>
      <c r="C34" s="198" t="s">
        <v>9482</v>
      </c>
      <c r="D34" s="198" t="s">
        <v>9519</v>
      </c>
      <c r="E34" s="198" t="s">
        <v>128</v>
      </c>
      <c r="F34" s="198" t="s">
        <v>21</v>
      </c>
      <c r="G34" s="199" t="s">
        <v>74</v>
      </c>
      <c r="H34" s="199" t="s">
        <v>42</v>
      </c>
      <c r="I34" s="199" t="s">
        <v>167</v>
      </c>
      <c r="J34" s="200" t="s">
        <v>1443</v>
      </c>
      <c r="K34" s="245">
        <v>14200000</v>
      </c>
      <c r="L34" s="201" t="s">
        <v>2057</v>
      </c>
      <c r="M34" s="201" t="s">
        <v>14</v>
      </c>
    </row>
    <row r="35" spans="1:13">
      <c r="A35" s="198" t="s">
        <v>9480</v>
      </c>
      <c r="B35" s="198" t="s">
        <v>9521</v>
      </c>
      <c r="C35" s="198" t="s">
        <v>9482</v>
      </c>
      <c r="D35" s="198" t="s">
        <v>9519</v>
      </c>
      <c r="E35" s="198" t="s">
        <v>128</v>
      </c>
      <c r="F35" s="198" t="s">
        <v>21</v>
      </c>
      <c r="G35" s="199" t="s">
        <v>72</v>
      </c>
      <c r="H35" s="199" t="s">
        <v>42</v>
      </c>
      <c r="I35" s="199" t="s">
        <v>167</v>
      </c>
      <c r="J35" s="200" t="s">
        <v>1443</v>
      </c>
      <c r="K35" s="245">
        <v>19800000</v>
      </c>
      <c r="L35" s="201" t="s">
        <v>2057</v>
      </c>
      <c r="M35" s="201" t="s">
        <v>14</v>
      </c>
    </row>
    <row r="36" spans="1:13">
      <c r="A36" s="198" t="s">
        <v>9480</v>
      </c>
      <c r="B36" s="198" t="s">
        <v>9522</v>
      </c>
      <c r="C36" s="198" t="s">
        <v>9482</v>
      </c>
      <c r="D36" s="198" t="s">
        <v>9523</v>
      </c>
      <c r="E36" s="198" t="s">
        <v>19</v>
      </c>
      <c r="F36" s="198" t="s">
        <v>21</v>
      </c>
      <c r="G36" s="199" t="s">
        <v>70</v>
      </c>
      <c r="H36" s="199" t="s">
        <v>26</v>
      </c>
      <c r="I36" s="199" t="s">
        <v>436</v>
      </c>
      <c r="J36" s="200" t="s">
        <v>9524</v>
      </c>
      <c r="K36" s="245">
        <v>90000</v>
      </c>
      <c r="L36" s="201" t="s">
        <v>173</v>
      </c>
      <c r="M36" s="201" t="s">
        <v>14</v>
      </c>
    </row>
    <row r="37" spans="1:13">
      <c r="A37" s="198" t="s">
        <v>9480</v>
      </c>
      <c r="B37" s="198" t="s">
        <v>9525</v>
      </c>
      <c r="C37" s="198" t="s">
        <v>9482</v>
      </c>
      <c r="D37" s="198" t="s">
        <v>9523</v>
      </c>
      <c r="E37" s="198" t="s">
        <v>19</v>
      </c>
      <c r="F37" s="198" t="s">
        <v>21</v>
      </c>
      <c r="G37" s="199" t="s">
        <v>70</v>
      </c>
      <c r="H37" s="199" t="s">
        <v>42</v>
      </c>
      <c r="I37" s="199" t="s">
        <v>436</v>
      </c>
      <c r="J37" s="200" t="s">
        <v>9524</v>
      </c>
      <c r="K37" s="245">
        <v>130000</v>
      </c>
      <c r="L37" s="201" t="s">
        <v>173</v>
      </c>
      <c r="M37" s="201" t="s">
        <v>14</v>
      </c>
    </row>
    <row r="38" spans="1:13">
      <c r="A38" s="198" t="s">
        <v>9480</v>
      </c>
      <c r="B38" s="198" t="s">
        <v>9526</v>
      </c>
      <c r="C38" s="198" t="s">
        <v>9482</v>
      </c>
      <c r="D38" s="198" t="s">
        <v>9523</v>
      </c>
      <c r="E38" s="198" t="s">
        <v>19</v>
      </c>
      <c r="F38" s="198" t="s">
        <v>21</v>
      </c>
      <c r="G38" s="199" t="s">
        <v>74</v>
      </c>
      <c r="H38" s="199" t="s">
        <v>26</v>
      </c>
      <c r="I38" s="199" t="s">
        <v>436</v>
      </c>
      <c r="J38" s="200" t="s">
        <v>9524</v>
      </c>
      <c r="K38" s="245">
        <v>160000</v>
      </c>
      <c r="L38" s="201" t="s">
        <v>173</v>
      </c>
      <c r="M38" s="201" t="s">
        <v>14</v>
      </c>
    </row>
    <row r="39" spans="1:13">
      <c r="A39" s="198" t="s">
        <v>9480</v>
      </c>
      <c r="B39" s="198" t="s">
        <v>9527</v>
      </c>
      <c r="C39" s="198" t="s">
        <v>9482</v>
      </c>
      <c r="D39" s="198" t="s">
        <v>9523</v>
      </c>
      <c r="E39" s="198" t="s">
        <v>19</v>
      </c>
      <c r="F39" s="198" t="s">
        <v>21</v>
      </c>
      <c r="G39" s="199" t="s">
        <v>74</v>
      </c>
      <c r="H39" s="199" t="s">
        <v>42</v>
      </c>
      <c r="I39" s="199" t="s">
        <v>436</v>
      </c>
      <c r="J39" s="200" t="s">
        <v>9524</v>
      </c>
      <c r="K39" s="245">
        <v>190000</v>
      </c>
      <c r="L39" s="201" t="s">
        <v>173</v>
      </c>
      <c r="M39" s="201" t="s">
        <v>14</v>
      </c>
    </row>
    <row r="40" spans="1:13">
      <c r="A40" s="198" t="s">
        <v>9480</v>
      </c>
      <c r="B40" s="198" t="s">
        <v>9528</v>
      </c>
      <c r="C40" s="198" t="s">
        <v>9482</v>
      </c>
      <c r="D40" s="198" t="s">
        <v>9523</v>
      </c>
      <c r="E40" s="198" t="s">
        <v>19</v>
      </c>
      <c r="F40" s="198" t="s">
        <v>21</v>
      </c>
      <c r="G40" s="199" t="s">
        <v>72</v>
      </c>
      <c r="H40" s="199" t="s">
        <v>26</v>
      </c>
      <c r="I40" s="199" t="s">
        <v>436</v>
      </c>
      <c r="J40" s="200" t="s">
        <v>9524</v>
      </c>
      <c r="K40" s="245">
        <v>210000</v>
      </c>
      <c r="L40" s="201" t="s">
        <v>173</v>
      </c>
      <c r="M40" s="201" t="s">
        <v>14</v>
      </c>
    </row>
    <row r="41" spans="1:13">
      <c r="A41" s="198" t="s">
        <v>9480</v>
      </c>
      <c r="B41" s="198" t="s">
        <v>9529</v>
      </c>
      <c r="C41" s="198" t="s">
        <v>9482</v>
      </c>
      <c r="D41" s="198" t="s">
        <v>9523</v>
      </c>
      <c r="E41" s="198" t="s">
        <v>19</v>
      </c>
      <c r="F41" s="198" t="s">
        <v>21</v>
      </c>
      <c r="G41" s="199" t="s">
        <v>72</v>
      </c>
      <c r="H41" s="199" t="s">
        <v>42</v>
      </c>
      <c r="I41" s="199" t="s">
        <v>436</v>
      </c>
      <c r="J41" s="200" t="s">
        <v>9524</v>
      </c>
      <c r="K41" s="245">
        <v>240000</v>
      </c>
      <c r="L41" s="201" t="s">
        <v>173</v>
      </c>
      <c r="M41" s="201" t="s">
        <v>14</v>
      </c>
    </row>
    <row r="42" spans="1:13">
      <c r="A42" s="198" t="s">
        <v>9480</v>
      </c>
      <c r="B42" s="198" t="s">
        <v>9530</v>
      </c>
      <c r="C42" s="198" t="s">
        <v>9482</v>
      </c>
      <c r="D42" s="198" t="s">
        <v>9531</v>
      </c>
      <c r="E42" s="198" t="s">
        <v>141</v>
      </c>
      <c r="F42" s="198" t="s">
        <v>21</v>
      </c>
      <c r="G42" s="199" t="s">
        <v>70</v>
      </c>
      <c r="H42" s="199" t="s">
        <v>26</v>
      </c>
      <c r="I42" s="199" t="s">
        <v>167</v>
      </c>
      <c r="J42" s="200" t="s">
        <v>9532</v>
      </c>
      <c r="K42" s="245">
        <v>750000</v>
      </c>
      <c r="L42" s="201" t="s">
        <v>2057</v>
      </c>
      <c r="M42" s="201" t="s">
        <v>14</v>
      </c>
    </row>
    <row r="43" spans="1:13">
      <c r="A43" s="198" t="s">
        <v>9480</v>
      </c>
      <c r="B43" s="198" t="s">
        <v>9533</v>
      </c>
      <c r="C43" s="198" t="s">
        <v>9482</v>
      </c>
      <c r="D43" s="198" t="s">
        <v>9531</v>
      </c>
      <c r="E43" s="198" t="s">
        <v>141</v>
      </c>
      <c r="F43" s="198" t="s">
        <v>21</v>
      </c>
      <c r="G43" s="199" t="s">
        <v>70</v>
      </c>
      <c r="H43" s="199" t="s">
        <v>42</v>
      </c>
      <c r="I43" s="199" t="s">
        <v>167</v>
      </c>
      <c r="J43" s="200" t="s">
        <v>9532</v>
      </c>
      <c r="K43" s="245">
        <v>1150000</v>
      </c>
      <c r="L43" s="201" t="s">
        <v>2057</v>
      </c>
      <c r="M43" s="201" t="s">
        <v>14</v>
      </c>
    </row>
    <row r="44" spans="1:13">
      <c r="A44" s="198" t="s">
        <v>9480</v>
      </c>
      <c r="B44" s="198" t="s">
        <v>9534</v>
      </c>
      <c r="C44" s="198" t="s">
        <v>9482</v>
      </c>
      <c r="D44" s="198" t="s">
        <v>9531</v>
      </c>
      <c r="E44" s="198" t="s">
        <v>141</v>
      </c>
      <c r="F44" s="198" t="s">
        <v>21</v>
      </c>
      <c r="G44" s="199" t="s">
        <v>74</v>
      </c>
      <c r="H44" s="199" t="s">
        <v>26</v>
      </c>
      <c r="I44" s="199" t="s">
        <v>167</v>
      </c>
      <c r="J44" s="200" t="s">
        <v>9532</v>
      </c>
      <c r="K44" s="245">
        <v>950000</v>
      </c>
      <c r="L44" s="201" t="s">
        <v>2057</v>
      </c>
      <c r="M44" s="201" t="s">
        <v>14</v>
      </c>
    </row>
    <row r="45" spans="1:13">
      <c r="A45" s="198" t="s">
        <v>9480</v>
      </c>
      <c r="B45" s="198" t="s">
        <v>9535</v>
      </c>
      <c r="C45" s="198" t="s">
        <v>9482</v>
      </c>
      <c r="D45" s="198" t="s">
        <v>9531</v>
      </c>
      <c r="E45" s="198" t="s">
        <v>141</v>
      </c>
      <c r="F45" s="198" t="s">
        <v>21</v>
      </c>
      <c r="G45" s="199" t="s">
        <v>74</v>
      </c>
      <c r="H45" s="199" t="s">
        <v>42</v>
      </c>
      <c r="I45" s="199" t="s">
        <v>167</v>
      </c>
      <c r="J45" s="200" t="s">
        <v>9532</v>
      </c>
      <c r="K45" s="245">
        <v>1720000</v>
      </c>
      <c r="L45" s="201" t="s">
        <v>2057</v>
      </c>
      <c r="M45" s="201" t="s">
        <v>14</v>
      </c>
    </row>
    <row r="46" spans="1:13">
      <c r="A46" s="198" t="s">
        <v>9480</v>
      </c>
      <c r="B46" s="198" t="s">
        <v>9536</v>
      </c>
      <c r="C46" s="198" t="s">
        <v>9482</v>
      </c>
      <c r="D46" s="198" t="s">
        <v>9531</v>
      </c>
      <c r="E46" s="198" t="s">
        <v>141</v>
      </c>
      <c r="F46" s="198" t="s">
        <v>21</v>
      </c>
      <c r="G46" s="199" t="s">
        <v>72</v>
      </c>
      <c r="H46" s="199" t="s">
        <v>26</v>
      </c>
      <c r="I46" s="199" t="s">
        <v>167</v>
      </c>
      <c r="J46" s="200" t="s">
        <v>9532</v>
      </c>
      <c r="K46" s="245">
        <v>1140000</v>
      </c>
      <c r="L46" s="201" t="s">
        <v>2057</v>
      </c>
      <c r="M46" s="201" t="s">
        <v>14</v>
      </c>
    </row>
    <row r="47" spans="1:13">
      <c r="A47" s="198" t="s">
        <v>9480</v>
      </c>
      <c r="B47" s="198" t="s">
        <v>9537</v>
      </c>
      <c r="C47" s="198" t="s">
        <v>9482</v>
      </c>
      <c r="D47" s="198" t="s">
        <v>9531</v>
      </c>
      <c r="E47" s="198" t="s">
        <v>141</v>
      </c>
      <c r="F47" s="198" t="s">
        <v>21</v>
      </c>
      <c r="G47" s="199" t="s">
        <v>72</v>
      </c>
      <c r="H47" s="199" t="s">
        <v>42</v>
      </c>
      <c r="I47" s="199" t="s">
        <v>167</v>
      </c>
      <c r="J47" s="200" t="s">
        <v>9532</v>
      </c>
      <c r="K47" s="245">
        <v>2590000</v>
      </c>
      <c r="L47" s="201" t="s">
        <v>2057</v>
      </c>
      <c r="M47" s="201" t="s">
        <v>14</v>
      </c>
    </row>
    <row r="48" spans="1:13">
      <c r="A48" s="198" t="s">
        <v>9480</v>
      </c>
      <c r="B48" s="198" t="s">
        <v>9538</v>
      </c>
      <c r="C48" s="198" t="s">
        <v>9482</v>
      </c>
      <c r="D48" s="198" t="s">
        <v>9539</v>
      </c>
      <c r="E48" s="198" t="s">
        <v>128</v>
      </c>
      <c r="F48" s="198" t="s">
        <v>21</v>
      </c>
      <c r="G48" s="199" t="s">
        <v>70</v>
      </c>
      <c r="H48" s="199" t="s">
        <v>42</v>
      </c>
      <c r="I48" s="199" t="s">
        <v>436</v>
      </c>
      <c r="J48" s="200" t="s">
        <v>9512</v>
      </c>
      <c r="K48" s="245">
        <v>6350000</v>
      </c>
      <c r="L48" s="201" t="s">
        <v>2057</v>
      </c>
      <c r="M48" s="201" t="s">
        <v>14</v>
      </c>
    </row>
    <row r="49" spans="1:13">
      <c r="A49" s="198" t="s">
        <v>9480</v>
      </c>
      <c r="B49" s="198" t="s">
        <v>9540</v>
      </c>
      <c r="C49" s="198" t="s">
        <v>9482</v>
      </c>
      <c r="D49" s="198" t="s">
        <v>9539</v>
      </c>
      <c r="E49" s="198" t="s">
        <v>128</v>
      </c>
      <c r="F49" s="198" t="s">
        <v>21</v>
      </c>
      <c r="G49" s="199" t="s">
        <v>74</v>
      </c>
      <c r="H49" s="199" t="s">
        <v>42</v>
      </c>
      <c r="I49" s="199" t="s">
        <v>436</v>
      </c>
      <c r="J49" s="200" t="s">
        <v>9512</v>
      </c>
      <c r="K49" s="245">
        <v>9590000</v>
      </c>
      <c r="L49" s="201" t="s">
        <v>2057</v>
      </c>
      <c r="M49" s="201" t="s">
        <v>14</v>
      </c>
    </row>
    <row r="50" spans="1:13">
      <c r="A50" s="198" t="s">
        <v>9480</v>
      </c>
      <c r="B50" s="198" t="s">
        <v>9541</v>
      </c>
      <c r="C50" s="198" t="s">
        <v>9482</v>
      </c>
      <c r="D50" s="198" t="s">
        <v>9539</v>
      </c>
      <c r="E50" s="198" t="s">
        <v>128</v>
      </c>
      <c r="F50" s="198" t="s">
        <v>21</v>
      </c>
      <c r="G50" s="199" t="s">
        <v>72</v>
      </c>
      <c r="H50" s="199" t="s">
        <v>42</v>
      </c>
      <c r="I50" s="199" t="s">
        <v>436</v>
      </c>
      <c r="J50" s="200" t="s">
        <v>9512</v>
      </c>
      <c r="K50" s="245">
        <v>14400000</v>
      </c>
      <c r="L50" s="201" t="s">
        <v>2057</v>
      </c>
      <c r="M50" s="201" t="s">
        <v>14</v>
      </c>
    </row>
    <row r="51" spans="1:13">
      <c r="A51" s="198" t="s">
        <v>9480</v>
      </c>
      <c r="B51" s="198" t="s">
        <v>9542</v>
      </c>
      <c r="C51" s="198" t="s">
        <v>9482</v>
      </c>
      <c r="D51" s="198" t="s">
        <v>9543</v>
      </c>
      <c r="E51" s="198" t="s">
        <v>29</v>
      </c>
      <c r="F51" s="198" t="s">
        <v>21</v>
      </c>
      <c r="G51" s="199" t="s">
        <v>74</v>
      </c>
      <c r="H51" s="199" t="s">
        <v>26</v>
      </c>
      <c r="I51" s="199" t="s">
        <v>436</v>
      </c>
      <c r="J51" s="200" t="s">
        <v>9512</v>
      </c>
      <c r="K51" s="245">
        <v>140000</v>
      </c>
      <c r="L51" s="201" t="s">
        <v>2057</v>
      </c>
      <c r="M51" s="201" t="s">
        <v>14</v>
      </c>
    </row>
    <row r="52" spans="1:13">
      <c r="A52" s="198" t="s">
        <v>9480</v>
      </c>
      <c r="B52" s="198" t="s">
        <v>9544</v>
      </c>
      <c r="C52" s="198" t="s">
        <v>9482</v>
      </c>
      <c r="D52" s="198" t="s">
        <v>9543</v>
      </c>
      <c r="E52" s="198" t="s">
        <v>29</v>
      </c>
      <c r="F52" s="198" t="s">
        <v>21</v>
      </c>
      <c r="G52" s="199" t="s">
        <v>74</v>
      </c>
      <c r="H52" s="199" t="s">
        <v>42</v>
      </c>
      <c r="I52" s="199" t="s">
        <v>436</v>
      </c>
      <c r="J52" s="200" t="s">
        <v>9512</v>
      </c>
      <c r="K52" s="245">
        <v>260000</v>
      </c>
      <c r="L52" s="201" t="s">
        <v>2057</v>
      </c>
      <c r="M52" s="201" t="s">
        <v>14</v>
      </c>
    </row>
    <row r="53" spans="1:13">
      <c r="A53" s="198" t="s">
        <v>9480</v>
      </c>
      <c r="B53" s="198" t="s">
        <v>9545</v>
      </c>
      <c r="C53" s="198" t="s">
        <v>9482</v>
      </c>
      <c r="D53" s="198" t="s">
        <v>9543</v>
      </c>
      <c r="E53" s="198" t="s">
        <v>29</v>
      </c>
      <c r="F53" s="198" t="s">
        <v>21</v>
      </c>
      <c r="G53" s="199" t="s">
        <v>70</v>
      </c>
      <c r="H53" s="199" t="s">
        <v>26</v>
      </c>
      <c r="I53" s="199" t="s">
        <v>436</v>
      </c>
      <c r="J53" s="200" t="s">
        <v>9512</v>
      </c>
      <c r="K53" s="245">
        <v>117000</v>
      </c>
      <c r="L53" s="201" t="s">
        <v>2057</v>
      </c>
      <c r="M53" s="201" t="s">
        <v>14</v>
      </c>
    </row>
    <row r="54" spans="1:13">
      <c r="A54" s="198" t="s">
        <v>9480</v>
      </c>
      <c r="B54" s="198" t="s">
        <v>9546</v>
      </c>
      <c r="C54" s="198" t="s">
        <v>9482</v>
      </c>
      <c r="D54" s="198" t="s">
        <v>9543</v>
      </c>
      <c r="E54" s="198" t="s">
        <v>29</v>
      </c>
      <c r="F54" s="198" t="s">
        <v>21</v>
      </c>
      <c r="G54" s="199" t="s">
        <v>72</v>
      </c>
      <c r="H54" s="199" t="s">
        <v>26</v>
      </c>
      <c r="I54" s="199" t="s">
        <v>436</v>
      </c>
      <c r="J54" s="200" t="s">
        <v>9512</v>
      </c>
      <c r="K54" s="245">
        <v>180000</v>
      </c>
      <c r="L54" s="201" t="s">
        <v>2057</v>
      </c>
      <c r="M54" s="201" t="s">
        <v>14</v>
      </c>
    </row>
    <row r="55" spans="1:13">
      <c r="A55" s="198" t="s">
        <v>9480</v>
      </c>
      <c r="B55" s="198" t="s">
        <v>9547</v>
      </c>
      <c r="C55" s="198" t="s">
        <v>9482</v>
      </c>
      <c r="D55" s="198" t="s">
        <v>9543</v>
      </c>
      <c r="E55" s="198" t="s">
        <v>29</v>
      </c>
      <c r="F55" s="198" t="s">
        <v>21</v>
      </c>
      <c r="G55" s="199" t="s">
        <v>72</v>
      </c>
      <c r="H55" s="199" t="s">
        <v>42</v>
      </c>
      <c r="I55" s="199" t="s">
        <v>436</v>
      </c>
      <c r="J55" s="200" t="s">
        <v>9512</v>
      </c>
      <c r="K55" s="245">
        <v>390000</v>
      </c>
      <c r="L55" s="201" t="s">
        <v>2057</v>
      </c>
      <c r="M55" s="201" t="s">
        <v>14</v>
      </c>
    </row>
    <row r="56" spans="1:13">
      <c r="A56" s="198" t="s">
        <v>9480</v>
      </c>
      <c r="B56" s="198" t="s">
        <v>9548</v>
      </c>
      <c r="C56" s="198" t="s">
        <v>9482</v>
      </c>
      <c r="D56" s="198" t="s">
        <v>9543</v>
      </c>
      <c r="E56" s="198" t="s">
        <v>29</v>
      </c>
      <c r="F56" s="198" t="s">
        <v>21</v>
      </c>
      <c r="G56" s="199" t="s">
        <v>70</v>
      </c>
      <c r="H56" s="199" t="s">
        <v>42</v>
      </c>
      <c r="I56" s="199" t="s">
        <v>436</v>
      </c>
      <c r="J56" s="200" t="s">
        <v>9512</v>
      </c>
      <c r="K56" s="245">
        <v>170000</v>
      </c>
      <c r="L56" s="201" t="s">
        <v>2057</v>
      </c>
      <c r="M56" s="201" t="s">
        <v>14</v>
      </c>
    </row>
    <row r="57" spans="1:13">
      <c r="A57" s="198" t="s">
        <v>9480</v>
      </c>
      <c r="B57" s="198" t="s">
        <v>9549</v>
      </c>
      <c r="C57" s="198" t="s">
        <v>9482</v>
      </c>
      <c r="D57" s="198" t="s">
        <v>9550</v>
      </c>
      <c r="E57" s="198" t="s">
        <v>29</v>
      </c>
      <c r="F57" s="198" t="s">
        <v>21</v>
      </c>
      <c r="G57" s="199" t="s">
        <v>70</v>
      </c>
      <c r="H57" s="199" t="s">
        <v>42</v>
      </c>
      <c r="I57" s="199" t="s">
        <v>436</v>
      </c>
      <c r="J57" s="200" t="s">
        <v>9512</v>
      </c>
      <c r="K57" s="245">
        <v>350000</v>
      </c>
      <c r="L57" s="201" t="s">
        <v>2057</v>
      </c>
      <c r="M57" s="201" t="s">
        <v>14</v>
      </c>
    </row>
    <row r="58" spans="1:13">
      <c r="A58" s="198" t="s">
        <v>9480</v>
      </c>
      <c r="B58" s="198" t="s">
        <v>9551</v>
      </c>
      <c r="C58" s="198" t="s">
        <v>9482</v>
      </c>
      <c r="D58" s="198" t="s">
        <v>9550</v>
      </c>
      <c r="E58" s="198" t="s">
        <v>29</v>
      </c>
      <c r="F58" s="198" t="s">
        <v>21</v>
      </c>
      <c r="G58" s="199" t="s">
        <v>74</v>
      </c>
      <c r="H58" s="199" t="s">
        <v>26</v>
      </c>
      <c r="I58" s="199" t="s">
        <v>436</v>
      </c>
      <c r="J58" s="200" t="s">
        <v>9512</v>
      </c>
      <c r="K58" s="245">
        <v>290000</v>
      </c>
      <c r="L58" s="201" t="s">
        <v>2057</v>
      </c>
      <c r="M58" s="201" t="s">
        <v>14</v>
      </c>
    </row>
    <row r="59" spans="1:13">
      <c r="A59" s="198" t="s">
        <v>9480</v>
      </c>
      <c r="B59" s="198" t="s">
        <v>9552</v>
      </c>
      <c r="C59" s="198" t="s">
        <v>9482</v>
      </c>
      <c r="D59" s="198" t="s">
        <v>9550</v>
      </c>
      <c r="E59" s="198" t="s">
        <v>29</v>
      </c>
      <c r="F59" s="198" t="s">
        <v>21</v>
      </c>
      <c r="G59" s="199" t="s">
        <v>74</v>
      </c>
      <c r="H59" s="199" t="s">
        <v>42</v>
      </c>
      <c r="I59" s="199" t="s">
        <v>436</v>
      </c>
      <c r="J59" s="200" t="s">
        <v>9512</v>
      </c>
      <c r="K59" s="245">
        <v>510000</v>
      </c>
      <c r="L59" s="201" t="s">
        <v>2057</v>
      </c>
      <c r="M59" s="201" t="s">
        <v>14</v>
      </c>
    </row>
    <row r="60" spans="1:13">
      <c r="A60" s="198" t="s">
        <v>9480</v>
      </c>
      <c r="B60" s="198" t="s">
        <v>9553</v>
      </c>
      <c r="C60" s="198" t="s">
        <v>9482</v>
      </c>
      <c r="D60" s="198" t="s">
        <v>9550</v>
      </c>
      <c r="E60" s="198" t="s">
        <v>29</v>
      </c>
      <c r="F60" s="198" t="s">
        <v>21</v>
      </c>
      <c r="G60" s="199" t="s">
        <v>72</v>
      </c>
      <c r="H60" s="199" t="s">
        <v>26</v>
      </c>
      <c r="I60" s="199" t="s">
        <v>436</v>
      </c>
      <c r="J60" s="200" t="s">
        <v>9512</v>
      </c>
      <c r="K60" s="245">
        <v>350000</v>
      </c>
      <c r="L60" s="201" t="s">
        <v>2057</v>
      </c>
      <c r="M60" s="201" t="s">
        <v>14</v>
      </c>
    </row>
    <row r="61" spans="1:13">
      <c r="A61" s="198" t="s">
        <v>9480</v>
      </c>
      <c r="B61" s="198" t="s">
        <v>9554</v>
      </c>
      <c r="C61" s="198" t="s">
        <v>9482</v>
      </c>
      <c r="D61" s="198" t="s">
        <v>9550</v>
      </c>
      <c r="E61" s="198" t="s">
        <v>29</v>
      </c>
      <c r="F61" s="198" t="s">
        <v>21</v>
      </c>
      <c r="G61" s="199" t="s">
        <v>72</v>
      </c>
      <c r="H61" s="199" t="s">
        <v>42</v>
      </c>
      <c r="I61" s="199" t="s">
        <v>436</v>
      </c>
      <c r="J61" s="200" t="s">
        <v>9512</v>
      </c>
      <c r="K61" s="245">
        <v>790000</v>
      </c>
      <c r="L61" s="201" t="s">
        <v>2057</v>
      </c>
      <c r="M61" s="201" t="s">
        <v>14</v>
      </c>
    </row>
    <row r="62" spans="1:13">
      <c r="A62" s="198" t="s">
        <v>9480</v>
      </c>
      <c r="B62" s="198" t="s">
        <v>9555</v>
      </c>
      <c r="C62" s="198" t="s">
        <v>9482</v>
      </c>
      <c r="D62" s="198" t="s">
        <v>9550</v>
      </c>
      <c r="E62" s="198" t="s">
        <v>29</v>
      </c>
      <c r="F62" s="198" t="s">
        <v>21</v>
      </c>
      <c r="G62" s="199" t="s">
        <v>70</v>
      </c>
      <c r="H62" s="199" t="s">
        <v>26</v>
      </c>
      <c r="I62" s="199" t="s">
        <v>436</v>
      </c>
      <c r="J62" s="200" t="s">
        <v>9512</v>
      </c>
      <c r="K62" s="245">
        <v>230000</v>
      </c>
      <c r="L62" s="201" t="s">
        <v>2057</v>
      </c>
      <c r="M62" s="201" t="s">
        <v>14</v>
      </c>
    </row>
    <row r="63" spans="1:13">
      <c r="A63" s="198" t="s">
        <v>9480</v>
      </c>
      <c r="B63" s="198" t="s">
        <v>9556</v>
      </c>
      <c r="C63" s="198" t="s">
        <v>9482</v>
      </c>
      <c r="D63" s="198" t="s">
        <v>9557</v>
      </c>
      <c r="E63" s="198" t="s">
        <v>19</v>
      </c>
      <c r="F63" s="198" t="s">
        <v>21</v>
      </c>
      <c r="G63" s="199" t="s">
        <v>70</v>
      </c>
      <c r="H63" s="199" t="s">
        <v>26</v>
      </c>
      <c r="I63" s="199" t="s">
        <v>436</v>
      </c>
      <c r="J63" s="200" t="s">
        <v>9524</v>
      </c>
      <c r="K63" s="245">
        <v>90000</v>
      </c>
      <c r="L63" s="201" t="s">
        <v>173</v>
      </c>
      <c r="M63" s="201" t="s">
        <v>14</v>
      </c>
    </row>
    <row r="64" spans="1:13">
      <c r="A64" s="198" t="s">
        <v>9480</v>
      </c>
      <c r="B64" s="198" t="s">
        <v>9558</v>
      </c>
      <c r="C64" s="198" t="s">
        <v>9482</v>
      </c>
      <c r="D64" s="198" t="s">
        <v>9557</v>
      </c>
      <c r="E64" s="198" t="s">
        <v>19</v>
      </c>
      <c r="F64" s="198" t="s">
        <v>21</v>
      </c>
      <c r="G64" s="199" t="s">
        <v>70</v>
      </c>
      <c r="H64" s="199" t="s">
        <v>42</v>
      </c>
      <c r="I64" s="199" t="s">
        <v>436</v>
      </c>
      <c r="J64" s="200" t="s">
        <v>9524</v>
      </c>
      <c r="K64" s="245">
        <v>130000</v>
      </c>
      <c r="L64" s="201" t="s">
        <v>173</v>
      </c>
      <c r="M64" s="201" t="s">
        <v>14</v>
      </c>
    </row>
    <row r="65" spans="1:13">
      <c r="A65" s="198" t="s">
        <v>9480</v>
      </c>
      <c r="B65" s="198" t="s">
        <v>9559</v>
      </c>
      <c r="C65" s="198" t="s">
        <v>9482</v>
      </c>
      <c r="D65" s="198" t="s">
        <v>9557</v>
      </c>
      <c r="E65" s="198" t="s">
        <v>19</v>
      </c>
      <c r="F65" s="198" t="s">
        <v>21</v>
      </c>
      <c r="G65" s="199" t="s">
        <v>74</v>
      </c>
      <c r="H65" s="199" t="s">
        <v>26</v>
      </c>
      <c r="I65" s="199" t="s">
        <v>436</v>
      </c>
      <c r="J65" s="200" t="s">
        <v>9524</v>
      </c>
      <c r="K65" s="245">
        <v>160000</v>
      </c>
      <c r="L65" s="201" t="s">
        <v>173</v>
      </c>
      <c r="M65" s="201" t="s">
        <v>14</v>
      </c>
    </row>
    <row r="66" spans="1:13">
      <c r="A66" s="198" t="s">
        <v>9480</v>
      </c>
      <c r="B66" s="198" t="s">
        <v>9560</v>
      </c>
      <c r="C66" s="198" t="s">
        <v>9482</v>
      </c>
      <c r="D66" s="198" t="s">
        <v>9557</v>
      </c>
      <c r="E66" s="198" t="s">
        <v>19</v>
      </c>
      <c r="F66" s="198" t="s">
        <v>21</v>
      </c>
      <c r="G66" s="199" t="s">
        <v>74</v>
      </c>
      <c r="H66" s="199" t="s">
        <v>42</v>
      </c>
      <c r="I66" s="199" t="s">
        <v>436</v>
      </c>
      <c r="J66" s="200" t="s">
        <v>9524</v>
      </c>
      <c r="K66" s="245">
        <v>190000</v>
      </c>
      <c r="L66" s="201" t="s">
        <v>173</v>
      </c>
      <c r="M66" s="201" t="s">
        <v>14</v>
      </c>
    </row>
    <row r="67" spans="1:13">
      <c r="A67" s="198" t="s">
        <v>9480</v>
      </c>
      <c r="B67" s="198" t="s">
        <v>9561</v>
      </c>
      <c r="C67" s="198" t="s">
        <v>9482</v>
      </c>
      <c r="D67" s="198" t="s">
        <v>9557</v>
      </c>
      <c r="E67" s="198" t="s">
        <v>19</v>
      </c>
      <c r="F67" s="198" t="s">
        <v>21</v>
      </c>
      <c r="G67" s="199" t="s">
        <v>72</v>
      </c>
      <c r="H67" s="199" t="s">
        <v>26</v>
      </c>
      <c r="I67" s="199" t="s">
        <v>436</v>
      </c>
      <c r="J67" s="200" t="s">
        <v>9524</v>
      </c>
      <c r="K67" s="245">
        <v>210000</v>
      </c>
      <c r="L67" s="201" t="s">
        <v>173</v>
      </c>
      <c r="M67" s="201" t="s">
        <v>14</v>
      </c>
    </row>
    <row r="68" spans="1:13">
      <c r="A68" s="198" t="s">
        <v>9480</v>
      </c>
      <c r="B68" s="198" t="s">
        <v>9562</v>
      </c>
      <c r="C68" s="198" t="s">
        <v>9482</v>
      </c>
      <c r="D68" s="198" t="s">
        <v>9557</v>
      </c>
      <c r="E68" s="198" t="s">
        <v>19</v>
      </c>
      <c r="F68" s="198" t="s">
        <v>21</v>
      </c>
      <c r="G68" s="199" t="s">
        <v>72</v>
      </c>
      <c r="H68" s="199" t="s">
        <v>42</v>
      </c>
      <c r="I68" s="199" t="s">
        <v>436</v>
      </c>
      <c r="J68" s="200" t="s">
        <v>9524</v>
      </c>
      <c r="K68" s="245">
        <v>240000</v>
      </c>
      <c r="L68" s="201" t="s">
        <v>173</v>
      </c>
      <c r="M68" s="201" t="s">
        <v>14</v>
      </c>
    </row>
    <row r="69" spans="1:13">
      <c r="A69" s="198" t="s">
        <v>9480</v>
      </c>
      <c r="B69" s="198" t="s">
        <v>9563</v>
      </c>
      <c r="C69" s="198" t="s">
        <v>9482</v>
      </c>
      <c r="D69" s="198" t="s">
        <v>9564</v>
      </c>
      <c r="E69" s="198" t="s">
        <v>19</v>
      </c>
      <c r="F69" s="198" t="s">
        <v>21</v>
      </c>
      <c r="G69" s="199" t="s">
        <v>70</v>
      </c>
      <c r="H69" s="199" t="s">
        <v>26</v>
      </c>
      <c r="I69" s="199" t="s">
        <v>436</v>
      </c>
      <c r="J69" s="200" t="s">
        <v>9524</v>
      </c>
      <c r="K69" s="245">
        <v>90000</v>
      </c>
      <c r="L69" s="201" t="s">
        <v>173</v>
      </c>
      <c r="M69" s="201" t="s">
        <v>14</v>
      </c>
    </row>
    <row r="70" spans="1:13">
      <c r="A70" s="198" t="s">
        <v>9480</v>
      </c>
      <c r="B70" s="198" t="s">
        <v>9565</v>
      </c>
      <c r="C70" s="198" t="s">
        <v>9482</v>
      </c>
      <c r="D70" s="198" t="s">
        <v>9564</v>
      </c>
      <c r="E70" s="198" t="s">
        <v>19</v>
      </c>
      <c r="F70" s="198" t="s">
        <v>21</v>
      </c>
      <c r="G70" s="199" t="s">
        <v>70</v>
      </c>
      <c r="H70" s="199" t="s">
        <v>42</v>
      </c>
      <c r="I70" s="199" t="s">
        <v>436</v>
      </c>
      <c r="J70" s="200" t="s">
        <v>9524</v>
      </c>
      <c r="K70" s="245">
        <v>130000</v>
      </c>
      <c r="L70" s="201" t="s">
        <v>173</v>
      </c>
      <c r="M70" s="201" t="s">
        <v>14</v>
      </c>
    </row>
    <row r="71" spans="1:13">
      <c r="A71" s="198" t="s">
        <v>9480</v>
      </c>
      <c r="B71" s="198" t="s">
        <v>9566</v>
      </c>
      <c r="C71" s="198" t="s">
        <v>9482</v>
      </c>
      <c r="D71" s="198" t="s">
        <v>9564</v>
      </c>
      <c r="E71" s="198" t="s">
        <v>19</v>
      </c>
      <c r="F71" s="198" t="s">
        <v>21</v>
      </c>
      <c r="G71" s="199" t="s">
        <v>74</v>
      </c>
      <c r="H71" s="199" t="s">
        <v>26</v>
      </c>
      <c r="I71" s="199" t="s">
        <v>436</v>
      </c>
      <c r="J71" s="200" t="s">
        <v>9524</v>
      </c>
      <c r="K71" s="245">
        <v>160000</v>
      </c>
      <c r="L71" s="201" t="s">
        <v>173</v>
      </c>
      <c r="M71" s="201" t="s">
        <v>14</v>
      </c>
    </row>
    <row r="72" spans="1:13">
      <c r="A72" s="198" t="s">
        <v>9480</v>
      </c>
      <c r="B72" s="198" t="s">
        <v>9567</v>
      </c>
      <c r="C72" s="198" t="s">
        <v>9482</v>
      </c>
      <c r="D72" s="198" t="s">
        <v>9564</v>
      </c>
      <c r="E72" s="198" t="s">
        <v>19</v>
      </c>
      <c r="F72" s="198" t="s">
        <v>21</v>
      </c>
      <c r="G72" s="199" t="s">
        <v>74</v>
      </c>
      <c r="H72" s="199" t="s">
        <v>42</v>
      </c>
      <c r="I72" s="199" t="s">
        <v>436</v>
      </c>
      <c r="J72" s="200" t="s">
        <v>9524</v>
      </c>
      <c r="K72" s="245">
        <v>190000</v>
      </c>
      <c r="L72" s="201" t="s">
        <v>173</v>
      </c>
      <c r="M72" s="201" t="s">
        <v>14</v>
      </c>
    </row>
    <row r="73" spans="1:13">
      <c r="A73" s="198" t="s">
        <v>9480</v>
      </c>
      <c r="B73" s="198" t="s">
        <v>9568</v>
      </c>
      <c r="C73" s="198" t="s">
        <v>9482</v>
      </c>
      <c r="D73" s="198" t="s">
        <v>9564</v>
      </c>
      <c r="E73" s="198" t="s">
        <v>19</v>
      </c>
      <c r="F73" s="198" t="s">
        <v>21</v>
      </c>
      <c r="G73" s="199" t="s">
        <v>72</v>
      </c>
      <c r="H73" s="199" t="s">
        <v>26</v>
      </c>
      <c r="I73" s="199" t="s">
        <v>436</v>
      </c>
      <c r="J73" s="200" t="s">
        <v>9524</v>
      </c>
      <c r="K73" s="245">
        <v>210000</v>
      </c>
      <c r="L73" s="201" t="s">
        <v>173</v>
      </c>
      <c r="M73" s="201" t="s">
        <v>14</v>
      </c>
    </row>
    <row r="74" spans="1:13">
      <c r="A74" s="198" t="s">
        <v>9480</v>
      </c>
      <c r="B74" s="198" t="s">
        <v>9569</v>
      </c>
      <c r="C74" s="198" t="s">
        <v>9482</v>
      </c>
      <c r="D74" s="198" t="s">
        <v>9564</v>
      </c>
      <c r="E74" s="198" t="s">
        <v>19</v>
      </c>
      <c r="F74" s="198" t="s">
        <v>21</v>
      </c>
      <c r="G74" s="199" t="s">
        <v>72</v>
      </c>
      <c r="H74" s="199" t="s">
        <v>42</v>
      </c>
      <c r="I74" s="199" t="s">
        <v>436</v>
      </c>
      <c r="J74" s="200" t="s">
        <v>9524</v>
      </c>
      <c r="K74" s="245">
        <v>240000</v>
      </c>
      <c r="L74" s="201" t="s">
        <v>173</v>
      </c>
      <c r="M74" s="201" t="s">
        <v>14</v>
      </c>
    </row>
    <row r="75" spans="1:13">
      <c r="A75" s="198" t="s">
        <v>9480</v>
      </c>
      <c r="B75" s="198" t="s">
        <v>9570</v>
      </c>
      <c r="C75" s="198" t="s">
        <v>9482</v>
      </c>
      <c r="D75" s="198" t="s">
        <v>9571</v>
      </c>
      <c r="E75" s="198" t="s">
        <v>19</v>
      </c>
      <c r="F75" s="198" t="s">
        <v>21</v>
      </c>
      <c r="G75" s="199" t="s">
        <v>70</v>
      </c>
      <c r="H75" s="199" t="s">
        <v>26</v>
      </c>
      <c r="I75" s="199" t="s">
        <v>436</v>
      </c>
      <c r="J75" s="200" t="s">
        <v>9524</v>
      </c>
      <c r="K75" s="245">
        <v>90000</v>
      </c>
      <c r="L75" s="201" t="s">
        <v>173</v>
      </c>
      <c r="M75" s="201" t="s">
        <v>9361</v>
      </c>
    </row>
    <row r="76" spans="1:13">
      <c r="A76" s="198" t="s">
        <v>9480</v>
      </c>
      <c r="B76" s="198" t="s">
        <v>9572</v>
      </c>
      <c r="C76" s="198" t="s">
        <v>9482</v>
      </c>
      <c r="D76" s="198" t="s">
        <v>9571</v>
      </c>
      <c r="E76" s="198" t="s">
        <v>19</v>
      </c>
      <c r="F76" s="198" t="s">
        <v>21</v>
      </c>
      <c r="G76" s="199" t="s">
        <v>70</v>
      </c>
      <c r="H76" s="199" t="s">
        <v>42</v>
      </c>
      <c r="I76" s="199" t="s">
        <v>436</v>
      </c>
      <c r="J76" s="200" t="s">
        <v>9524</v>
      </c>
      <c r="K76" s="245">
        <v>130000</v>
      </c>
      <c r="L76" s="201" t="s">
        <v>173</v>
      </c>
      <c r="M76" s="201" t="s">
        <v>9361</v>
      </c>
    </row>
    <row r="77" spans="1:13">
      <c r="A77" s="198" t="s">
        <v>9480</v>
      </c>
      <c r="B77" s="198" t="s">
        <v>9573</v>
      </c>
      <c r="C77" s="198" t="s">
        <v>9482</v>
      </c>
      <c r="D77" s="198" t="s">
        <v>9571</v>
      </c>
      <c r="E77" s="198" t="s">
        <v>19</v>
      </c>
      <c r="F77" s="198" t="s">
        <v>21</v>
      </c>
      <c r="G77" s="199" t="s">
        <v>74</v>
      </c>
      <c r="H77" s="199" t="s">
        <v>26</v>
      </c>
      <c r="I77" s="199" t="s">
        <v>436</v>
      </c>
      <c r="J77" s="200" t="s">
        <v>9524</v>
      </c>
      <c r="K77" s="245">
        <v>160000</v>
      </c>
      <c r="L77" s="201" t="s">
        <v>173</v>
      </c>
      <c r="M77" s="201" t="s">
        <v>9361</v>
      </c>
    </row>
    <row r="78" spans="1:13">
      <c r="A78" s="198" t="s">
        <v>9480</v>
      </c>
      <c r="B78" s="198" t="s">
        <v>9574</v>
      </c>
      <c r="C78" s="198" t="s">
        <v>9482</v>
      </c>
      <c r="D78" s="198" t="s">
        <v>9571</v>
      </c>
      <c r="E78" s="198" t="s">
        <v>19</v>
      </c>
      <c r="F78" s="198" t="s">
        <v>21</v>
      </c>
      <c r="G78" s="199" t="s">
        <v>74</v>
      </c>
      <c r="H78" s="199" t="s">
        <v>42</v>
      </c>
      <c r="I78" s="199" t="s">
        <v>436</v>
      </c>
      <c r="J78" s="200" t="s">
        <v>9524</v>
      </c>
      <c r="K78" s="245">
        <v>190000</v>
      </c>
      <c r="L78" s="201" t="s">
        <v>173</v>
      </c>
      <c r="M78" s="201" t="s">
        <v>9361</v>
      </c>
    </row>
    <row r="79" spans="1:13">
      <c r="A79" s="198" t="s">
        <v>9480</v>
      </c>
      <c r="B79" s="198" t="s">
        <v>9575</v>
      </c>
      <c r="C79" s="198" t="s">
        <v>9482</v>
      </c>
      <c r="D79" s="198" t="s">
        <v>9571</v>
      </c>
      <c r="E79" s="198" t="s">
        <v>19</v>
      </c>
      <c r="F79" s="198" t="s">
        <v>21</v>
      </c>
      <c r="G79" s="199" t="s">
        <v>72</v>
      </c>
      <c r="H79" s="199" t="s">
        <v>26</v>
      </c>
      <c r="I79" s="199" t="s">
        <v>436</v>
      </c>
      <c r="J79" s="200" t="s">
        <v>9524</v>
      </c>
      <c r="K79" s="245">
        <v>210000</v>
      </c>
      <c r="L79" s="201" t="s">
        <v>173</v>
      </c>
      <c r="M79" s="201" t="s">
        <v>9361</v>
      </c>
    </row>
    <row r="80" spans="1:13">
      <c r="A80" s="198" t="s">
        <v>9480</v>
      </c>
      <c r="B80" s="198" t="s">
        <v>9576</v>
      </c>
      <c r="C80" s="198" t="s">
        <v>9482</v>
      </c>
      <c r="D80" s="198" t="s">
        <v>9571</v>
      </c>
      <c r="E80" s="198" t="s">
        <v>19</v>
      </c>
      <c r="F80" s="198" t="s">
        <v>21</v>
      </c>
      <c r="G80" s="199" t="s">
        <v>72</v>
      </c>
      <c r="H80" s="199" t="s">
        <v>42</v>
      </c>
      <c r="I80" s="199" t="s">
        <v>436</v>
      </c>
      <c r="J80" s="200" t="s">
        <v>9524</v>
      </c>
      <c r="K80" s="245">
        <v>240000</v>
      </c>
      <c r="L80" s="201" t="s">
        <v>173</v>
      </c>
      <c r="M80" s="201" t="s">
        <v>9361</v>
      </c>
    </row>
    <row r="81" spans="1:13">
      <c r="A81" s="198" t="s">
        <v>9480</v>
      </c>
      <c r="B81" s="198" t="s">
        <v>9577</v>
      </c>
      <c r="C81" s="198" t="s">
        <v>9482</v>
      </c>
      <c r="D81" s="198" t="s">
        <v>9578</v>
      </c>
      <c r="E81" s="198" t="s">
        <v>19</v>
      </c>
      <c r="F81" s="198" t="s">
        <v>21</v>
      </c>
      <c r="G81" s="199" t="s">
        <v>70</v>
      </c>
      <c r="H81" s="199" t="s">
        <v>26</v>
      </c>
      <c r="I81" s="199" t="s">
        <v>436</v>
      </c>
      <c r="J81" s="200" t="s">
        <v>9524</v>
      </c>
      <c r="K81" s="245">
        <v>90000</v>
      </c>
      <c r="L81" s="201" t="s">
        <v>173</v>
      </c>
      <c r="M81" s="201" t="s">
        <v>9361</v>
      </c>
    </row>
    <row r="82" spans="1:13">
      <c r="A82" s="198" t="s">
        <v>9480</v>
      </c>
      <c r="B82" s="198" t="s">
        <v>9579</v>
      </c>
      <c r="C82" s="198" t="s">
        <v>9482</v>
      </c>
      <c r="D82" s="198" t="s">
        <v>9578</v>
      </c>
      <c r="E82" s="198" t="s">
        <v>19</v>
      </c>
      <c r="F82" s="198" t="s">
        <v>21</v>
      </c>
      <c r="G82" s="199" t="s">
        <v>70</v>
      </c>
      <c r="H82" s="199" t="s">
        <v>42</v>
      </c>
      <c r="I82" s="199" t="s">
        <v>436</v>
      </c>
      <c r="J82" s="200" t="s">
        <v>9524</v>
      </c>
      <c r="K82" s="245">
        <v>130000</v>
      </c>
      <c r="L82" s="201" t="s">
        <v>173</v>
      </c>
      <c r="M82" s="201" t="s">
        <v>9361</v>
      </c>
    </row>
    <row r="83" spans="1:13">
      <c r="A83" s="198" t="s">
        <v>9480</v>
      </c>
      <c r="B83" s="198" t="s">
        <v>9580</v>
      </c>
      <c r="C83" s="198" t="s">
        <v>9482</v>
      </c>
      <c r="D83" s="198" t="s">
        <v>9578</v>
      </c>
      <c r="E83" s="198" t="s">
        <v>19</v>
      </c>
      <c r="F83" s="198" t="s">
        <v>21</v>
      </c>
      <c r="G83" s="199" t="s">
        <v>74</v>
      </c>
      <c r="H83" s="199" t="s">
        <v>26</v>
      </c>
      <c r="I83" s="199" t="s">
        <v>436</v>
      </c>
      <c r="J83" s="200" t="s">
        <v>9524</v>
      </c>
      <c r="K83" s="245">
        <v>160000</v>
      </c>
      <c r="L83" s="201" t="s">
        <v>173</v>
      </c>
      <c r="M83" s="201" t="s">
        <v>9361</v>
      </c>
    </row>
    <row r="84" spans="1:13">
      <c r="A84" s="198" t="s">
        <v>9480</v>
      </c>
      <c r="B84" s="198" t="s">
        <v>9581</v>
      </c>
      <c r="C84" s="198" t="s">
        <v>9482</v>
      </c>
      <c r="D84" s="198" t="s">
        <v>9578</v>
      </c>
      <c r="E84" s="198" t="s">
        <v>19</v>
      </c>
      <c r="F84" s="198" t="s">
        <v>21</v>
      </c>
      <c r="G84" s="199" t="s">
        <v>74</v>
      </c>
      <c r="H84" s="199" t="s">
        <v>42</v>
      </c>
      <c r="I84" s="199" t="s">
        <v>436</v>
      </c>
      <c r="J84" s="200" t="s">
        <v>9524</v>
      </c>
      <c r="K84" s="245">
        <v>190000</v>
      </c>
      <c r="L84" s="201" t="s">
        <v>173</v>
      </c>
      <c r="M84" s="201" t="s">
        <v>9361</v>
      </c>
    </row>
    <row r="85" spans="1:13">
      <c r="A85" s="198" t="s">
        <v>9480</v>
      </c>
      <c r="B85" s="198" t="s">
        <v>9582</v>
      </c>
      <c r="C85" s="198" t="s">
        <v>9482</v>
      </c>
      <c r="D85" s="198" t="s">
        <v>9578</v>
      </c>
      <c r="E85" s="198" t="s">
        <v>19</v>
      </c>
      <c r="F85" s="198" t="s">
        <v>21</v>
      </c>
      <c r="G85" s="199" t="s">
        <v>72</v>
      </c>
      <c r="H85" s="199" t="s">
        <v>26</v>
      </c>
      <c r="I85" s="199" t="s">
        <v>436</v>
      </c>
      <c r="J85" s="200" t="s">
        <v>9524</v>
      </c>
      <c r="K85" s="245">
        <v>210000</v>
      </c>
      <c r="L85" s="201" t="s">
        <v>173</v>
      </c>
      <c r="M85" s="201" t="s">
        <v>9361</v>
      </c>
    </row>
    <row r="86" spans="1:13">
      <c r="A86" s="198" t="s">
        <v>9480</v>
      </c>
      <c r="B86" s="198" t="s">
        <v>9583</v>
      </c>
      <c r="C86" s="198" t="s">
        <v>9482</v>
      </c>
      <c r="D86" s="198" t="s">
        <v>9578</v>
      </c>
      <c r="E86" s="198" t="s">
        <v>19</v>
      </c>
      <c r="F86" s="198" t="s">
        <v>21</v>
      </c>
      <c r="G86" s="199" t="s">
        <v>72</v>
      </c>
      <c r="H86" s="199" t="s">
        <v>42</v>
      </c>
      <c r="I86" s="199" t="s">
        <v>436</v>
      </c>
      <c r="J86" s="200" t="s">
        <v>9524</v>
      </c>
      <c r="K86" s="245">
        <v>240000</v>
      </c>
      <c r="L86" s="201" t="s">
        <v>173</v>
      </c>
      <c r="M86" s="201" t="s">
        <v>9361</v>
      </c>
    </row>
    <row r="87" spans="1:13">
      <c r="A87" s="198" t="s">
        <v>9480</v>
      </c>
      <c r="B87" s="198" t="s">
        <v>9584</v>
      </c>
      <c r="C87" s="198" t="s">
        <v>9482</v>
      </c>
      <c r="D87" s="198" t="s">
        <v>9585</v>
      </c>
      <c r="E87" s="198" t="s">
        <v>19</v>
      </c>
      <c r="F87" s="198" t="s">
        <v>21</v>
      </c>
      <c r="G87" s="199" t="s">
        <v>70</v>
      </c>
      <c r="H87" s="199" t="s">
        <v>26</v>
      </c>
      <c r="I87" s="199" t="s">
        <v>436</v>
      </c>
      <c r="J87" s="200" t="s">
        <v>9524</v>
      </c>
      <c r="K87" s="245">
        <v>90000</v>
      </c>
      <c r="L87" s="201" t="s">
        <v>173</v>
      </c>
      <c r="M87" s="201" t="s">
        <v>9361</v>
      </c>
    </row>
    <row r="88" spans="1:13">
      <c r="A88" s="198" t="s">
        <v>9480</v>
      </c>
      <c r="B88" s="198" t="s">
        <v>9586</v>
      </c>
      <c r="C88" s="198" t="s">
        <v>9482</v>
      </c>
      <c r="D88" s="198" t="s">
        <v>9585</v>
      </c>
      <c r="E88" s="198" t="s">
        <v>19</v>
      </c>
      <c r="F88" s="198" t="s">
        <v>21</v>
      </c>
      <c r="G88" s="199" t="s">
        <v>70</v>
      </c>
      <c r="H88" s="199" t="s">
        <v>42</v>
      </c>
      <c r="I88" s="199" t="s">
        <v>436</v>
      </c>
      <c r="J88" s="200" t="s">
        <v>9524</v>
      </c>
      <c r="K88" s="245">
        <v>130000</v>
      </c>
      <c r="L88" s="201" t="s">
        <v>173</v>
      </c>
      <c r="M88" s="201" t="s">
        <v>9361</v>
      </c>
    </row>
    <row r="89" spans="1:13">
      <c r="A89" s="198" t="s">
        <v>9480</v>
      </c>
      <c r="B89" s="198" t="s">
        <v>9587</v>
      </c>
      <c r="C89" s="198" t="s">
        <v>9482</v>
      </c>
      <c r="D89" s="198" t="s">
        <v>9585</v>
      </c>
      <c r="E89" s="198" t="s">
        <v>19</v>
      </c>
      <c r="F89" s="198" t="s">
        <v>21</v>
      </c>
      <c r="G89" s="199" t="s">
        <v>74</v>
      </c>
      <c r="H89" s="199" t="s">
        <v>26</v>
      </c>
      <c r="I89" s="199" t="s">
        <v>436</v>
      </c>
      <c r="J89" s="200" t="s">
        <v>9524</v>
      </c>
      <c r="K89" s="245">
        <v>160000</v>
      </c>
      <c r="L89" s="201" t="s">
        <v>173</v>
      </c>
      <c r="M89" s="201" t="s">
        <v>9361</v>
      </c>
    </row>
    <row r="90" spans="1:13">
      <c r="A90" s="198" t="s">
        <v>9480</v>
      </c>
      <c r="B90" s="198" t="s">
        <v>9588</v>
      </c>
      <c r="C90" s="198" t="s">
        <v>9482</v>
      </c>
      <c r="D90" s="198" t="s">
        <v>9585</v>
      </c>
      <c r="E90" s="198" t="s">
        <v>19</v>
      </c>
      <c r="F90" s="198" t="s">
        <v>21</v>
      </c>
      <c r="G90" s="199" t="s">
        <v>74</v>
      </c>
      <c r="H90" s="199" t="s">
        <v>42</v>
      </c>
      <c r="I90" s="199" t="s">
        <v>436</v>
      </c>
      <c r="J90" s="200" t="s">
        <v>9524</v>
      </c>
      <c r="K90" s="245">
        <v>190000</v>
      </c>
      <c r="L90" s="201" t="s">
        <v>173</v>
      </c>
      <c r="M90" s="201" t="s">
        <v>9361</v>
      </c>
    </row>
    <row r="91" spans="1:13">
      <c r="A91" s="198" t="s">
        <v>9480</v>
      </c>
      <c r="B91" s="198" t="s">
        <v>9589</v>
      </c>
      <c r="C91" s="198" t="s">
        <v>9482</v>
      </c>
      <c r="D91" s="198" t="s">
        <v>9585</v>
      </c>
      <c r="E91" s="198" t="s">
        <v>19</v>
      </c>
      <c r="F91" s="198" t="s">
        <v>21</v>
      </c>
      <c r="G91" s="199" t="s">
        <v>72</v>
      </c>
      <c r="H91" s="199" t="s">
        <v>26</v>
      </c>
      <c r="I91" s="199" t="s">
        <v>436</v>
      </c>
      <c r="J91" s="200" t="s">
        <v>9524</v>
      </c>
      <c r="K91" s="245">
        <v>210000</v>
      </c>
      <c r="L91" s="201" t="s">
        <v>173</v>
      </c>
      <c r="M91" s="201" t="s">
        <v>9361</v>
      </c>
    </row>
    <row r="92" spans="1:13">
      <c r="A92" s="198" t="s">
        <v>9480</v>
      </c>
      <c r="B92" s="198" t="s">
        <v>9590</v>
      </c>
      <c r="C92" s="198" t="s">
        <v>9482</v>
      </c>
      <c r="D92" s="198" t="s">
        <v>9585</v>
      </c>
      <c r="E92" s="198" t="s">
        <v>19</v>
      </c>
      <c r="F92" s="198" t="s">
        <v>21</v>
      </c>
      <c r="G92" s="199" t="s">
        <v>72</v>
      </c>
      <c r="H92" s="199" t="s">
        <v>42</v>
      </c>
      <c r="I92" s="199" t="s">
        <v>436</v>
      </c>
      <c r="J92" s="200" t="s">
        <v>9524</v>
      </c>
      <c r="K92" s="245">
        <v>240000</v>
      </c>
      <c r="L92" s="201" t="s">
        <v>173</v>
      </c>
      <c r="M92" s="201" t="s">
        <v>9361</v>
      </c>
    </row>
    <row r="93" spans="1:13">
      <c r="A93" s="198" t="s">
        <v>9480</v>
      </c>
      <c r="B93" s="198" t="s">
        <v>9591</v>
      </c>
      <c r="C93" s="198" t="s">
        <v>9482</v>
      </c>
      <c r="D93" s="198" t="s">
        <v>9592</v>
      </c>
      <c r="E93" s="198" t="s">
        <v>19</v>
      </c>
      <c r="F93" s="198" t="s">
        <v>21</v>
      </c>
      <c r="G93" s="199" t="s">
        <v>70</v>
      </c>
      <c r="H93" s="199" t="s">
        <v>26</v>
      </c>
      <c r="I93" s="199" t="s">
        <v>436</v>
      </c>
      <c r="J93" s="200" t="s">
        <v>9524</v>
      </c>
      <c r="K93" s="245">
        <v>90000</v>
      </c>
      <c r="L93" s="201" t="s">
        <v>173</v>
      </c>
      <c r="M93" s="201" t="s">
        <v>9361</v>
      </c>
    </row>
    <row r="94" spans="1:13">
      <c r="A94" s="198" t="s">
        <v>9480</v>
      </c>
      <c r="B94" s="198" t="s">
        <v>9593</v>
      </c>
      <c r="C94" s="198" t="s">
        <v>9482</v>
      </c>
      <c r="D94" s="198" t="s">
        <v>9592</v>
      </c>
      <c r="E94" s="198" t="s">
        <v>19</v>
      </c>
      <c r="F94" s="198" t="s">
        <v>21</v>
      </c>
      <c r="G94" s="199" t="s">
        <v>70</v>
      </c>
      <c r="H94" s="199" t="s">
        <v>42</v>
      </c>
      <c r="I94" s="199" t="s">
        <v>436</v>
      </c>
      <c r="J94" s="200" t="s">
        <v>9524</v>
      </c>
      <c r="K94" s="245">
        <v>130000</v>
      </c>
      <c r="L94" s="201" t="s">
        <v>173</v>
      </c>
      <c r="M94" s="201" t="s">
        <v>9361</v>
      </c>
    </row>
    <row r="95" spans="1:13">
      <c r="A95" s="198" t="s">
        <v>9480</v>
      </c>
      <c r="B95" s="198" t="s">
        <v>9594</v>
      </c>
      <c r="C95" s="198" t="s">
        <v>9482</v>
      </c>
      <c r="D95" s="198" t="s">
        <v>9592</v>
      </c>
      <c r="E95" s="198" t="s">
        <v>19</v>
      </c>
      <c r="F95" s="198" t="s">
        <v>21</v>
      </c>
      <c r="G95" s="199" t="s">
        <v>74</v>
      </c>
      <c r="H95" s="199" t="s">
        <v>26</v>
      </c>
      <c r="I95" s="199" t="s">
        <v>436</v>
      </c>
      <c r="J95" s="200" t="s">
        <v>9524</v>
      </c>
      <c r="K95" s="245">
        <v>160000</v>
      </c>
      <c r="L95" s="201" t="s">
        <v>173</v>
      </c>
      <c r="M95" s="201" t="s">
        <v>9361</v>
      </c>
    </row>
    <row r="96" spans="1:13">
      <c r="A96" s="198" t="s">
        <v>9480</v>
      </c>
      <c r="B96" s="198" t="s">
        <v>9595</v>
      </c>
      <c r="C96" s="198" t="s">
        <v>9482</v>
      </c>
      <c r="D96" s="198" t="s">
        <v>9592</v>
      </c>
      <c r="E96" s="198" t="s">
        <v>19</v>
      </c>
      <c r="F96" s="198" t="s">
        <v>21</v>
      </c>
      <c r="G96" s="199" t="s">
        <v>74</v>
      </c>
      <c r="H96" s="199" t="s">
        <v>42</v>
      </c>
      <c r="I96" s="199" t="s">
        <v>436</v>
      </c>
      <c r="J96" s="200" t="s">
        <v>9524</v>
      </c>
      <c r="K96" s="245">
        <v>190000</v>
      </c>
      <c r="L96" s="201" t="s">
        <v>173</v>
      </c>
      <c r="M96" s="201" t="s">
        <v>9361</v>
      </c>
    </row>
    <row r="97" spans="1:13">
      <c r="A97" s="198" t="s">
        <v>9480</v>
      </c>
      <c r="B97" s="198" t="s">
        <v>9596</v>
      </c>
      <c r="C97" s="198" t="s">
        <v>9482</v>
      </c>
      <c r="D97" s="198" t="s">
        <v>9592</v>
      </c>
      <c r="E97" s="198" t="s">
        <v>19</v>
      </c>
      <c r="F97" s="198" t="s">
        <v>21</v>
      </c>
      <c r="G97" s="199" t="s">
        <v>72</v>
      </c>
      <c r="H97" s="199" t="s">
        <v>26</v>
      </c>
      <c r="I97" s="199" t="s">
        <v>436</v>
      </c>
      <c r="J97" s="200" t="s">
        <v>9524</v>
      </c>
      <c r="K97" s="245">
        <v>210000</v>
      </c>
      <c r="L97" s="201" t="s">
        <v>173</v>
      </c>
      <c r="M97" s="201" t="s">
        <v>9361</v>
      </c>
    </row>
    <row r="98" spans="1:13">
      <c r="A98" s="198" t="s">
        <v>9480</v>
      </c>
      <c r="B98" s="198" t="s">
        <v>9597</v>
      </c>
      <c r="C98" s="198" t="s">
        <v>9482</v>
      </c>
      <c r="D98" s="198" t="s">
        <v>9592</v>
      </c>
      <c r="E98" s="198" t="s">
        <v>19</v>
      </c>
      <c r="F98" s="198" t="s">
        <v>21</v>
      </c>
      <c r="G98" s="199" t="s">
        <v>72</v>
      </c>
      <c r="H98" s="199" t="s">
        <v>42</v>
      </c>
      <c r="I98" s="199" t="s">
        <v>436</v>
      </c>
      <c r="J98" s="200" t="s">
        <v>9524</v>
      </c>
      <c r="K98" s="245">
        <v>240000</v>
      </c>
      <c r="L98" s="201" t="s">
        <v>173</v>
      </c>
      <c r="M98" s="201" t="s">
        <v>9361</v>
      </c>
    </row>
    <row r="99" spans="1:13">
      <c r="A99" s="198" t="s">
        <v>9480</v>
      </c>
      <c r="B99" s="198" t="s">
        <v>9598</v>
      </c>
      <c r="C99" s="198" t="s">
        <v>9482</v>
      </c>
      <c r="D99" s="198" t="s">
        <v>9599</v>
      </c>
      <c r="E99" s="198" t="s">
        <v>19</v>
      </c>
      <c r="F99" s="198" t="s">
        <v>21</v>
      </c>
      <c r="G99" s="199" t="s">
        <v>70</v>
      </c>
      <c r="H99" s="199" t="s">
        <v>26</v>
      </c>
      <c r="I99" s="199" t="s">
        <v>436</v>
      </c>
      <c r="J99" s="200" t="s">
        <v>9524</v>
      </c>
      <c r="K99" s="245">
        <v>90000</v>
      </c>
      <c r="L99" s="201" t="s">
        <v>173</v>
      </c>
      <c r="M99" s="201" t="s">
        <v>9361</v>
      </c>
    </row>
    <row r="100" spans="1:13">
      <c r="A100" s="198" t="s">
        <v>9480</v>
      </c>
      <c r="B100" s="198" t="s">
        <v>9600</v>
      </c>
      <c r="C100" s="198" t="s">
        <v>9482</v>
      </c>
      <c r="D100" s="198" t="s">
        <v>9599</v>
      </c>
      <c r="E100" s="198" t="s">
        <v>19</v>
      </c>
      <c r="F100" s="198" t="s">
        <v>21</v>
      </c>
      <c r="G100" s="199" t="s">
        <v>70</v>
      </c>
      <c r="H100" s="199" t="s">
        <v>42</v>
      </c>
      <c r="I100" s="199" t="s">
        <v>436</v>
      </c>
      <c r="J100" s="200" t="s">
        <v>9524</v>
      </c>
      <c r="K100" s="245">
        <v>130000</v>
      </c>
      <c r="L100" s="201" t="s">
        <v>173</v>
      </c>
      <c r="M100" s="201" t="s">
        <v>9361</v>
      </c>
    </row>
    <row r="101" spans="1:13">
      <c r="A101" s="198" t="s">
        <v>9480</v>
      </c>
      <c r="B101" s="198" t="s">
        <v>9601</v>
      </c>
      <c r="C101" s="198" t="s">
        <v>9482</v>
      </c>
      <c r="D101" s="198" t="s">
        <v>9599</v>
      </c>
      <c r="E101" s="198" t="s">
        <v>19</v>
      </c>
      <c r="F101" s="198" t="s">
        <v>21</v>
      </c>
      <c r="G101" s="199" t="s">
        <v>74</v>
      </c>
      <c r="H101" s="199" t="s">
        <v>26</v>
      </c>
      <c r="I101" s="199" t="s">
        <v>436</v>
      </c>
      <c r="J101" s="200" t="s">
        <v>9524</v>
      </c>
      <c r="K101" s="245">
        <v>160000</v>
      </c>
      <c r="L101" s="201" t="s">
        <v>173</v>
      </c>
      <c r="M101" s="201" t="s">
        <v>9361</v>
      </c>
    </row>
    <row r="102" spans="1:13">
      <c r="A102" s="198" t="s">
        <v>9480</v>
      </c>
      <c r="B102" s="198" t="s">
        <v>9602</v>
      </c>
      <c r="C102" s="198" t="s">
        <v>9482</v>
      </c>
      <c r="D102" s="198" t="s">
        <v>9599</v>
      </c>
      <c r="E102" s="198" t="s">
        <v>19</v>
      </c>
      <c r="F102" s="198" t="s">
        <v>21</v>
      </c>
      <c r="G102" s="199" t="s">
        <v>74</v>
      </c>
      <c r="H102" s="199" t="s">
        <v>42</v>
      </c>
      <c r="I102" s="199" t="s">
        <v>436</v>
      </c>
      <c r="J102" s="200" t="s">
        <v>9524</v>
      </c>
      <c r="K102" s="245">
        <v>190000</v>
      </c>
      <c r="L102" s="201" t="s">
        <v>173</v>
      </c>
      <c r="M102" s="201" t="s">
        <v>9361</v>
      </c>
    </row>
    <row r="103" spans="1:13">
      <c r="A103" s="198" t="s">
        <v>9480</v>
      </c>
      <c r="B103" s="198" t="s">
        <v>9603</v>
      </c>
      <c r="C103" s="198" t="s">
        <v>9482</v>
      </c>
      <c r="D103" s="198" t="s">
        <v>9599</v>
      </c>
      <c r="E103" s="198" t="s">
        <v>19</v>
      </c>
      <c r="F103" s="198" t="s">
        <v>21</v>
      </c>
      <c r="G103" s="199" t="s">
        <v>72</v>
      </c>
      <c r="H103" s="199" t="s">
        <v>26</v>
      </c>
      <c r="I103" s="199" t="s">
        <v>436</v>
      </c>
      <c r="J103" s="200" t="s">
        <v>9524</v>
      </c>
      <c r="K103" s="245">
        <v>210000</v>
      </c>
      <c r="L103" s="201" t="s">
        <v>173</v>
      </c>
      <c r="M103" s="201" t="s">
        <v>9361</v>
      </c>
    </row>
    <row r="104" spans="1:13">
      <c r="A104" s="198" t="s">
        <v>9480</v>
      </c>
      <c r="B104" s="198" t="s">
        <v>9604</v>
      </c>
      <c r="C104" s="198" t="s">
        <v>9482</v>
      </c>
      <c r="D104" s="198" t="s">
        <v>9599</v>
      </c>
      <c r="E104" s="198" t="s">
        <v>19</v>
      </c>
      <c r="F104" s="198" t="s">
        <v>21</v>
      </c>
      <c r="G104" s="199" t="s">
        <v>72</v>
      </c>
      <c r="H104" s="199" t="s">
        <v>42</v>
      </c>
      <c r="I104" s="199" t="s">
        <v>436</v>
      </c>
      <c r="J104" s="200" t="s">
        <v>9524</v>
      </c>
      <c r="K104" s="245">
        <v>240000</v>
      </c>
      <c r="L104" s="201" t="s">
        <v>173</v>
      </c>
      <c r="M104" s="201" t="s">
        <v>9361</v>
      </c>
    </row>
    <row r="105" spans="1:13">
      <c r="A105" s="198" t="s">
        <v>9480</v>
      </c>
      <c r="B105" s="198" t="s">
        <v>9605</v>
      </c>
      <c r="C105" s="198" t="s">
        <v>9482</v>
      </c>
      <c r="D105" s="198" t="s">
        <v>9606</v>
      </c>
      <c r="E105" s="198" t="s">
        <v>19</v>
      </c>
      <c r="F105" s="198" t="s">
        <v>21</v>
      </c>
      <c r="G105" s="199" t="s">
        <v>70</v>
      </c>
      <c r="H105" s="199" t="s">
        <v>26</v>
      </c>
      <c r="I105" s="199" t="s">
        <v>436</v>
      </c>
      <c r="J105" s="200" t="s">
        <v>9524</v>
      </c>
      <c r="K105" s="245">
        <v>90000</v>
      </c>
      <c r="L105" s="201" t="s">
        <v>173</v>
      </c>
      <c r="M105" s="201" t="s">
        <v>9607</v>
      </c>
    </row>
    <row r="106" spans="1:13">
      <c r="A106" s="198" t="s">
        <v>9480</v>
      </c>
      <c r="B106" s="198" t="s">
        <v>9608</v>
      </c>
      <c r="C106" s="198" t="s">
        <v>9482</v>
      </c>
      <c r="D106" s="198" t="s">
        <v>9606</v>
      </c>
      <c r="E106" s="198" t="s">
        <v>19</v>
      </c>
      <c r="F106" s="198" t="s">
        <v>21</v>
      </c>
      <c r="G106" s="199" t="s">
        <v>70</v>
      </c>
      <c r="H106" s="199" t="s">
        <v>42</v>
      </c>
      <c r="I106" s="199" t="s">
        <v>436</v>
      </c>
      <c r="J106" s="200" t="s">
        <v>9524</v>
      </c>
      <c r="K106" s="245">
        <v>130000</v>
      </c>
      <c r="L106" s="201" t="s">
        <v>173</v>
      </c>
      <c r="M106" s="201" t="s">
        <v>9607</v>
      </c>
    </row>
    <row r="107" spans="1:13">
      <c r="A107" s="198" t="s">
        <v>9480</v>
      </c>
      <c r="B107" s="198" t="s">
        <v>9609</v>
      </c>
      <c r="C107" s="198" t="s">
        <v>9482</v>
      </c>
      <c r="D107" s="198" t="s">
        <v>9606</v>
      </c>
      <c r="E107" s="198" t="s">
        <v>19</v>
      </c>
      <c r="F107" s="198" t="s">
        <v>21</v>
      </c>
      <c r="G107" s="199" t="s">
        <v>74</v>
      </c>
      <c r="H107" s="199" t="s">
        <v>26</v>
      </c>
      <c r="I107" s="199" t="s">
        <v>436</v>
      </c>
      <c r="J107" s="200" t="s">
        <v>9524</v>
      </c>
      <c r="K107" s="245">
        <v>160000</v>
      </c>
      <c r="L107" s="201" t="s">
        <v>173</v>
      </c>
      <c r="M107" s="201" t="s">
        <v>9607</v>
      </c>
    </row>
    <row r="108" spans="1:13">
      <c r="A108" s="198" t="s">
        <v>9480</v>
      </c>
      <c r="B108" s="198" t="s">
        <v>9610</v>
      </c>
      <c r="C108" s="198" t="s">
        <v>9482</v>
      </c>
      <c r="D108" s="198" t="s">
        <v>9606</v>
      </c>
      <c r="E108" s="198" t="s">
        <v>19</v>
      </c>
      <c r="F108" s="198" t="s">
        <v>21</v>
      </c>
      <c r="G108" s="199" t="s">
        <v>74</v>
      </c>
      <c r="H108" s="199" t="s">
        <v>42</v>
      </c>
      <c r="I108" s="199" t="s">
        <v>436</v>
      </c>
      <c r="J108" s="200" t="s">
        <v>9524</v>
      </c>
      <c r="K108" s="245">
        <v>190000</v>
      </c>
      <c r="L108" s="201" t="s">
        <v>173</v>
      </c>
      <c r="M108" s="201" t="s">
        <v>9607</v>
      </c>
    </row>
    <row r="109" spans="1:13">
      <c r="A109" s="198" t="s">
        <v>9480</v>
      </c>
      <c r="B109" s="198" t="s">
        <v>9611</v>
      </c>
      <c r="C109" s="198" t="s">
        <v>9482</v>
      </c>
      <c r="D109" s="198" t="s">
        <v>9606</v>
      </c>
      <c r="E109" s="198" t="s">
        <v>19</v>
      </c>
      <c r="F109" s="198" t="s">
        <v>21</v>
      </c>
      <c r="G109" s="199" t="s">
        <v>72</v>
      </c>
      <c r="H109" s="199" t="s">
        <v>26</v>
      </c>
      <c r="I109" s="199" t="s">
        <v>436</v>
      </c>
      <c r="J109" s="200" t="s">
        <v>9524</v>
      </c>
      <c r="K109" s="245">
        <v>210000</v>
      </c>
      <c r="L109" s="201" t="s">
        <v>173</v>
      </c>
      <c r="M109" s="201" t="s">
        <v>9607</v>
      </c>
    </row>
    <row r="110" spans="1:13">
      <c r="A110" s="198" t="s">
        <v>9480</v>
      </c>
      <c r="B110" s="198" t="s">
        <v>9612</v>
      </c>
      <c r="C110" s="198" t="s">
        <v>9482</v>
      </c>
      <c r="D110" s="198" t="s">
        <v>9606</v>
      </c>
      <c r="E110" s="198" t="s">
        <v>19</v>
      </c>
      <c r="F110" s="198" t="s">
        <v>21</v>
      </c>
      <c r="G110" s="199" t="s">
        <v>72</v>
      </c>
      <c r="H110" s="199" t="s">
        <v>42</v>
      </c>
      <c r="I110" s="199" t="s">
        <v>436</v>
      </c>
      <c r="J110" s="200" t="s">
        <v>9524</v>
      </c>
      <c r="K110" s="245">
        <v>240000</v>
      </c>
      <c r="L110" s="201" t="s">
        <v>173</v>
      </c>
      <c r="M110" s="201" t="s">
        <v>9607</v>
      </c>
    </row>
    <row r="111" spans="1:13">
      <c r="A111" s="198" t="s">
        <v>9480</v>
      </c>
      <c r="B111" s="198" t="s">
        <v>9613</v>
      </c>
      <c r="C111" s="198" t="s">
        <v>9482</v>
      </c>
      <c r="D111" s="198" t="s">
        <v>9614</v>
      </c>
      <c r="E111" s="198" t="s">
        <v>19</v>
      </c>
      <c r="F111" s="198" t="s">
        <v>21</v>
      </c>
      <c r="G111" s="199" t="s">
        <v>70</v>
      </c>
      <c r="H111" s="199" t="s">
        <v>26</v>
      </c>
      <c r="I111" s="199" t="s">
        <v>436</v>
      </c>
      <c r="J111" s="200" t="s">
        <v>9524</v>
      </c>
      <c r="K111" s="245">
        <v>90000</v>
      </c>
      <c r="L111" s="201" t="s">
        <v>173</v>
      </c>
      <c r="M111" s="201" t="s">
        <v>9607</v>
      </c>
    </row>
    <row r="112" spans="1:13">
      <c r="A112" s="198" t="s">
        <v>9480</v>
      </c>
      <c r="B112" s="198" t="s">
        <v>9615</v>
      </c>
      <c r="C112" s="198" t="s">
        <v>9482</v>
      </c>
      <c r="D112" s="198" t="s">
        <v>9614</v>
      </c>
      <c r="E112" s="198" t="s">
        <v>19</v>
      </c>
      <c r="F112" s="198" t="s">
        <v>21</v>
      </c>
      <c r="G112" s="199" t="s">
        <v>70</v>
      </c>
      <c r="H112" s="199" t="s">
        <v>42</v>
      </c>
      <c r="I112" s="199" t="s">
        <v>436</v>
      </c>
      <c r="J112" s="200" t="s">
        <v>9524</v>
      </c>
      <c r="K112" s="245">
        <v>130000</v>
      </c>
      <c r="L112" s="201" t="s">
        <v>173</v>
      </c>
      <c r="M112" s="201" t="s">
        <v>9607</v>
      </c>
    </row>
    <row r="113" spans="1:13">
      <c r="A113" s="198" t="s">
        <v>9480</v>
      </c>
      <c r="B113" s="198" t="s">
        <v>9616</v>
      </c>
      <c r="C113" s="198" t="s">
        <v>9482</v>
      </c>
      <c r="D113" s="198" t="s">
        <v>9614</v>
      </c>
      <c r="E113" s="198" t="s">
        <v>19</v>
      </c>
      <c r="F113" s="198" t="s">
        <v>21</v>
      </c>
      <c r="G113" s="199" t="s">
        <v>74</v>
      </c>
      <c r="H113" s="199" t="s">
        <v>26</v>
      </c>
      <c r="I113" s="199" t="s">
        <v>436</v>
      </c>
      <c r="J113" s="200" t="s">
        <v>9524</v>
      </c>
      <c r="K113" s="245">
        <v>160000</v>
      </c>
      <c r="L113" s="201" t="s">
        <v>173</v>
      </c>
      <c r="M113" s="201" t="s">
        <v>9607</v>
      </c>
    </row>
    <row r="114" spans="1:13">
      <c r="A114" s="198" t="s">
        <v>9480</v>
      </c>
      <c r="B114" s="198" t="s">
        <v>9617</v>
      </c>
      <c r="C114" s="198" t="s">
        <v>9482</v>
      </c>
      <c r="D114" s="198" t="s">
        <v>9614</v>
      </c>
      <c r="E114" s="198" t="s">
        <v>19</v>
      </c>
      <c r="F114" s="198" t="s">
        <v>21</v>
      </c>
      <c r="G114" s="199" t="s">
        <v>74</v>
      </c>
      <c r="H114" s="199" t="s">
        <v>42</v>
      </c>
      <c r="I114" s="199" t="s">
        <v>436</v>
      </c>
      <c r="J114" s="200" t="s">
        <v>9524</v>
      </c>
      <c r="K114" s="245">
        <v>190000</v>
      </c>
      <c r="L114" s="201" t="s">
        <v>173</v>
      </c>
      <c r="M114" s="201" t="s">
        <v>9607</v>
      </c>
    </row>
    <row r="115" spans="1:13">
      <c r="A115" s="198" t="s">
        <v>9480</v>
      </c>
      <c r="B115" s="198" t="s">
        <v>9618</v>
      </c>
      <c r="C115" s="198" t="s">
        <v>9482</v>
      </c>
      <c r="D115" s="198" t="s">
        <v>9614</v>
      </c>
      <c r="E115" s="198" t="s">
        <v>19</v>
      </c>
      <c r="F115" s="198" t="s">
        <v>21</v>
      </c>
      <c r="G115" s="199" t="s">
        <v>72</v>
      </c>
      <c r="H115" s="199" t="s">
        <v>26</v>
      </c>
      <c r="I115" s="199" t="s">
        <v>436</v>
      </c>
      <c r="J115" s="200" t="s">
        <v>9524</v>
      </c>
      <c r="K115" s="245">
        <v>210000</v>
      </c>
      <c r="L115" s="201" t="s">
        <v>173</v>
      </c>
      <c r="M115" s="201" t="s">
        <v>9607</v>
      </c>
    </row>
    <row r="116" spans="1:13">
      <c r="A116" s="198" t="s">
        <v>9480</v>
      </c>
      <c r="B116" s="198" t="s">
        <v>9619</v>
      </c>
      <c r="C116" s="198" t="s">
        <v>9482</v>
      </c>
      <c r="D116" s="198" t="s">
        <v>9614</v>
      </c>
      <c r="E116" s="198" t="s">
        <v>19</v>
      </c>
      <c r="F116" s="198" t="s">
        <v>21</v>
      </c>
      <c r="G116" s="199" t="s">
        <v>72</v>
      </c>
      <c r="H116" s="199" t="s">
        <v>42</v>
      </c>
      <c r="I116" s="199" t="s">
        <v>436</v>
      </c>
      <c r="J116" s="200" t="s">
        <v>9524</v>
      </c>
      <c r="K116" s="245">
        <v>240000</v>
      </c>
      <c r="L116" s="201" t="s">
        <v>173</v>
      </c>
      <c r="M116" s="201" t="s">
        <v>9607</v>
      </c>
    </row>
    <row r="117" spans="1:13">
      <c r="A117" s="198" t="s">
        <v>9480</v>
      </c>
      <c r="B117" s="198" t="s">
        <v>9620</v>
      </c>
      <c r="C117" s="198" t="s">
        <v>9482</v>
      </c>
      <c r="D117" s="198" t="s">
        <v>9621</v>
      </c>
      <c r="E117" s="198" t="s">
        <v>19</v>
      </c>
      <c r="F117" s="198" t="s">
        <v>21</v>
      </c>
      <c r="G117" s="199" t="s">
        <v>70</v>
      </c>
      <c r="H117" s="199" t="s">
        <v>26</v>
      </c>
      <c r="I117" s="199" t="s">
        <v>436</v>
      </c>
      <c r="J117" s="200" t="s">
        <v>9524</v>
      </c>
      <c r="K117" s="245">
        <v>90000</v>
      </c>
      <c r="L117" s="201" t="s">
        <v>173</v>
      </c>
      <c r="M117" s="201" t="s">
        <v>9607</v>
      </c>
    </row>
    <row r="118" spans="1:13">
      <c r="A118" s="198" t="s">
        <v>9480</v>
      </c>
      <c r="B118" s="198" t="s">
        <v>9622</v>
      </c>
      <c r="C118" s="198" t="s">
        <v>9482</v>
      </c>
      <c r="D118" s="198" t="s">
        <v>9621</v>
      </c>
      <c r="E118" s="198" t="s">
        <v>19</v>
      </c>
      <c r="F118" s="198" t="s">
        <v>21</v>
      </c>
      <c r="G118" s="199" t="s">
        <v>70</v>
      </c>
      <c r="H118" s="199" t="s">
        <v>42</v>
      </c>
      <c r="I118" s="199" t="s">
        <v>436</v>
      </c>
      <c r="J118" s="200" t="s">
        <v>9524</v>
      </c>
      <c r="K118" s="245">
        <v>130000</v>
      </c>
      <c r="L118" s="201" t="s">
        <v>173</v>
      </c>
      <c r="M118" s="201" t="s">
        <v>9607</v>
      </c>
    </row>
    <row r="119" spans="1:13">
      <c r="A119" s="198" t="s">
        <v>9480</v>
      </c>
      <c r="B119" s="198" t="s">
        <v>9623</v>
      </c>
      <c r="C119" s="198" t="s">
        <v>9482</v>
      </c>
      <c r="D119" s="198" t="s">
        <v>9621</v>
      </c>
      <c r="E119" s="198" t="s">
        <v>19</v>
      </c>
      <c r="F119" s="198" t="s">
        <v>21</v>
      </c>
      <c r="G119" s="199" t="s">
        <v>74</v>
      </c>
      <c r="H119" s="199" t="s">
        <v>26</v>
      </c>
      <c r="I119" s="199" t="s">
        <v>436</v>
      </c>
      <c r="J119" s="200" t="s">
        <v>9524</v>
      </c>
      <c r="K119" s="245">
        <v>160000</v>
      </c>
      <c r="L119" s="201" t="s">
        <v>173</v>
      </c>
      <c r="M119" s="201" t="s">
        <v>9607</v>
      </c>
    </row>
    <row r="120" spans="1:13">
      <c r="A120" s="198" t="s">
        <v>9480</v>
      </c>
      <c r="B120" s="198" t="s">
        <v>9624</v>
      </c>
      <c r="C120" s="198" t="s">
        <v>9482</v>
      </c>
      <c r="D120" s="198" t="s">
        <v>9621</v>
      </c>
      <c r="E120" s="198" t="s">
        <v>19</v>
      </c>
      <c r="F120" s="198" t="s">
        <v>21</v>
      </c>
      <c r="G120" s="199" t="s">
        <v>74</v>
      </c>
      <c r="H120" s="199" t="s">
        <v>42</v>
      </c>
      <c r="I120" s="199" t="s">
        <v>436</v>
      </c>
      <c r="J120" s="200" t="s">
        <v>9524</v>
      </c>
      <c r="K120" s="245">
        <v>190000</v>
      </c>
      <c r="L120" s="201" t="s">
        <v>173</v>
      </c>
      <c r="M120" s="201" t="s">
        <v>9607</v>
      </c>
    </row>
    <row r="121" spans="1:13">
      <c r="A121" s="198" t="s">
        <v>9480</v>
      </c>
      <c r="B121" s="198" t="s">
        <v>9625</v>
      </c>
      <c r="C121" s="198" t="s">
        <v>9482</v>
      </c>
      <c r="D121" s="198" t="s">
        <v>9621</v>
      </c>
      <c r="E121" s="198" t="s">
        <v>19</v>
      </c>
      <c r="F121" s="198" t="s">
        <v>21</v>
      </c>
      <c r="G121" s="199" t="s">
        <v>72</v>
      </c>
      <c r="H121" s="199" t="s">
        <v>26</v>
      </c>
      <c r="I121" s="199" t="s">
        <v>436</v>
      </c>
      <c r="J121" s="200" t="s">
        <v>9524</v>
      </c>
      <c r="K121" s="245">
        <v>210000</v>
      </c>
      <c r="L121" s="201" t="s">
        <v>173</v>
      </c>
      <c r="M121" s="201" t="s">
        <v>9607</v>
      </c>
    </row>
    <row r="122" spans="1:13">
      <c r="A122" s="198" t="s">
        <v>9480</v>
      </c>
      <c r="B122" s="198" t="s">
        <v>9626</v>
      </c>
      <c r="C122" s="198" t="s">
        <v>9482</v>
      </c>
      <c r="D122" s="198" t="s">
        <v>9621</v>
      </c>
      <c r="E122" s="198" t="s">
        <v>19</v>
      </c>
      <c r="F122" s="198" t="s">
        <v>21</v>
      </c>
      <c r="G122" s="199" t="s">
        <v>72</v>
      </c>
      <c r="H122" s="199" t="s">
        <v>42</v>
      </c>
      <c r="I122" s="199" t="s">
        <v>436</v>
      </c>
      <c r="J122" s="200" t="s">
        <v>9524</v>
      </c>
      <c r="K122" s="245">
        <v>240000</v>
      </c>
      <c r="L122" s="201" t="s">
        <v>173</v>
      </c>
      <c r="M122" s="201" t="s">
        <v>9607</v>
      </c>
    </row>
    <row r="123" spans="1:13">
      <c r="A123" s="198" t="s">
        <v>9480</v>
      </c>
      <c r="B123" s="198" t="s">
        <v>9627</v>
      </c>
      <c r="C123" s="198" t="s">
        <v>9482</v>
      </c>
      <c r="D123" s="198" t="s">
        <v>9628</v>
      </c>
      <c r="E123" s="198" t="s">
        <v>19</v>
      </c>
      <c r="F123" s="198" t="s">
        <v>21</v>
      </c>
      <c r="G123" s="199" t="s">
        <v>70</v>
      </c>
      <c r="H123" s="199" t="s">
        <v>26</v>
      </c>
      <c r="I123" s="199" t="s">
        <v>436</v>
      </c>
      <c r="J123" s="200" t="s">
        <v>9524</v>
      </c>
      <c r="K123" s="245">
        <v>180000</v>
      </c>
      <c r="L123" s="201" t="s">
        <v>173</v>
      </c>
      <c r="M123" s="201" t="s">
        <v>14</v>
      </c>
    </row>
    <row r="124" spans="1:13">
      <c r="A124" s="198" t="s">
        <v>9480</v>
      </c>
      <c r="B124" s="198" t="s">
        <v>9629</v>
      </c>
      <c r="C124" s="198" t="s">
        <v>9482</v>
      </c>
      <c r="D124" s="198" t="s">
        <v>9628</v>
      </c>
      <c r="E124" s="198" t="s">
        <v>19</v>
      </c>
      <c r="F124" s="198" t="s">
        <v>21</v>
      </c>
      <c r="G124" s="199" t="s">
        <v>70</v>
      </c>
      <c r="H124" s="199" t="s">
        <v>42</v>
      </c>
      <c r="I124" s="199" t="s">
        <v>436</v>
      </c>
      <c r="J124" s="200" t="s">
        <v>9524</v>
      </c>
      <c r="K124" s="245">
        <v>190000</v>
      </c>
      <c r="L124" s="201" t="s">
        <v>173</v>
      </c>
      <c r="M124" s="201" t="s">
        <v>14</v>
      </c>
    </row>
    <row r="125" spans="1:13">
      <c r="A125" s="198" t="s">
        <v>9480</v>
      </c>
      <c r="B125" s="198" t="s">
        <v>9630</v>
      </c>
      <c r="C125" s="198" t="s">
        <v>9482</v>
      </c>
      <c r="D125" s="198" t="s">
        <v>9628</v>
      </c>
      <c r="E125" s="198" t="s">
        <v>19</v>
      </c>
      <c r="F125" s="198" t="s">
        <v>21</v>
      </c>
      <c r="G125" s="199" t="s">
        <v>74</v>
      </c>
      <c r="H125" s="199" t="s">
        <v>26</v>
      </c>
      <c r="I125" s="199" t="s">
        <v>436</v>
      </c>
      <c r="J125" s="200" t="s">
        <v>9524</v>
      </c>
      <c r="K125" s="245">
        <v>210000</v>
      </c>
      <c r="L125" s="201" t="s">
        <v>173</v>
      </c>
      <c r="M125" s="201" t="s">
        <v>14</v>
      </c>
    </row>
    <row r="126" spans="1:13">
      <c r="A126" s="198" t="s">
        <v>9480</v>
      </c>
      <c r="B126" s="198" t="s">
        <v>9631</v>
      </c>
      <c r="C126" s="198" t="s">
        <v>9482</v>
      </c>
      <c r="D126" s="198" t="s">
        <v>9628</v>
      </c>
      <c r="E126" s="198" t="s">
        <v>19</v>
      </c>
      <c r="F126" s="198" t="s">
        <v>21</v>
      </c>
      <c r="G126" s="199" t="s">
        <v>74</v>
      </c>
      <c r="H126" s="199" t="s">
        <v>42</v>
      </c>
      <c r="I126" s="199" t="s">
        <v>436</v>
      </c>
      <c r="J126" s="200" t="s">
        <v>9524</v>
      </c>
      <c r="K126" s="245">
        <v>250000</v>
      </c>
      <c r="L126" s="201" t="s">
        <v>173</v>
      </c>
      <c r="M126" s="201" t="s">
        <v>14</v>
      </c>
    </row>
    <row r="127" spans="1:13">
      <c r="A127" s="198" t="s">
        <v>9480</v>
      </c>
      <c r="B127" s="198" t="s">
        <v>9632</v>
      </c>
      <c r="C127" s="198" t="s">
        <v>9482</v>
      </c>
      <c r="D127" s="198" t="s">
        <v>9628</v>
      </c>
      <c r="E127" s="198" t="s">
        <v>19</v>
      </c>
      <c r="F127" s="198" t="s">
        <v>21</v>
      </c>
      <c r="G127" s="199" t="s">
        <v>72</v>
      </c>
      <c r="H127" s="199" t="s">
        <v>26</v>
      </c>
      <c r="I127" s="199" t="s">
        <v>436</v>
      </c>
      <c r="J127" s="200" t="s">
        <v>9524</v>
      </c>
      <c r="K127" s="245">
        <v>260000</v>
      </c>
      <c r="L127" s="201" t="s">
        <v>173</v>
      </c>
      <c r="M127" s="201" t="s">
        <v>14</v>
      </c>
    </row>
    <row r="128" spans="1:13">
      <c r="A128" s="198" t="s">
        <v>9480</v>
      </c>
      <c r="B128" s="198" t="s">
        <v>9633</v>
      </c>
      <c r="C128" s="198" t="s">
        <v>9482</v>
      </c>
      <c r="D128" s="198" t="s">
        <v>9628</v>
      </c>
      <c r="E128" s="198" t="s">
        <v>19</v>
      </c>
      <c r="F128" s="198" t="s">
        <v>21</v>
      </c>
      <c r="G128" s="199" t="s">
        <v>72</v>
      </c>
      <c r="H128" s="199" t="s">
        <v>42</v>
      </c>
      <c r="I128" s="199" t="s">
        <v>436</v>
      </c>
      <c r="J128" s="200" t="s">
        <v>9524</v>
      </c>
      <c r="K128" s="245">
        <v>250000</v>
      </c>
      <c r="L128" s="201" t="s">
        <v>173</v>
      </c>
      <c r="M128" s="201" t="s">
        <v>14</v>
      </c>
    </row>
    <row r="129" spans="1:13">
      <c r="A129" s="198" t="s">
        <v>9480</v>
      </c>
      <c r="B129" s="198" t="s">
        <v>9634</v>
      </c>
      <c r="C129" s="198" t="s">
        <v>9482</v>
      </c>
      <c r="D129" s="198" t="s">
        <v>9635</v>
      </c>
      <c r="E129" s="198" t="s">
        <v>19</v>
      </c>
      <c r="F129" s="198" t="s">
        <v>21</v>
      </c>
      <c r="G129" s="199" t="s">
        <v>70</v>
      </c>
      <c r="H129" s="199" t="s">
        <v>26</v>
      </c>
      <c r="I129" s="199" t="s">
        <v>436</v>
      </c>
      <c r="J129" s="200" t="s">
        <v>9524</v>
      </c>
      <c r="K129" s="245">
        <v>180000</v>
      </c>
      <c r="L129" s="201" t="s">
        <v>173</v>
      </c>
      <c r="M129" s="201" t="s">
        <v>14</v>
      </c>
    </row>
    <row r="130" spans="1:13">
      <c r="A130" s="198" t="s">
        <v>9480</v>
      </c>
      <c r="B130" s="198" t="s">
        <v>9636</v>
      </c>
      <c r="C130" s="198" t="s">
        <v>9482</v>
      </c>
      <c r="D130" s="198" t="s">
        <v>9635</v>
      </c>
      <c r="E130" s="198" t="s">
        <v>19</v>
      </c>
      <c r="F130" s="198" t="s">
        <v>21</v>
      </c>
      <c r="G130" s="199" t="s">
        <v>70</v>
      </c>
      <c r="H130" s="199" t="s">
        <v>42</v>
      </c>
      <c r="I130" s="199" t="s">
        <v>436</v>
      </c>
      <c r="J130" s="200" t="s">
        <v>9524</v>
      </c>
      <c r="K130" s="245">
        <v>190000</v>
      </c>
      <c r="L130" s="201" t="s">
        <v>173</v>
      </c>
      <c r="M130" s="201" t="s">
        <v>14</v>
      </c>
    </row>
    <row r="131" spans="1:13">
      <c r="A131" s="198" t="s">
        <v>9480</v>
      </c>
      <c r="B131" s="198" t="s">
        <v>9637</v>
      </c>
      <c r="C131" s="198" t="s">
        <v>9482</v>
      </c>
      <c r="D131" s="198" t="s">
        <v>9635</v>
      </c>
      <c r="E131" s="198" t="s">
        <v>19</v>
      </c>
      <c r="F131" s="198" t="s">
        <v>21</v>
      </c>
      <c r="G131" s="199" t="s">
        <v>74</v>
      </c>
      <c r="H131" s="199" t="s">
        <v>26</v>
      </c>
      <c r="I131" s="199" t="s">
        <v>436</v>
      </c>
      <c r="J131" s="200" t="s">
        <v>9524</v>
      </c>
      <c r="K131" s="245">
        <v>210000</v>
      </c>
      <c r="L131" s="201" t="s">
        <v>173</v>
      </c>
      <c r="M131" s="201" t="s">
        <v>14</v>
      </c>
    </row>
    <row r="132" spans="1:13">
      <c r="A132" s="198" t="s">
        <v>9480</v>
      </c>
      <c r="B132" s="198" t="s">
        <v>9638</v>
      </c>
      <c r="C132" s="198" t="s">
        <v>9482</v>
      </c>
      <c r="D132" s="198" t="s">
        <v>9635</v>
      </c>
      <c r="E132" s="198" t="s">
        <v>19</v>
      </c>
      <c r="F132" s="198" t="s">
        <v>21</v>
      </c>
      <c r="G132" s="199" t="s">
        <v>74</v>
      </c>
      <c r="H132" s="199" t="s">
        <v>42</v>
      </c>
      <c r="I132" s="199" t="s">
        <v>436</v>
      </c>
      <c r="J132" s="200" t="s">
        <v>9524</v>
      </c>
      <c r="K132" s="245">
        <v>250000</v>
      </c>
      <c r="L132" s="201" t="s">
        <v>173</v>
      </c>
      <c r="M132" s="201" t="s">
        <v>14</v>
      </c>
    </row>
    <row r="133" spans="1:13">
      <c r="A133" s="198" t="s">
        <v>9480</v>
      </c>
      <c r="B133" s="198" t="s">
        <v>9639</v>
      </c>
      <c r="C133" s="198" t="s">
        <v>9482</v>
      </c>
      <c r="D133" s="198" t="s">
        <v>9635</v>
      </c>
      <c r="E133" s="198" t="s">
        <v>19</v>
      </c>
      <c r="F133" s="198" t="s">
        <v>21</v>
      </c>
      <c r="G133" s="199" t="s">
        <v>72</v>
      </c>
      <c r="H133" s="199" t="s">
        <v>26</v>
      </c>
      <c r="I133" s="199" t="s">
        <v>436</v>
      </c>
      <c r="J133" s="200" t="s">
        <v>9524</v>
      </c>
      <c r="K133" s="245">
        <v>260000</v>
      </c>
      <c r="L133" s="201" t="s">
        <v>173</v>
      </c>
      <c r="M133" s="201" t="s">
        <v>14</v>
      </c>
    </row>
    <row r="134" spans="1:13">
      <c r="A134" s="198" t="s">
        <v>9480</v>
      </c>
      <c r="B134" s="198" t="s">
        <v>9640</v>
      </c>
      <c r="C134" s="198" t="s">
        <v>9482</v>
      </c>
      <c r="D134" s="198" t="s">
        <v>9635</v>
      </c>
      <c r="E134" s="198" t="s">
        <v>19</v>
      </c>
      <c r="F134" s="198" t="s">
        <v>21</v>
      </c>
      <c r="G134" s="199" t="s">
        <v>72</v>
      </c>
      <c r="H134" s="199" t="s">
        <v>42</v>
      </c>
      <c r="I134" s="199" t="s">
        <v>436</v>
      </c>
      <c r="J134" s="200" t="s">
        <v>9524</v>
      </c>
      <c r="K134" s="245">
        <v>250000</v>
      </c>
      <c r="L134" s="201" t="s">
        <v>173</v>
      </c>
      <c r="M134" s="201" t="s">
        <v>14</v>
      </c>
    </row>
    <row r="135" spans="1:13">
      <c r="A135" s="198" t="s">
        <v>9480</v>
      </c>
      <c r="B135" s="198" t="s">
        <v>9641</v>
      </c>
      <c r="C135" s="198" t="s">
        <v>9482</v>
      </c>
      <c r="D135" s="198" t="s">
        <v>9642</v>
      </c>
      <c r="E135" s="198" t="s">
        <v>19</v>
      </c>
      <c r="F135" s="198" t="s">
        <v>21</v>
      </c>
      <c r="G135" s="199" t="s">
        <v>70</v>
      </c>
      <c r="H135" s="199" t="s">
        <v>26</v>
      </c>
      <c r="I135" s="199" t="s">
        <v>436</v>
      </c>
      <c r="J135" s="200" t="s">
        <v>9524</v>
      </c>
      <c r="K135" s="245">
        <v>540000</v>
      </c>
      <c r="L135" s="201" t="s">
        <v>173</v>
      </c>
      <c r="M135" s="201" t="s">
        <v>14</v>
      </c>
    </row>
    <row r="136" spans="1:13">
      <c r="A136" s="198" t="s">
        <v>9480</v>
      </c>
      <c r="B136" s="198" t="s">
        <v>9643</v>
      </c>
      <c r="C136" s="198" t="s">
        <v>9482</v>
      </c>
      <c r="D136" s="198" t="s">
        <v>9642</v>
      </c>
      <c r="E136" s="198" t="s">
        <v>19</v>
      </c>
      <c r="F136" s="198" t="s">
        <v>21</v>
      </c>
      <c r="G136" s="199" t="s">
        <v>70</v>
      </c>
      <c r="H136" s="199" t="s">
        <v>42</v>
      </c>
      <c r="I136" s="199" t="s">
        <v>436</v>
      </c>
      <c r="J136" s="200" t="s">
        <v>9524</v>
      </c>
      <c r="K136" s="245">
        <v>780000</v>
      </c>
      <c r="L136" s="201" t="s">
        <v>173</v>
      </c>
      <c r="M136" s="201" t="s">
        <v>14</v>
      </c>
    </row>
    <row r="137" spans="1:13">
      <c r="A137" s="198" t="s">
        <v>9480</v>
      </c>
      <c r="B137" s="198" t="s">
        <v>9644</v>
      </c>
      <c r="C137" s="198" t="s">
        <v>9482</v>
      </c>
      <c r="D137" s="198" t="s">
        <v>9642</v>
      </c>
      <c r="E137" s="198" t="s">
        <v>19</v>
      </c>
      <c r="F137" s="198" t="s">
        <v>21</v>
      </c>
      <c r="G137" s="199" t="s">
        <v>74</v>
      </c>
      <c r="H137" s="199" t="s">
        <v>26</v>
      </c>
      <c r="I137" s="199" t="s">
        <v>436</v>
      </c>
      <c r="J137" s="200" t="s">
        <v>9524</v>
      </c>
      <c r="K137" s="245">
        <v>960000</v>
      </c>
      <c r="L137" s="201" t="s">
        <v>173</v>
      </c>
      <c r="M137" s="201" t="s">
        <v>14</v>
      </c>
    </row>
    <row r="138" spans="1:13">
      <c r="A138" s="198" t="s">
        <v>9480</v>
      </c>
      <c r="B138" s="198" t="s">
        <v>9645</v>
      </c>
      <c r="C138" s="198" t="s">
        <v>9482</v>
      </c>
      <c r="D138" s="198" t="s">
        <v>9642</v>
      </c>
      <c r="E138" s="198" t="s">
        <v>19</v>
      </c>
      <c r="F138" s="198" t="s">
        <v>21</v>
      </c>
      <c r="G138" s="199" t="s">
        <v>74</v>
      </c>
      <c r="H138" s="199" t="s">
        <v>42</v>
      </c>
      <c r="I138" s="199" t="s">
        <v>436</v>
      </c>
      <c r="J138" s="200" t="s">
        <v>9524</v>
      </c>
      <c r="K138" s="245">
        <v>1140000</v>
      </c>
      <c r="L138" s="201" t="s">
        <v>173</v>
      </c>
      <c r="M138" s="201" t="s">
        <v>14</v>
      </c>
    </row>
    <row r="139" spans="1:13">
      <c r="A139" s="198" t="s">
        <v>9480</v>
      </c>
      <c r="B139" s="198" t="s">
        <v>9646</v>
      </c>
      <c r="C139" s="198" t="s">
        <v>9482</v>
      </c>
      <c r="D139" s="198" t="s">
        <v>9642</v>
      </c>
      <c r="E139" s="198" t="s">
        <v>19</v>
      </c>
      <c r="F139" s="198" t="s">
        <v>21</v>
      </c>
      <c r="G139" s="199" t="s">
        <v>72</v>
      </c>
      <c r="H139" s="199" t="s">
        <v>26</v>
      </c>
      <c r="I139" s="199" t="s">
        <v>436</v>
      </c>
      <c r="J139" s="200" t="s">
        <v>9524</v>
      </c>
      <c r="K139" s="245">
        <v>1260000</v>
      </c>
      <c r="L139" s="201" t="s">
        <v>173</v>
      </c>
      <c r="M139" s="201" t="s">
        <v>14</v>
      </c>
    </row>
    <row r="140" spans="1:13">
      <c r="A140" s="198" t="s">
        <v>9480</v>
      </c>
      <c r="B140" s="198" t="s">
        <v>9647</v>
      </c>
      <c r="C140" s="198" t="s">
        <v>9482</v>
      </c>
      <c r="D140" s="198" t="s">
        <v>9642</v>
      </c>
      <c r="E140" s="198" t="s">
        <v>19</v>
      </c>
      <c r="F140" s="198" t="s">
        <v>21</v>
      </c>
      <c r="G140" s="199" t="s">
        <v>72</v>
      </c>
      <c r="H140" s="199" t="s">
        <v>42</v>
      </c>
      <c r="I140" s="199" t="s">
        <v>436</v>
      </c>
      <c r="J140" s="200" t="s">
        <v>9524</v>
      </c>
      <c r="K140" s="245">
        <v>1440000</v>
      </c>
      <c r="L140" s="201" t="s">
        <v>173</v>
      </c>
      <c r="M140" s="201" t="s">
        <v>14</v>
      </c>
    </row>
    <row r="141" spans="1:13">
      <c r="A141" s="198" t="s">
        <v>9480</v>
      </c>
      <c r="B141" s="198" t="s">
        <v>9648</v>
      </c>
      <c r="C141" s="198" t="s">
        <v>9482</v>
      </c>
      <c r="D141" s="198" t="s">
        <v>9649</v>
      </c>
      <c r="E141" s="198" t="s">
        <v>19</v>
      </c>
      <c r="F141" s="198" t="s">
        <v>21</v>
      </c>
      <c r="G141" s="199" t="s">
        <v>70</v>
      </c>
      <c r="H141" s="199" t="s">
        <v>26</v>
      </c>
      <c r="I141" s="199" t="s">
        <v>436</v>
      </c>
      <c r="J141" s="200" t="s">
        <v>9524</v>
      </c>
      <c r="K141" s="245">
        <v>540000</v>
      </c>
      <c r="L141" s="201" t="s">
        <v>173</v>
      </c>
      <c r="M141" s="201" t="s">
        <v>14</v>
      </c>
    </row>
    <row r="142" spans="1:13">
      <c r="A142" s="198" t="s">
        <v>9480</v>
      </c>
      <c r="B142" s="198" t="s">
        <v>9650</v>
      </c>
      <c r="C142" s="198" t="s">
        <v>9482</v>
      </c>
      <c r="D142" s="198" t="s">
        <v>9649</v>
      </c>
      <c r="E142" s="198" t="s">
        <v>19</v>
      </c>
      <c r="F142" s="198" t="s">
        <v>21</v>
      </c>
      <c r="G142" s="199" t="s">
        <v>70</v>
      </c>
      <c r="H142" s="199" t="s">
        <v>42</v>
      </c>
      <c r="I142" s="199" t="s">
        <v>436</v>
      </c>
      <c r="J142" s="200" t="s">
        <v>9524</v>
      </c>
      <c r="K142" s="245">
        <v>780000</v>
      </c>
      <c r="L142" s="201" t="s">
        <v>173</v>
      </c>
      <c r="M142" s="201" t="s">
        <v>14</v>
      </c>
    </row>
    <row r="143" spans="1:13">
      <c r="A143" s="198" t="s">
        <v>9480</v>
      </c>
      <c r="B143" s="198" t="s">
        <v>9651</v>
      </c>
      <c r="C143" s="198" t="s">
        <v>9482</v>
      </c>
      <c r="D143" s="198" t="s">
        <v>9649</v>
      </c>
      <c r="E143" s="198" t="s">
        <v>19</v>
      </c>
      <c r="F143" s="198" t="s">
        <v>21</v>
      </c>
      <c r="G143" s="199" t="s">
        <v>74</v>
      </c>
      <c r="H143" s="199" t="s">
        <v>26</v>
      </c>
      <c r="I143" s="199" t="s">
        <v>436</v>
      </c>
      <c r="J143" s="200" t="s">
        <v>9524</v>
      </c>
      <c r="K143" s="245">
        <v>960000</v>
      </c>
      <c r="L143" s="201" t="s">
        <v>173</v>
      </c>
      <c r="M143" s="201" t="s">
        <v>14</v>
      </c>
    </row>
    <row r="144" spans="1:13">
      <c r="A144" s="198" t="s">
        <v>9480</v>
      </c>
      <c r="B144" s="198" t="s">
        <v>9652</v>
      </c>
      <c r="C144" s="198" t="s">
        <v>9482</v>
      </c>
      <c r="D144" s="198" t="s">
        <v>9649</v>
      </c>
      <c r="E144" s="198" t="s">
        <v>19</v>
      </c>
      <c r="F144" s="198" t="s">
        <v>21</v>
      </c>
      <c r="G144" s="199" t="s">
        <v>74</v>
      </c>
      <c r="H144" s="199" t="s">
        <v>42</v>
      </c>
      <c r="I144" s="199" t="s">
        <v>436</v>
      </c>
      <c r="J144" s="200" t="s">
        <v>9524</v>
      </c>
      <c r="K144" s="245">
        <v>1140000</v>
      </c>
      <c r="L144" s="201" t="s">
        <v>173</v>
      </c>
      <c r="M144" s="201" t="s">
        <v>14</v>
      </c>
    </row>
    <row r="145" spans="1:13">
      <c r="A145" s="198" t="s">
        <v>9480</v>
      </c>
      <c r="B145" s="198" t="s">
        <v>9653</v>
      </c>
      <c r="C145" s="198" t="s">
        <v>9482</v>
      </c>
      <c r="D145" s="198" t="s">
        <v>9649</v>
      </c>
      <c r="E145" s="198" t="s">
        <v>19</v>
      </c>
      <c r="F145" s="198" t="s">
        <v>21</v>
      </c>
      <c r="G145" s="199" t="s">
        <v>72</v>
      </c>
      <c r="H145" s="199" t="s">
        <v>26</v>
      </c>
      <c r="I145" s="199" t="s">
        <v>436</v>
      </c>
      <c r="J145" s="200" t="s">
        <v>9524</v>
      </c>
      <c r="K145" s="245">
        <v>1260000</v>
      </c>
      <c r="L145" s="201" t="s">
        <v>173</v>
      </c>
      <c r="M145" s="201" t="s">
        <v>14</v>
      </c>
    </row>
    <row r="146" spans="1:13">
      <c r="A146" s="198" t="s">
        <v>9480</v>
      </c>
      <c r="B146" s="198" t="s">
        <v>9654</v>
      </c>
      <c r="C146" s="198" t="s">
        <v>9482</v>
      </c>
      <c r="D146" s="198" t="s">
        <v>9649</v>
      </c>
      <c r="E146" s="198" t="s">
        <v>19</v>
      </c>
      <c r="F146" s="198" t="s">
        <v>21</v>
      </c>
      <c r="G146" s="199" t="s">
        <v>72</v>
      </c>
      <c r="H146" s="199" t="s">
        <v>42</v>
      </c>
      <c r="I146" s="199" t="s">
        <v>436</v>
      </c>
      <c r="J146" s="200" t="s">
        <v>9524</v>
      </c>
      <c r="K146" s="245">
        <v>1440000</v>
      </c>
      <c r="L146" s="201" t="s">
        <v>173</v>
      </c>
      <c r="M146" s="201" t="s">
        <v>14</v>
      </c>
    </row>
    <row r="147" spans="1:13">
      <c r="A147" s="198" t="s">
        <v>9480</v>
      </c>
      <c r="B147" s="198" t="s">
        <v>9655</v>
      </c>
      <c r="C147" s="198" t="s">
        <v>9482</v>
      </c>
      <c r="D147" s="198" t="s">
        <v>9656</v>
      </c>
      <c r="E147" s="198" t="s">
        <v>19</v>
      </c>
      <c r="F147" s="198" t="s">
        <v>21</v>
      </c>
      <c r="G147" s="199" t="s">
        <v>70</v>
      </c>
      <c r="H147" s="199" t="s">
        <v>26</v>
      </c>
      <c r="I147" s="199" t="s">
        <v>436</v>
      </c>
      <c r="J147" s="200" t="s">
        <v>9524</v>
      </c>
      <c r="K147" s="245">
        <v>540000</v>
      </c>
      <c r="L147" s="201" t="s">
        <v>173</v>
      </c>
      <c r="M147" s="201" t="s">
        <v>14</v>
      </c>
    </row>
    <row r="148" spans="1:13">
      <c r="A148" s="198" t="s">
        <v>9480</v>
      </c>
      <c r="B148" s="198" t="s">
        <v>9657</v>
      </c>
      <c r="C148" s="198" t="s">
        <v>9482</v>
      </c>
      <c r="D148" s="198" t="s">
        <v>9656</v>
      </c>
      <c r="E148" s="198" t="s">
        <v>19</v>
      </c>
      <c r="F148" s="198" t="s">
        <v>21</v>
      </c>
      <c r="G148" s="199" t="s">
        <v>70</v>
      </c>
      <c r="H148" s="199" t="s">
        <v>42</v>
      </c>
      <c r="I148" s="199" t="s">
        <v>436</v>
      </c>
      <c r="J148" s="200" t="s">
        <v>9524</v>
      </c>
      <c r="K148" s="245">
        <v>780000</v>
      </c>
      <c r="L148" s="201" t="s">
        <v>173</v>
      </c>
      <c r="M148" s="201" t="s">
        <v>14</v>
      </c>
    </row>
    <row r="149" spans="1:13">
      <c r="A149" s="198" t="s">
        <v>9480</v>
      </c>
      <c r="B149" s="198" t="s">
        <v>9658</v>
      </c>
      <c r="C149" s="198" t="s">
        <v>9482</v>
      </c>
      <c r="D149" s="198" t="s">
        <v>9656</v>
      </c>
      <c r="E149" s="198" t="s">
        <v>19</v>
      </c>
      <c r="F149" s="198" t="s">
        <v>21</v>
      </c>
      <c r="G149" s="199" t="s">
        <v>74</v>
      </c>
      <c r="H149" s="199" t="s">
        <v>26</v>
      </c>
      <c r="I149" s="199" t="s">
        <v>436</v>
      </c>
      <c r="J149" s="200" t="s">
        <v>9524</v>
      </c>
      <c r="K149" s="245">
        <v>960000</v>
      </c>
      <c r="L149" s="201" t="s">
        <v>173</v>
      </c>
      <c r="M149" s="201" t="s">
        <v>14</v>
      </c>
    </row>
    <row r="150" spans="1:13">
      <c r="A150" s="198" t="s">
        <v>9480</v>
      </c>
      <c r="B150" s="198" t="s">
        <v>9659</v>
      </c>
      <c r="C150" s="198" t="s">
        <v>9482</v>
      </c>
      <c r="D150" s="198" t="s">
        <v>9656</v>
      </c>
      <c r="E150" s="198" t="s">
        <v>19</v>
      </c>
      <c r="F150" s="198" t="s">
        <v>21</v>
      </c>
      <c r="G150" s="199" t="s">
        <v>74</v>
      </c>
      <c r="H150" s="199" t="s">
        <v>42</v>
      </c>
      <c r="I150" s="199" t="s">
        <v>436</v>
      </c>
      <c r="J150" s="200" t="s">
        <v>9524</v>
      </c>
      <c r="K150" s="245">
        <v>1140000</v>
      </c>
      <c r="L150" s="201" t="s">
        <v>173</v>
      </c>
      <c r="M150" s="201" t="s">
        <v>14</v>
      </c>
    </row>
    <row r="151" spans="1:13">
      <c r="A151" s="198" t="s">
        <v>9480</v>
      </c>
      <c r="B151" s="198" t="s">
        <v>9660</v>
      </c>
      <c r="C151" s="198" t="s">
        <v>9482</v>
      </c>
      <c r="D151" s="198" t="s">
        <v>9656</v>
      </c>
      <c r="E151" s="198" t="s">
        <v>19</v>
      </c>
      <c r="F151" s="198" t="s">
        <v>21</v>
      </c>
      <c r="G151" s="199" t="s">
        <v>72</v>
      </c>
      <c r="H151" s="199" t="s">
        <v>26</v>
      </c>
      <c r="I151" s="199" t="s">
        <v>436</v>
      </c>
      <c r="J151" s="200" t="s">
        <v>9524</v>
      </c>
      <c r="K151" s="245">
        <v>1260000</v>
      </c>
      <c r="L151" s="201" t="s">
        <v>173</v>
      </c>
      <c r="M151" s="201" t="s">
        <v>14</v>
      </c>
    </row>
    <row r="152" spans="1:13">
      <c r="A152" s="198" t="s">
        <v>9480</v>
      </c>
      <c r="B152" s="198" t="s">
        <v>9661</v>
      </c>
      <c r="C152" s="198" t="s">
        <v>9482</v>
      </c>
      <c r="D152" s="198" t="s">
        <v>9656</v>
      </c>
      <c r="E152" s="198" t="s">
        <v>19</v>
      </c>
      <c r="F152" s="198" t="s">
        <v>21</v>
      </c>
      <c r="G152" s="199" t="s">
        <v>72</v>
      </c>
      <c r="H152" s="199" t="s">
        <v>42</v>
      </c>
      <c r="I152" s="199" t="s">
        <v>436</v>
      </c>
      <c r="J152" s="200" t="s">
        <v>9524</v>
      </c>
      <c r="K152" s="245">
        <v>1440000</v>
      </c>
      <c r="L152" s="201" t="s">
        <v>173</v>
      </c>
      <c r="M152" s="201" t="s">
        <v>14</v>
      </c>
    </row>
    <row r="153" spans="1:13">
      <c r="A153" s="198" t="s">
        <v>9480</v>
      </c>
      <c r="B153" s="198" t="s">
        <v>9662</v>
      </c>
      <c r="C153" s="198" t="s">
        <v>9482</v>
      </c>
      <c r="D153" s="198" t="s">
        <v>9663</v>
      </c>
      <c r="E153" s="198" t="s">
        <v>19</v>
      </c>
      <c r="F153" s="198" t="s">
        <v>21</v>
      </c>
      <c r="G153" s="199" t="s">
        <v>70</v>
      </c>
      <c r="H153" s="199" t="s">
        <v>26</v>
      </c>
      <c r="I153" s="199" t="s">
        <v>436</v>
      </c>
      <c r="J153" s="200" t="s">
        <v>9524</v>
      </c>
      <c r="K153" s="245">
        <v>540000</v>
      </c>
      <c r="L153" s="201" t="s">
        <v>173</v>
      </c>
      <c r="M153" s="201" t="s">
        <v>9361</v>
      </c>
    </row>
    <row r="154" spans="1:13">
      <c r="A154" s="198" t="s">
        <v>9480</v>
      </c>
      <c r="B154" s="198" t="s">
        <v>9664</v>
      </c>
      <c r="C154" s="198" t="s">
        <v>9482</v>
      </c>
      <c r="D154" s="198" t="s">
        <v>9663</v>
      </c>
      <c r="E154" s="198" t="s">
        <v>19</v>
      </c>
      <c r="F154" s="198" t="s">
        <v>21</v>
      </c>
      <c r="G154" s="199" t="s">
        <v>70</v>
      </c>
      <c r="H154" s="199" t="s">
        <v>42</v>
      </c>
      <c r="I154" s="199" t="s">
        <v>436</v>
      </c>
      <c r="J154" s="200" t="s">
        <v>9524</v>
      </c>
      <c r="K154" s="245">
        <v>780000</v>
      </c>
      <c r="L154" s="201" t="s">
        <v>173</v>
      </c>
      <c r="M154" s="201" t="s">
        <v>9361</v>
      </c>
    </row>
    <row r="155" spans="1:13">
      <c r="A155" s="198" t="s">
        <v>9480</v>
      </c>
      <c r="B155" s="198" t="s">
        <v>9665</v>
      </c>
      <c r="C155" s="198" t="s">
        <v>9482</v>
      </c>
      <c r="D155" s="198" t="s">
        <v>9663</v>
      </c>
      <c r="E155" s="198" t="s">
        <v>19</v>
      </c>
      <c r="F155" s="198" t="s">
        <v>21</v>
      </c>
      <c r="G155" s="199" t="s">
        <v>74</v>
      </c>
      <c r="H155" s="199" t="s">
        <v>26</v>
      </c>
      <c r="I155" s="199" t="s">
        <v>436</v>
      </c>
      <c r="J155" s="200" t="s">
        <v>9524</v>
      </c>
      <c r="K155" s="245">
        <v>960000</v>
      </c>
      <c r="L155" s="201" t="s">
        <v>173</v>
      </c>
      <c r="M155" s="201" t="s">
        <v>9361</v>
      </c>
    </row>
    <row r="156" spans="1:13">
      <c r="A156" s="198" t="s">
        <v>9480</v>
      </c>
      <c r="B156" s="198" t="s">
        <v>9666</v>
      </c>
      <c r="C156" s="198" t="s">
        <v>9482</v>
      </c>
      <c r="D156" s="198" t="s">
        <v>9663</v>
      </c>
      <c r="E156" s="198" t="s">
        <v>19</v>
      </c>
      <c r="F156" s="198" t="s">
        <v>21</v>
      </c>
      <c r="G156" s="199" t="s">
        <v>74</v>
      </c>
      <c r="H156" s="199" t="s">
        <v>42</v>
      </c>
      <c r="I156" s="199" t="s">
        <v>436</v>
      </c>
      <c r="J156" s="200" t="s">
        <v>9524</v>
      </c>
      <c r="K156" s="245">
        <v>1140000</v>
      </c>
      <c r="L156" s="201" t="s">
        <v>173</v>
      </c>
      <c r="M156" s="201" t="s">
        <v>9361</v>
      </c>
    </row>
    <row r="157" spans="1:13">
      <c r="A157" s="198" t="s">
        <v>9480</v>
      </c>
      <c r="B157" s="198" t="s">
        <v>9667</v>
      </c>
      <c r="C157" s="198" t="s">
        <v>9482</v>
      </c>
      <c r="D157" s="198" t="s">
        <v>9663</v>
      </c>
      <c r="E157" s="198" t="s">
        <v>19</v>
      </c>
      <c r="F157" s="198" t="s">
        <v>21</v>
      </c>
      <c r="G157" s="199" t="s">
        <v>72</v>
      </c>
      <c r="H157" s="199" t="s">
        <v>26</v>
      </c>
      <c r="I157" s="199" t="s">
        <v>436</v>
      </c>
      <c r="J157" s="200" t="s">
        <v>9524</v>
      </c>
      <c r="K157" s="245">
        <v>1260000</v>
      </c>
      <c r="L157" s="201" t="s">
        <v>173</v>
      </c>
      <c r="M157" s="201" t="s">
        <v>9361</v>
      </c>
    </row>
    <row r="158" spans="1:13">
      <c r="A158" s="198" t="s">
        <v>9480</v>
      </c>
      <c r="B158" s="198" t="s">
        <v>9668</v>
      </c>
      <c r="C158" s="198" t="s">
        <v>9482</v>
      </c>
      <c r="D158" s="198" t="s">
        <v>9663</v>
      </c>
      <c r="E158" s="198" t="s">
        <v>19</v>
      </c>
      <c r="F158" s="198" t="s">
        <v>21</v>
      </c>
      <c r="G158" s="199" t="s">
        <v>72</v>
      </c>
      <c r="H158" s="199" t="s">
        <v>42</v>
      </c>
      <c r="I158" s="199" t="s">
        <v>436</v>
      </c>
      <c r="J158" s="200" t="s">
        <v>9524</v>
      </c>
      <c r="K158" s="245">
        <v>1440000</v>
      </c>
      <c r="L158" s="201" t="s">
        <v>173</v>
      </c>
      <c r="M158" s="201" t="s">
        <v>9361</v>
      </c>
    </row>
    <row r="159" spans="1:13">
      <c r="A159" s="198" t="s">
        <v>9480</v>
      </c>
      <c r="B159" s="198" t="s">
        <v>9669</v>
      </c>
      <c r="C159" s="198" t="s">
        <v>9482</v>
      </c>
      <c r="D159" s="198" t="s">
        <v>9670</v>
      </c>
      <c r="E159" s="198" t="s">
        <v>19</v>
      </c>
      <c r="F159" s="198" t="s">
        <v>21</v>
      </c>
      <c r="G159" s="199" t="s">
        <v>70</v>
      </c>
      <c r="H159" s="199" t="s">
        <v>26</v>
      </c>
      <c r="I159" s="199" t="s">
        <v>436</v>
      </c>
      <c r="J159" s="200" t="s">
        <v>9524</v>
      </c>
      <c r="K159" s="245">
        <v>540000</v>
      </c>
      <c r="L159" s="201" t="s">
        <v>173</v>
      </c>
      <c r="M159" s="201" t="s">
        <v>9361</v>
      </c>
    </row>
    <row r="160" spans="1:13">
      <c r="A160" s="198" t="s">
        <v>9480</v>
      </c>
      <c r="B160" s="198" t="s">
        <v>9671</v>
      </c>
      <c r="C160" s="198" t="s">
        <v>9482</v>
      </c>
      <c r="D160" s="198" t="s">
        <v>9670</v>
      </c>
      <c r="E160" s="198" t="s">
        <v>19</v>
      </c>
      <c r="F160" s="198" t="s">
        <v>21</v>
      </c>
      <c r="G160" s="199" t="s">
        <v>70</v>
      </c>
      <c r="H160" s="199" t="s">
        <v>42</v>
      </c>
      <c r="I160" s="199" t="s">
        <v>436</v>
      </c>
      <c r="J160" s="200" t="s">
        <v>9524</v>
      </c>
      <c r="K160" s="245">
        <v>780000</v>
      </c>
      <c r="L160" s="201" t="s">
        <v>173</v>
      </c>
      <c r="M160" s="201" t="s">
        <v>9361</v>
      </c>
    </row>
    <row r="161" spans="1:13">
      <c r="A161" s="198" t="s">
        <v>9480</v>
      </c>
      <c r="B161" s="198" t="s">
        <v>9672</v>
      </c>
      <c r="C161" s="198" t="s">
        <v>9482</v>
      </c>
      <c r="D161" s="198" t="s">
        <v>9670</v>
      </c>
      <c r="E161" s="198" t="s">
        <v>19</v>
      </c>
      <c r="F161" s="198" t="s">
        <v>21</v>
      </c>
      <c r="G161" s="199" t="s">
        <v>74</v>
      </c>
      <c r="H161" s="199" t="s">
        <v>26</v>
      </c>
      <c r="I161" s="199" t="s">
        <v>436</v>
      </c>
      <c r="J161" s="200" t="s">
        <v>9524</v>
      </c>
      <c r="K161" s="245">
        <v>960000</v>
      </c>
      <c r="L161" s="201" t="s">
        <v>173</v>
      </c>
      <c r="M161" s="201" t="s">
        <v>9361</v>
      </c>
    </row>
    <row r="162" spans="1:13">
      <c r="A162" s="198" t="s">
        <v>9480</v>
      </c>
      <c r="B162" s="198" t="s">
        <v>9673</v>
      </c>
      <c r="C162" s="198" t="s">
        <v>9482</v>
      </c>
      <c r="D162" s="198" t="s">
        <v>9670</v>
      </c>
      <c r="E162" s="198" t="s">
        <v>19</v>
      </c>
      <c r="F162" s="198" t="s">
        <v>21</v>
      </c>
      <c r="G162" s="199" t="s">
        <v>74</v>
      </c>
      <c r="H162" s="199" t="s">
        <v>42</v>
      </c>
      <c r="I162" s="199" t="s">
        <v>436</v>
      </c>
      <c r="J162" s="200" t="s">
        <v>9524</v>
      </c>
      <c r="K162" s="245">
        <v>1140000</v>
      </c>
      <c r="L162" s="201" t="s">
        <v>173</v>
      </c>
      <c r="M162" s="201" t="s">
        <v>9361</v>
      </c>
    </row>
    <row r="163" spans="1:13">
      <c r="A163" s="198" t="s">
        <v>9480</v>
      </c>
      <c r="B163" s="198" t="s">
        <v>9674</v>
      </c>
      <c r="C163" s="198" t="s">
        <v>9482</v>
      </c>
      <c r="D163" s="198" t="s">
        <v>9670</v>
      </c>
      <c r="E163" s="198" t="s">
        <v>19</v>
      </c>
      <c r="F163" s="198" t="s">
        <v>21</v>
      </c>
      <c r="G163" s="199" t="s">
        <v>72</v>
      </c>
      <c r="H163" s="199" t="s">
        <v>26</v>
      </c>
      <c r="I163" s="199" t="s">
        <v>436</v>
      </c>
      <c r="J163" s="200" t="s">
        <v>9524</v>
      </c>
      <c r="K163" s="245">
        <v>1260000</v>
      </c>
      <c r="L163" s="201" t="s">
        <v>173</v>
      </c>
      <c r="M163" s="201" t="s">
        <v>9361</v>
      </c>
    </row>
    <row r="164" spans="1:13">
      <c r="A164" s="198" t="s">
        <v>9480</v>
      </c>
      <c r="B164" s="198" t="s">
        <v>9675</v>
      </c>
      <c r="C164" s="198" t="s">
        <v>9482</v>
      </c>
      <c r="D164" s="198" t="s">
        <v>9670</v>
      </c>
      <c r="E164" s="198" t="s">
        <v>19</v>
      </c>
      <c r="F164" s="198" t="s">
        <v>21</v>
      </c>
      <c r="G164" s="199" t="s">
        <v>72</v>
      </c>
      <c r="H164" s="199" t="s">
        <v>42</v>
      </c>
      <c r="I164" s="199" t="s">
        <v>436</v>
      </c>
      <c r="J164" s="200" t="s">
        <v>9524</v>
      </c>
      <c r="K164" s="245">
        <v>1440000</v>
      </c>
      <c r="L164" s="201" t="s">
        <v>173</v>
      </c>
      <c r="M164" s="201" t="s">
        <v>9361</v>
      </c>
    </row>
    <row r="165" spans="1:13">
      <c r="A165" s="198" t="s">
        <v>9480</v>
      </c>
      <c r="B165" s="198" t="s">
        <v>9676</v>
      </c>
      <c r="C165" s="198" t="s">
        <v>9482</v>
      </c>
      <c r="D165" s="198" t="s">
        <v>9677</v>
      </c>
      <c r="E165" s="198" t="s">
        <v>19</v>
      </c>
      <c r="F165" s="198" t="s">
        <v>21</v>
      </c>
      <c r="G165" s="199" t="s">
        <v>70</v>
      </c>
      <c r="H165" s="199" t="s">
        <v>26</v>
      </c>
      <c r="I165" s="199" t="s">
        <v>436</v>
      </c>
      <c r="J165" s="200" t="s">
        <v>9524</v>
      </c>
      <c r="K165" s="245">
        <v>540000</v>
      </c>
      <c r="L165" s="201" t="s">
        <v>173</v>
      </c>
      <c r="M165" s="201" t="s">
        <v>9361</v>
      </c>
    </row>
    <row r="166" spans="1:13">
      <c r="A166" s="198" t="s">
        <v>9480</v>
      </c>
      <c r="B166" s="198" t="s">
        <v>9678</v>
      </c>
      <c r="C166" s="198" t="s">
        <v>9482</v>
      </c>
      <c r="D166" s="198" t="s">
        <v>9677</v>
      </c>
      <c r="E166" s="198" t="s">
        <v>19</v>
      </c>
      <c r="F166" s="198" t="s">
        <v>21</v>
      </c>
      <c r="G166" s="199" t="s">
        <v>70</v>
      </c>
      <c r="H166" s="199" t="s">
        <v>42</v>
      </c>
      <c r="I166" s="199" t="s">
        <v>436</v>
      </c>
      <c r="J166" s="200" t="s">
        <v>9524</v>
      </c>
      <c r="K166" s="245">
        <v>780000</v>
      </c>
      <c r="L166" s="201" t="s">
        <v>173</v>
      </c>
      <c r="M166" s="201" t="s">
        <v>9361</v>
      </c>
    </row>
    <row r="167" spans="1:13">
      <c r="A167" s="198" t="s">
        <v>9480</v>
      </c>
      <c r="B167" s="198" t="s">
        <v>9679</v>
      </c>
      <c r="C167" s="198" t="s">
        <v>9482</v>
      </c>
      <c r="D167" s="198" t="s">
        <v>9677</v>
      </c>
      <c r="E167" s="198" t="s">
        <v>19</v>
      </c>
      <c r="F167" s="198" t="s">
        <v>21</v>
      </c>
      <c r="G167" s="199" t="s">
        <v>74</v>
      </c>
      <c r="H167" s="199" t="s">
        <v>26</v>
      </c>
      <c r="I167" s="199" t="s">
        <v>436</v>
      </c>
      <c r="J167" s="200" t="s">
        <v>9524</v>
      </c>
      <c r="K167" s="245">
        <v>960000</v>
      </c>
      <c r="L167" s="201" t="s">
        <v>173</v>
      </c>
      <c r="M167" s="201" t="s">
        <v>9361</v>
      </c>
    </row>
    <row r="168" spans="1:13">
      <c r="A168" s="198" t="s">
        <v>9480</v>
      </c>
      <c r="B168" s="198" t="s">
        <v>9680</v>
      </c>
      <c r="C168" s="198" t="s">
        <v>9482</v>
      </c>
      <c r="D168" s="198" t="s">
        <v>9677</v>
      </c>
      <c r="E168" s="198" t="s">
        <v>19</v>
      </c>
      <c r="F168" s="198" t="s">
        <v>21</v>
      </c>
      <c r="G168" s="199" t="s">
        <v>74</v>
      </c>
      <c r="H168" s="199" t="s">
        <v>42</v>
      </c>
      <c r="I168" s="199" t="s">
        <v>436</v>
      </c>
      <c r="J168" s="200" t="s">
        <v>9524</v>
      </c>
      <c r="K168" s="245">
        <v>1140000</v>
      </c>
      <c r="L168" s="201" t="s">
        <v>173</v>
      </c>
      <c r="M168" s="201" t="s">
        <v>9361</v>
      </c>
    </row>
    <row r="169" spans="1:13">
      <c r="A169" s="198" t="s">
        <v>9480</v>
      </c>
      <c r="B169" s="198" t="s">
        <v>9681</v>
      </c>
      <c r="C169" s="198" t="s">
        <v>9482</v>
      </c>
      <c r="D169" s="198" t="s">
        <v>9677</v>
      </c>
      <c r="E169" s="198" t="s">
        <v>19</v>
      </c>
      <c r="F169" s="198" t="s">
        <v>21</v>
      </c>
      <c r="G169" s="199" t="s">
        <v>72</v>
      </c>
      <c r="H169" s="199" t="s">
        <v>26</v>
      </c>
      <c r="I169" s="199" t="s">
        <v>436</v>
      </c>
      <c r="J169" s="200" t="s">
        <v>9524</v>
      </c>
      <c r="K169" s="245">
        <v>1260000</v>
      </c>
      <c r="L169" s="201" t="s">
        <v>173</v>
      </c>
      <c r="M169" s="201" t="s">
        <v>9361</v>
      </c>
    </row>
    <row r="170" spans="1:13">
      <c r="A170" s="198" t="s">
        <v>9480</v>
      </c>
      <c r="B170" s="198" t="s">
        <v>9682</v>
      </c>
      <c r="C170" s="198" t="s">
        <v>9482</v>
      </c>
      <c r="D170" s="198" t="s">
        <v>9677</v>
      </c>
      <c r="E170" s="198" t="s">
        <v>19</v>
      </c>
      <c r="F170" s="198" t="s">
        <v>21</v>
      </c>
      <c r="G170" s="199" t="s">
        <v>72</v>
      </c>
      <c r="H170" s="199" t="s">
        <v>42</v>
      </c>
      <c r="I170" s="199" t="s">
        <v>436</v>
      </c>
      <c r="J170" s="200" t="s">
        <v>9524</v>
      </c>
      <c r="K170" s="245">
        <v>1440000</v>
      </c>
      <c r="L170" s="201" t="s">
        <v>173</v>
      </c>
      <c r="M170" s="201" t="s">
        <v>9361</v>
      </c>
    </row>
    <row r="171" spans="1:13">
      <c r="A171" s="198" t="s">
        <v>9480</v>
      </c>
      <c r="B171" s="198" t="s">
        <v>9683</v>
      </c>
      <c r="C171" s="198" t="s">
        <v>9482</v>
      </c>
      <c r="D171" s="198" t="s">
        <v>9684</v>
      </c>
      <c r="E171" s="198" t="s">
        <v>19</v>
      </c>
      <c r="F171" s="198" t="s">
        <v>21</v>
      </c>
      <c r="G171" s="199" t="s">
        <v>70</v>
      </c>
      <c r="H171" s="199" t="s">
        <v>26</v>
      </c>
      <c r="I171" s="199" t="s">
        <v>436</v>
      </c>
      <c r="J171" s="200" t="s">
        <v>9524</v>
      </c>
      <c r="K171" s="245">
        <v>540000</v>
      </c>
      <c r="L171" s="201" t="s">
        <v>173</v>
      </c>
      <c r="M171" s="201" t="s">
        <v>9361</v>
      </c>
    </row>
    <row r="172" spans="1:13">
      <c r="A172" s="198" t="s">
        <v>9480</v>
      </c>
      <c r="B172" s="198" t="s">
        <v>9685</v>
      </c>
      <c r="C172" s="198" t="s">
        <v>9482</v>
      </c>
      <c r="D172" s="198" t="s">
        <v>9684</v>
      </c>
      <c r="E172" s="198" t="s">
        <v>19</v>
      </c>
      <c r="F172" s="198" t="s">
        <v>21</v>
      </c>
      <c r="G172" s="199" t="s">
        <v>70</v>
      </c>
      <c r="H172" s="199" t="s">
        <v>42</v>
      </c>
      <c r="I172" s="199" t="s">
        <v>436</v>
      </c>
      <c r="J172" s="200" t="s">
        <v>9524</v>
      </c>
      <c r="K172" s="245">
        <v>780000</v>
      </c>
      <c r="L172" s="201" t="s">
        <v>173</v>
      </c>
      <c r="M172" s="201" t="s">
        <v>9361</v>
      </c>
    </row>
    <row r="173" spans="1:13">
      <c r="A173" s="198" t="s">
        <v>9480</v>
      </c>
      <c r="B173" s="198" t="s">
        <v>9686</v>
      </c>
      <c r="C173" s="198" t="s">
        <v>9482</v>
      </c>
      <c r="D173" s="198" t="s">
        <v>9684</v>
      </c>
      <c r="E173" s="198" t="s">
        <v>19</v>
      </c>
      <c r="F173" s="198" t="s">
        <v>21</v>
      </c>
      <c r="G173" s="199" t="s">
        <v>74</v>
      </c>
      <c r="H173" s="199" t="s">
        <v>26</v>
      </c>
      <c r="I173" s="199" t="s">
        <v>436</v>
      </c>
      <c r="J173" s="200" t="s">
        <v>9524</v>
      </c>
      <c r="K173" s="245">
        <v>960000</v>
      </c>
      <c r="L173" s="201" t="s">
        <v>173</v>
      </c>
      <c r="M173" s="201" t="s">
        <v>9361</v>
      </c>
    </row>
    <row r="174" spans="1:13">
      <c r="A174" s="198" t="s">
        <v>9480</v>
      </c>
      <c r="B174" s="198" t="s">
        <v>9687</v>
      </c>
      <c r="C174" s="198" t="s">
        <v>9482</v>
      </c>
      <c r="D174" s="198" t="s">
        <v>9684</v>
      </c>
      <c r="E174" s="198" t="s">
        <v>19</v>
      </c>
      <c r="F174" s="198" t="s">
        <v>21</v>
      </c>
      <c r="G174" s="199" t="s">
        <v>74</v>
      </c>
      <c r="H174" s="199" t="s">
        <v>42</v>
      </c>
      <c r="I174" s="199" t="s">
        <v>436</v>
      </c>
      <c r="J174" s="200" t="s">
        <v>9524</v>
      </c>
      <c r="K174" s="245">
        <v>1140000</v>
      </c>
      <c r="L174" s="201" t="s">
        <v>173</v>
      </c>
      <c r="M174" s="201" t="s">
        <v>9361</v>
      </c>
    </row>
    <row r="175" spans="1:13">
      <c r="A175" s="198" t="s">
        <v>9480</v>
      </c>
      <c r="B175" s="198" t="s">
        <v>9688</v>
      </c>
      <c r="C175" s="198" t="s">
        <v>9482</v>
      </c>
      <c r="D175" s="198" t="s">
        <v>9684</v>
      </c>
      <c r="E175" s="198" t="s">
        <v>19</v>
      </c>
      <c r="F175" s="198" t="s">
        <v>21</v>
      </c>
      <c r="G175" s="199" t="s">
        <v>72</v>
      </c>
      <c r="H175" s="199" t="s">
        <v>26</v>
      </c>
      <c r="I175" s="199" t="s">
        <v>436</v>
      </c>
      <c r="J175" s="200" t="s">
        <v>9524</v>
      </c>
      <c r="K175" s="245">
        <v>1260000</v>
      </c>
      <c r="L175" s="201" t="s">
        <v>173</v>
      </c>
      <c r="M175" s="201" t="s">
        <v>9361</v>
      </c>
    </row>
    <row r="176" spans="1:13">
      <c r="A176" s="198" t="s">
        <v>9480</v>
      </c>
      <c r="B176" s="198" t="s">
        <v>9689</v>
      </c>
      <c r="C176" s="198" t="s">
        <v>9482</v>
      </c>
      <c r="D176" s="198" t="s">
        <v>9684</v>
      </c>
      <c r="E176" s="198" t="s">
        <v>19</v>
      </c>
      <c r="F176" s="198" t="s">
        <v>21</v>
      </c>
      <c r="G176" s="199" t="s">
        <v>72</v>
      </c>
      <c r="H176" s="199" t="s">
        <v>42</v>
      </c>
      <c r="I176" s="199" t="s">
        <v>436</v>
      </c>
      <c r="J176" s="200" t="s">
        <v>9524</v>
      </c>
      <c r="K176" s="245">
        <v>1440000</v>
      </c>
      <c r="L176" s="201" t="s">
        <v>173</v>
      </c>
      <c r="M176" s="201" t="s">
        <v>9361</v>
      </c>
    </row>
    <row r="177" spans="1:13">
      <c r="A177" s="198" t="s">
        <v>9480</v>
      </c>
      <c r="B177" s="198" t="s">
        <v>9690</v>
      </c>
      <c r="C177" s="198" t="s">
        <v>9482</v>
      </c>
      <c r="D177" s="198" t="s">
        <v>9691</v>
      </c>
      <c r="E177" s="198" t="s">
        <v>19</v>
      </c>
      <c r="F177" s="198" t="s">
        <v>21</v>
      </c>
      <c r="G177" s="199" t="s">
        <v>70</v>
      </c>
      <c r="H177" s="199" t="s">
        <v>26</v>
      </c>
      <c r="I177" s="199" t="s">
        <v>436</v>
      </c>
      <c r="J177" s="200" t="s">
        <v>9524</v>
      </c>
      <c r="K177" s="245">
        <v>540000</v>
      </c>
      <c r="L177" s="201" t="s">
        <v>173</v>
      </c>
      <c r="M177" s="201" t="s">
        <v>9361</v>
      </c>
    </row>
    <row r="178" spans="1:13">
      <c r="A178" s="198" t="s">
        <v>9480</v>
      </c>
      <c r="B178" s="198" t="s">
        <v>9692</v>
      </c>
      <c r="C178" s="198" t="s">
        <v>9482</v>
      </c>
      <c r="D178" s="198" t="s">
        <v>9691</v>
      </c>
      <c r="E178" s="198" t="s">
        <v>19</v>
      </c>
      <c r="F178" s="198" t="s">
        <v>21</v>
      </c>
      <c r="G178" s="199" t="s">
        <v>70</v>
      </c>
      <c r="H178" s="199" t="s">
        <v>42</v>
      </c>
      <c r="I178" s="199" t="s">
        <v>436</v>
      </c>
      <c r="J178" s="200" t="s">
        <v>9524</v>
      </c>
      <c r="K178" s="245">
        <v>780000</v>
      </c>
      <c r="L178" s="201" t="s">
        <v>173</v>
      </c>
      <c r="M178" s="201" t="s">
        <v>9361</v>
      </c>
    </row>
    <row r="179" spans="1:13">
      <c r="A179" s="198" t="s">
        <v>9480</v>
      </c>
      <c r="B179" s="198" t="s">
        <v>9693</v>
      </c>
      <c r="C179" s="198" t="s">
        <v>9482</v>
      </c>
      <c r="D179" s="198" t="s">
        <v>9691</v>
      </c>
      <c r="E179" s="198" t="s">
        <v>19</v>
      </c>
      <c r="F179" s="198" t="s">
        <v>21</v>
      </c>
      <c r="G179" s="199" t="s">
        <v>74</v>
      </c>
      <c r="H179" s="199" t="s">
        <v>26</v>
      </c>
      <c r="I179" s="199" t="s">
        <v>436</v>
      </c>
      <c r="J179" s="200" t="s">
        <v>9524</v>
      </c>
      <c r="K179" s="245">
        <v>960000</v>
      </c>
      <c r="L179" s="201" t="s">
        <v>173</v>
      </c>
      <c r="M179" s="201" t="s">
        <v>9361</v>
      </c>
    </row>
    <row r="180" spans="1:13">
      <c r="A180" s="198" t="s">
        <v>9480</v>
      </c>
      <c r="B180" s="198" t="s">
        <v>9694</v>
      </c>
      <c r="C180" s="198" t="s">
        <v>9482</v>
      </c>
      <c r="D180" s="198" t="s">
        <v>9691</v>
      </c>
      <c r="E180" s="198" t="s">
        <v>19</v>
      </c>
      <c r="F180" s="198" t="s">
        <v>21</v>
      </c>
      <c r="G180" s="199" t="s">
        <v>74</v>
      </c>
      <c r="H180" s="199" t="s">
        <v>42</v>
      </c>
      <c r="I180" s="199" t="s">
        <v>436</v>
      </c>
      <c r="J180" s="200" t="s">
        <v>9524</v>
      </c>
      <c r="K180" s="245">
        <v>1140000</v>
      </c>
      <c r="L180" s="201" t="s">
        <v>173</v>
      </c>
      <c r="M180" s="201" t="s">
        <v>9361</v>
      </c>
    </row>
    <row r="181" spans="1:13">
      <c r="A181" s="198" t="s">
        <v>9480</v>
      </c>
      <c r="B181" s="198" t="s">
        <v>9695</v>
      </c>
      <c r="C181" s="198" t="s">
        <v>9482</v>
      </c>
      <c r="D181" s="198" t="s">
        <v>9691</v>
      </c>
      <c r="E181" s="198" t="s">
        <v>19</v>
      </c>
      <c r="F181" s="198" t="s">
        <v>21</v>
      </c>
      <c r="G181" s="199" t="s">
        <v>72</v>
      </c>
      <c r="H181" s="199" t="s">
        <v>26</v>
      </c>
      <c r="I181" s="199" t="s">
        <v>436</v>
      </c>
      <c r="J181" s="200" t="s">
        <v>9524</v>
      </c>
      <c r="K181" s="245">
        <v>1260000</v>
      </c>
      <c r="L181" s="201" t="s">
        <v>173</v>
      </c>
      <c r="M181" s="201" t="s">
        <v>9361</v>
      </c>
    </row>
    <row r="182" spans="1:13">
      <c r="A182" s="198" t="s">
        <v>9480</v>
      </c>
      <c r="B182" s="198" t="s">
        <v>9696</v>
      </c>
      <c r="C182" s="198" t="s">
        <v>9482</v>
      </c>
      <c r="D182" s="198" t="s">
        <v>9691</v>
      </c>
      <c r="E182" s="198" t="s">
        <v>19</v>
      </c>
      <c r="F182" s="198" t="s">
        <v>21</v>
      </c>
      <c r="G182" s="199" t="s">
        <v>72</v>
      </c>
      <c r="H182" s="199" t="s">
        <v>42</v>
      </c>
      <c r="I182" s="199" t="s">
        <v>436</v>
      </c>
      <c r="J182" s="200" t="s">
        <v>9524</v>
      </c>
      <c r="K182" s="245">
        <v>1440000</v>
      </c>
      <c r="L182" s="201" t="s">
        <v>173</v>
      </c>
      <c r="M182" s="201" t="s">
        <v>9361</v>
      </c>
    </row>
    <row r="183" spans="1:13">
      <c r="A183" s="198" t="s">
        <v>9480</v>
      </c>
      <c r="B183" s="198" t="s">
        <v>9697</v>
      </c>
      <c r="C183" s="198" t="s">
        <v>9482</v>
      </c>
      <c r="D183" s="198" t="s">
        <v>9698</v>
      </c>
      <c r="E183" s="198" t="s">
        <v>19</v>
      </c>
      <c r="F183" s="198" t="s">
        <v>21</v>
      </c>
      <c r="G183" s="199" t="s">
        <v>70</v>
      </c>
      <c r="H183" s="199" t="s">
        <v>26</v>
      </c>
      <c r="I183" s="199" t="s">
        <v>436</v>
      </c>
      <c r="J183" s="200" t="s">
        <v>9524</v>
      </c>
      <c r="K183" s="245">
        <v>540000</v>
      </c>
      <c r="L183" s="201" t="s">
        <v>173</v>
      </c>
      <c r="M183" s="201" t="s">
        <v>9607</v>
      </c>
    </row>
    <row r="184" spans="1:13">
      <c r="A184" s="198" t="s">
        <v>9480</v>
      </c>
      <c r="B184" s="198" t="s">
        <v>9699</v>
      </c>
      <c r="C184" s="198" t="s">
        <v>9482</v>
      </c>
      <c r="D184" s="198" t="s">
        <v>9698</v>
      </c>
      <c r="E184" s="198" t="s">
        <v>19</v>
      </c>
      <c r="F184" s="198" t="s">
        <v>21</v>
      </c>
      <c r="G184" s="199" t="s">
        <v>70</v>
      </c>
      <c r="H184" s="199" t="s">
        <v>42</v>
      </c>
      <c r="I184" s="199" t="s">
        <v>436</v>
      </c>
      <c r="J184" s="200" t="s">
        <v>9524</v>
      </c>
      <c r="K184" s="245">
        <v>780000</v>
      </c>
      <c r="L184" s="201" t="s">
        <v>173</v>
      </c>
      <c r="M184" s="201" t="s">
        <v>9607</v>
      </c>
    </row>
    <row r="185" spans="1:13">
      <c r="A185" s="198" t="s">
        <v>9480</v>
      </c>
      <c r="B185" s="198" t="s">
        <v>9700</v>
      </c>
      <c r="C185" s="198" t="s">
        <v>9482</v>
      </c>
      <c r="D185" s="198" t="s">
        <v>9698</v>
      </c>
      <c r="E185" s="198" t="s">
        <v>19</v>
      </c>
      <c r="F185" s="198" t="s">
        <v>21</v>
      </c>
      <c r="G185" s="199" t="s">
        <v>74</v>
      </c>
      <c r="H185" s="199" t="s">
        <v>26</v>
      </c>
      <c r="I185" s="199" t="s">
        <v>436</v>
      </c>
      <c r="J185" s="200" t="s">
        <v>9524</v>
      </c>
      <c r="K185" s="245">
        <v>960000</v>
      </c>
      <c r="L185" s="201" t="s">
        <v>173</v>
      </c>
      <c r="M185" s="201" t="s">
        <v>9607</v>
      </c>
    </row>
    <row r="186" spans="1:13">
      <c r="A186" s="198" t="s">
        <v>9480</v>
      </c>
      <c r="B186" s="198" t="s">
        <v>9701</v>
      </c>
      <c r="C186" s="198" t="s">
        <v>9482</v>
      </c>
      <c r="D186" s="198" t="s">
        <v>9698</v>
      </c>
      <c r="E186" s="198" t="s">
        <v>19</v>
      </c>
      <c r="F186" s="198" t="s">
        <v>21</v>
      </c>
      <c r="G186" s="199" t="s">
        <v>74</v>
      </c>
      <c r="H186" s="199" t="s">
        <v>42</v>
      </c>
      <c r="I186" s="199" t="s">
        <v>436</v>
      </c>
      <c r="J186" s="200" t="s">
        <v>9524</v>
      </c>
      <c r="K186" s="245">
        <v>1140000</v>
      </c>
      <c r="L186" s="201" t="s">
        <v>173</v>
      </c>
      <c r="M186" s="201" t="s">
        <v>9607</v>
      </c>
    </row>
    <row r="187" spans="1:13">
      <c r="A187" s="198" t="s">
        <v>9480</v>
      </c>
      <c r="B187" s="198" t="s">
        <v>9702</v>
      </c>
      <c r="C187" s="198" t="s">
        <v>9482</v>
      </c>
      <c r="D187" s="198" t="s">
        <v>9698</v>
      </c>
      <c r="E187" s="198" t="s">
        <v>19</v>
      </c>
      <c r="F187" s="198" t="s">
        <v>21</v>
      </c>
      <c r="G187" s="199" t="s">
        <v>72</v>
      </c>
      <c r="H187" s="199" t="s">
        <v>26</v>
      </c>
      <c r="I187" s="199" t="s">
        <v>436</v>
      </c>
      <c r="J187" s="200" t="s">
        <v>9524</v>
      </c>
      <c r="K187" s="245">
        <v>1260000</v>
      </c>
      <c r="L187" s="201" t="s">
        <v>173</v>
      </c>
      <c r="M187" s="201" t="s">
        <v>9607</v>
      </c>
    </row>
    <row r="188" spans="1:13">
      <c r="A188" s="198" t="s">
        <v>9480</v>
      </c>
      <c r="B188" s="198" t="s">
        <v>9703</v>
      </c>
      <c r="C188" s="198" t="s">
        <v>9482</v>
      </c>
      <c r="D188" s="198" t="s">
        <v>9698</v>
      </c>
      <c r="E188" s="198" t="s">
        <v>19</v>
      </c>
      <c r="F188" s="198" t="s">
        <v>21</v>
      </c>
      <c r="G188" s="199" t="s">
        <v>72</v>
      </c>
      <c r="H188" s="199" t="s">
        <v>42</v>
      </c>
      <c r="I188" s="199" t="s">
        <v>436</v>
      </c>
      <c r="J188" s="200" t="s">
        <v>9524</v>
      </c>
      <c r="K188" s="245">
        <v>1440000</v>
      </c>
      <c r="L188" s="201" t="s">
        <v>173</v>
      </c>
      <c r="M188" s="201" t="s">
        <v>9607</v>
      </c>
    </row>
    <row r="189" spans="1:13">
      <c r="A189" s="198" t="s">
        <v>9480</v>
      </c>
      <c r="B189" s="198" t="s">
        <v>9704</v>
      </c>
      <c r="C189" s="198" t="s">
        <v>9482</v>
      </c>
      <c r="D189" s="198" t="s">
        <v>9705</v>
      </c>
      <c r="E189" s="198" t="s">
        <v>19</v>
      </c>
      <c r="F189" s="198" t="s">
        <v>21</v>
      </c>
      <c r="G189" s="199" t="s">
        <v>70</v>
      </c>
      <c r="H189" s="199" t="s">
        <v>26</v>
      </c>
      <c r="I189" s="199" t="s">
        <v>436</v>
      </c>
      <c r="J189" s="200" t="s">
        <v>9524</v>
      </c>
      <c r="K189" s="245">
        <v>540000</v>
      </c>
      <c r="L189" s="201" t="s">
        <v>173</v>
      </c>
      <c r="M189" s="201" t="s">
        <v>9607</v>
      </c>
    </row>
    <row r="190" spans="1:13">
      <c r="A190" s="198" t="s">
        <v>9480</v>
      </c>
      <c r="B190" s="198" t="s">
        <v>9706</v>
      </c>
      <c r="C190" s="198" t="s">
        <v>9482</v>
      </c>
      <c r="D190" s="198" t="s">
        <v>9705</v>
      </c>
      <c r="E190" s="198" t="s">
        <v>19</v>
      </c>
      <c r="F190" s="198" t="s">
        <v>21</v>
      </c>
      <c r="G190" s="199" t="s">
        <v>70</v>
      </c>
      <c r="H190" s="199" t="s">
        <v>42</v>
      </c>
      <c r="I190" s="199" t="s">
        <v>436</v>
      </c>
      <c r="J190" s="200" t="s">
        <v>9524</v>
      </c>
      <c r="K190" s="245">
        <v>780000</v>
      </c>
      <c r="L190" s="201" t="s">
        <v>173</v>
      </c>
      <c r="M190" s="201" t="s">
        <v>9607</v>
      </c>
    </row>
    <row r="191" spans="1:13">
      <c r="A191" s="198" t="s">
        <v>9480</v>
      </c>
      <c r="B191" s="198" t="s">
        <v>9707</v>
      </c>
      <c r="C191" s="198" t="s">
        <v>9482</v>
      </c>
      <c r="D191" s="198" t="s">
        <v>9705</v>
      </c>
      <c r="E191" s="198" t="s">
        <v>19</v>
      </c>
      <c r="F191" s="198" t="s">
        <v>21</v>
      </c>
      <c r="G191" s="199" t="s">
        <v>74</v>
      </c>
      <c r="H191" s="199" t="s">
        <v>26</v>
      </c>
      <c r="I191" s="199" t="s">
        <v>436</v>
      </c>
      <c r="J191" s="200" t="s">
        <v>9524</v>
      </c>
      <c r="K191" s="245">
        <v>960000</v>
      </c>
      <c r="L191" s="201" t="s">
        <v>173</v>
      </c>
      <c r="M191" s="201" t="s">
        <v>9607</v>
      </c>
    </row>
    <row r="192" spans="1:13">
      <c r="A192" s="198" t="s">
        <v>9480</v>
      </c>
      <c r="B192" s="198" t="s">
        <v>9708</v>
      </c>
      <c r="C192" s="198" t="s">
        <v>9482</v>
      </c>
      <c r="D192" s="198" t="s">
        <v>9705</v>
      </c>
      <c r="E192" s="198" t="s">
        <v>19</v>
      </c>
      <c r="F192" s="198" t="s">
        <v>21</v>
      </c>
      <c r="G192" s="199" t="s">
        <v>74</v>
      </c>
      <c r="H192" s="199" t="s">
        <v>42</v>
      </c>
      <c r="I192" s="199" t="s">
        <v>436</v>
      </c>
      <c r="J192" s="200" t="s">
        <v>9524</v>
      </c>
      <c r="K192" s="245">
        <v>1140000</v>
      </c>
      <c r="L192" s="201" t="s">
        <v>173</v>
      </c>
      <c r="M192" s="201" t="s">
        <v>9607</v>
      </c>
    </row>
    <row r="193" spans="1:13">
      <c r="A193" s="198" t="s">
        <v>9480</v>
      </c>
      <c r="B193" s="198" t="s">
        <v>9709</v>
      </c>
      <c r="C193" s="198" t="s">
        <v>9482</v>
      </c>
      <c r="D193" s="198" t="s">
        <v>9705</v>
      </c>
      <c r="E193" s="198" t="s">
        <v>19</v>
      </c>
      <c r="F193" s="198" t="s">
        <v>21</v>
      </c>
      <c r="G193" s="199" t="s">
        <v>72</v>
      </c>
      <c r="H193" s="199" t="s">
        <v>26</v>
      </c>
      <c r="I193" s="199" t="s">
        <v>436</v>
      </c>
      <c r="J193" s="200" t="s">
        <v>9524</v>
      </c>
      <c r="K193" s="245">
        <v>1260000</v>
      </c>
      <c r="L193" s="201" t="s">
        <v>173</v>
      </c>
      <c r="M193" s="201" t="s">
        <v>9607</v>
      </c>
    </row>
    <row r="194" spans="1:13">
      <c r="A194" s="198" t="s">
        <v>9480</v>
      </c>
      <c r="B194" s="198" t="s">
        <v>9710</v>
      </c>
      <c r="C194" s="198" t="s">
        <v>9482</v>
      </c>
      <c r="D194" s="198" t="s">
        <v>9705</v>
      </c>
      <c r="E194" s="198" t="s">
        <v>19</v>
      </c>
      <c r="F194" s="198" t="s">
        <v>21</v>
      </c>
      <c r="G194" s="199" t="s">
        <v>72</v>
      </c>
      <c r="H194" s="199" t="s">
        <v>42</v>
      </c>
      <c r="I194" s="199" t="s">
        <v>436</v>
      </c>
      <c r="J194" s="200" t="s">
        <v>9524</v>
      </c>
      <c r="K194" s="245">
        <v>1440000</v>
      </c>
      <c r="L194" s="201" t="s">
        <v>173</v>
      </c>
      <c r="M194" s="201" t="s">
        <v>9607</v>
      </c>
    </row>
    <row r="195" spans="1:13">
      <c r="A195" s="198" t="s">
        <v>9480</v>
      </c>
      <c r="B195" s="198" t="s">
        <v>9711</v>
      </c>
      <c r="C195" s="198" t="s">
        <v>9482</v>
      </c>
      <c r="D195" s="198" t="s">
        <v>9712</v>
      </c>
      <c r="E195" s="198" t="s">
        <v>19</v>
      </c>
      <c r="F195" s="198" t="s">
        <v>21</v>
      </c>
      <c r="G195" s="199" t="s">
        <v>70</v>
      </c>
      <c r="H195" s="199" t="s">
        <v>26</v>
      </c>
      <c r="I195" s="199" t="s">
        <v>436</v>
      </c>
      <c r="J195" s="200" t="s">
        <v>9524</v>
      </c>
      <c r="K195" s="245">
        <v>540000</v>
      </c>
      <c r="L195" s="201" t="s">
        <v>173</v>
      </c>
      <c r="M195" s="201" t="s">
        <v>9607</v>
      </c>
    </row>
    <row r="196" spans="1:13">
      <c r="A196" s="198" t="s">
        <v>9480</v>
      </c>
      <c r="B196" s="198" t="s">
        <v>9713</v>
      </c>
      <c r="C196" s="198" t="s">
        <v>9482</v>
      </c>
      <c r="D196" s="198" t="s">
        <v>9712</v>
      </c>
      <c r="E196" s="198" t="s">
        <v>19</v>
      </c>
      <c r="F196" s="198" t="s">
        <v>21</v>
      </c>
      <c r="G196" s="199" t="s">
        <v>70</v>
      </c>
      <c r="H196" s="199" t="s">
        <v>42</v>
      </c>
      <c r="I196" s="199" t="s">
        <v>436</v>
      </c>
      <c r="J196" s="200" t="s">
        <v>9524</v>
      </c>
      <c r="K196" s="245">
        <v>780000</v>
      </c>
      <c r="L196" s="201" t="s">
        <v>173</v>
      </c>
      <c r="M196" s="201" t="s">
        <v>9607</v>
      </c>
    </row>
    <row r="197" spans="1:13">
      <c r="A197" s="198" t="s">
        <v>9480</v>
      </c>
      <c r="B197" s="198" t="s">
        <v>9714</v>
      </c>
      <c r="C197" s="198" t="s">
        <v>9482</v>
      </c>
      <c r="D197" s="198" t="s">
        <v>9712</v>
      </c>
      <c r="E197" s="198" t="s">
        <v>19</v>
      </c>
      <c r="F197" s="198" t="s">
        <v>21</v>
      </c>
      <c r="G197" s="199" t="s">
        <v>74</v>
      </c>
      <c r="H197" s="199" t="s">
        <v>26</v>
      </c>
      <c r="I197" s="199" t="s">
        <v>436</v>
      </c>
      <c r="J197" s="200" t="s">
        <v>9524</v>
      </c>
      <c r="K197" s="245">
        <v>960000</v>
      </c>
      <c r="L197" s="201" t="s">
        <v>173</v>
      </c>
      <c r="M197" s="201" t="s">
        <v>9607</v>
      </c>
    </row>
    <row r="198" spans="1:13">
      <c r="A198" s="198" t="s">
        <v>9480</v>
      </c>
      <c r="B198" s="198" t="s">
        <v>9715</v>
      </c>
      <c r="C198" s="198" t="s">
        <v>9482</v>
      </c>
      <c r="D198" s="198" t="s">
        <v>9712</v>
      </c>
      <c r="E198" s="198" t="s">
        <v>19</v>
      </c>
      <c r="F198" s="198" t="s">
        <v>21</v>
      </c>
      <c r="G198" s="199" t="s">
        <v>74</v>
      </c>
      <c r="H198" s="199" t="s">
        <v>42</v>
      </c>
      <c r="I198" s="199" t="s">
        <v>436</v>
      </c>
      <c r="J198" s="200" t="s">
        <v>9524</v>
      </c>
      <c r="K198" s="245">
        <v>1140000</v>
      </c>
      <c r="L198" s="201" t="s">
        <v>173</v>
      </c>
      <c r="M198" s="201" t="s">
        <v>9607</v>
      </c>
    </row>
    <row r="199" spans="1:13">
      <c r="A199" s="198" t="s">
        <v>9480</v>
      </c>
      <c r="B199" s="198" t="s">
        <v>9716</v>
      </c>
      <c r="C199" s="198" t="s">
        <v>9482</v>
      </c>
      <c r="D199" s="198" t="s">
        <v>9712</v>
      </c>
      <c r="E199" s="198" t="s">
        <v>19</v>
      </c>
      <c r="F199" s="198" t="s">
        <v>21</v>
      </c>
      <c r="G199" s="199" t="s">
        <v>72</v>
      </c>
      <c r="H199" s="199" t="s">
        <v>26</v>
      </c>
      <c r="I199" s="199" t="s">
        <v>436</v>
      </c>
      <c r="J199" s="200" t="s">
        <v>9524</v>
      </c>
      <c r="K199" s="245">
        <v>1260000</v>
      </c>
      <c r="L199" s="201" t="s">
        <v>173</v>
      </c>
      <c r="M199" s="201" t="s">
        <v>9607</v>
      </c>
    </row>
    <row r="200" spans="1:13">
      <c r="A200" s="198" t="s">
        <v>9480</v>
      </c>
      <c r="B200" s="198" t="s">
        <v>9717</v>
      </c>
      <c r="C200" s="198" t="s">
        <v>9482</v>
      </c>
      <c r="D200" s="198" t="s">
        <v>9712</v>
      </c>
      <c r="E200" s="198" t="s">
        <v>19</v>
      </c>
      <c r="F200" s="198" t="s">
        <v>21</v>
      </c>
      <c r="G200" s="199" t="s">
        <v>72</v>
      </c>
      <c r="H200" s="199" t="s">
        <v>42</v>
      </c>
      <c r="I200" s="199" t="s">
        <v>436</v>
      </c>
      <c r="J200" s="200" t="s">
        <v>9524</v>
      </c>
      <c r="K200" s="245">
        <v>1440000</v>
      </c>
      <c r="L200" s="201" t="s">
        <v>173</v>
      </c>
      <c r="M200" s="201" t="s">
        <v>9607</v>
      </c>
    </row>
    <row r="201" spans="1:13">
      <c r="A201" s="198" t="s">
        <v>9480</v>
      </c>
      <c r="B201" s="198" t="s">
        <v>9718</v>
      </c>
      <c r="C201" s="198" t="s">
        <v>9482</v>
      </c>
      <c r="D201" s="198" t="s">
        <v>9719</v>
      </c>
      <c r="E201" s="198" t="s">
        <v>19</v>
      </c>
      <c r="F201" s="198" t="s">
        <v>21</v>
      </c>
      <c r="G201" s="199" t="s">
        <v>70</v>
      </c>
      <c r="H201" s="199" t="s">
        <v>26</v>
      </c>
      <c r="I201" s="199" t="s">
        <v>436</v>
      </c>
      <c r="J201" s="200" t="s">
        <v>9524</v>
      </c>
      <c r="K201" s="245">
        <v>1080000</v>
      </c>
      <c r="L201" s="201" t="s">
        <v>173</v>
      </c>
      <c r="M201" s="201" t="s">
        <v>14</v>
      </c>
    </row>
    <row r="202" spans="1:13">
      <c r="A202" s="198" t="s">
        <v>9480</v>
      </c>
      <c r="B202" s="198" t="s">
        <v>9720</v>
      </c>
      <c r="C202" s="198" t="s">
        <v>9482</v>
      </c>
      <c r="D202" s="198" t="s">
        <v>9719</v>
      </c>
      <c r="E202" s="198" t="s">
        <v>19</v>
      </c>
      <c r="F202" s="198" t="s">
        <v>21</v>
      </c>
      <c r="G202" s="199" t="s">
        <v>70</v>
      </c>
      <c r="H202" s="199" t="s">
        <v>42</v>
      </c>
      <c r="I202" s="199" t="s">
        <v>436</v>
      </c>
      <c r="J202" s="200" t="s">
        <v>9524</v>
      </c>
      <c r="K202" s="245">
        <v>1140000</v>
      </c>
      <c r="L202" s="201" t="s">
        <v>173</v>
      </c>
      <c r="M202" s="201" t="s">
        <v>14</v>
      </c>
    </row>
    <row r="203" spans="1:13">
      <c r="A203" s="198" t="s">
        <v>9480</v>
      </c>
      <c r="B203" s="198" t="s">
        <v>9721</v>
      </c>
      <c r="C203" s="198" t="s">
        <v>9482</v>
      </c>
      <c r="D203" s="198" t="s">
        <v>9719</v>
      </c>
      <c r="E203" s="198" t="s">
        <v>19</v>
      </c>
      <c r="F203" s="198" t="s">
        <v>21</v>
      </c>
      <c r="G203" s="199" t="s">
        <v>74</v>
      </c>
      <c r="H203" s="199" t="s">
        <v>26</v>
      </c>
      <c r="I203" s="199" t="s">
        <v>436</v>
      </c>
      <c r="J203" s="200" t="s">
        <v>9524</v>
      </c>
      <c r="K203" s="245">
        <v>1260000</v>
      </c>
      <c r="L203" s="201" t="s">
        <v>173</v>
      </c>
      <c r="M203" s="201" t="s">
        <v>14</v>
      </c>
    </row>
    <row r="204" spans="1:13">
      <c r="A204" s="198" t="s">
        <v>9480</v>
      </c>
      <c r="B204" s="198" t="s">
        <v>9722</v>
      </c>
      <c r="C204" s="198" t="s">
        <v>9482</v>
      </c>
      <c r="D204" s="198" t="s">
        <v>9719</v>
      </c>
      <c r="E204" s="198" t="s">
        <v>19</v>
      </c>
      <c r="F204" s="198" t="s">
        <v>21</v>
      </c>
      <c r="G204" s="199" t="s">
        <v>74</v>
      </c>
      <c r="H204" s="199" t="s">
        <v>42</v>
      </c>
      <c r="I204" s="199" t="s">
        <v>436</v>
      </c>
      <c r="J204" s="200" t="s">
        <v>9524</v>
      </c>
      <c r="K204" s="245">
        <v>1500000</v>
      </c>
      <c r="L204" s="201" t="s">
        <v>173</v>
      </c>
      <c r="M204" s="201" t="s">
        <v>14</v>
      </c>
    </row>
    <row r="205" spans="1:13">
      <c r="A205" s="198" t="s">
        <v>9480</v>
      </c>
      <c r="B205" s="198" t="s">
        <v>9723</v>
      </c>
      <c r="C205" s="198" t="s">
        <v>9482</v>
      </c>
      <c r="D205" s="198" t="s">
        <v>9719</v>
      </c>
      <c r="E205" s="198" t="s">
        <v>19</v>
      </c>
      <c r="F205" s="198" t="s">
        <v>21</v>
      </c>
      <c r="G205" s="199" t="s">
        <v>72</v>
      </c>
      <c r="H205" s="199" t="s">
        <v>26</v>
      </c>
      <c r="I205" s="199" t="s">
        <v>436</v>
      </c>
      <c r="J205" s="200" t="s">
        <v>9524</v>
      </c>
      <c r="K205" s="245">
        <v>1560000</v>
      </c>
      <c r="L205" s="201" t="s">
        <v>173</v>
      </c>
      <c r="M205" s="201" t="s">
        <v>14</v>
      </c>
    </row>
    <row r="206" spans="1:13">
      <c r="A206" s="198" t="s">
        <v>9480</v>
      </c>
      <c r="B206" s="198" t="s">
        <v>9724</v>
      </c>
      <c r="C206" s="198" t="s">
        <v>9482</v>
      </c>
      <c r="D206" s="198" t="s">
        <v>9719</v>
      </c>
      <c r="E206" s="198" t="s">
        <v>19</v>
      </c>
      <c r="F206" s="198" t="s">
        <v>21</v>
      </c>
      <c r="G206" s="199" t="s">
        <v>72</v>
      </c>
      <c r="H206" s="199" t="s">
        <v>42</v>
      </c>
      <c r="I206" s="199" t="s">
        <v>436</v>
      </c>
      <c r="J206" s="200" t="s">
        <v>9524</v>
      </c>
      <c r="K206" s="245">
        <v>1500000</v>
      </c>
      <c r="L206" s="201" t="s">
        <v>173</v>
      </c>
      <c r="M206" s="201" t="s">
        <v>14</v>
      </c>
    </row>
    <row r="207" spans="1:13">
      <c r="A207" s="198" t="s">
        <v>9480</v>
      </c>
      <c r="B207" s="198" t="s">
        <v>9725</v>
      </c>
      <c r="C207" s="198" t="s">
        <v>9482</v>
      </c>
      <c r="D207" s="198" t="s">
        <v>9726</v>
      </c>
      <c r="E207" s="198" t="s">
        <v>19</v>
      </c>
      <c r="F207" s="198" t="s">
        <v>21</v>
      </c>
      <c r="G207" s="199" t="s">
        <v>70</v>
      </c>
      <c r="H207" s="199" t="s">
        <v>26</v>
      </c>
      <c r="I207" s="199" t="s">
        <v>436</v>
      </c>
      <c r="J207" s="200" t="s">
        <v>9524</v>
      </c>
      <c r="K207" s="245">
        <v>1080000</v>
      </c>
      <c r="L207" s="201" t="s">
        <v>173</v>
      </c>
      <c r="M207" s="201" t="s">
        <v>14</v>
      </c>
    </row>
    <row r="208" spans="1:13">
      <c r="A208" s="198" t="s">
        <v>9480</v>
      </c>
      <c r="B208" s="198" t="s">
        <v>9727</v>
      </c>
      <c r="C208" s="198" t="s">
        <v>9482</v>
      </c>
      <c r="D208" s="198" t="s">
        <v>9726</v>
      </c>
      <c r="E208" s="198" t="s">
        <v>19</v>
      </c>
      <c r="F208" s="198" t="s">
        <v>21</v>
      </c>
      <c r="G208" s="199" t="s">
        <v>70</v>
      </c>
      <c r="H208" s="199" t="s">
        <v>42</v>
      </c>
      <c r="I208" s="199" t="s">
        <v>436</v>
      </c>
      <c r="J208" s="200" t="s">
        <v>9524</v>
      </c>
      <c r="K208" s="245">
        <v>1140000</v>
      </c>
      <c r="L208" s="201" t="s">
        <v>173</v>
      </c>
      <c r="M208" s="201" t="s">
        <v>14</v>
      </c>
    </row>
    <row r="209" spans="1:13">
      <c r="A209" s="198" t="s">
        <v>9480</v>
      </c>
      <c r="B209" s="198" t="s">
        <v>9728</v>
      </c>
      <c r="C209" s="198" t="s">
        <v>9482</v>
      </c>
      <c r="D209" s="198" t="s">
        <v>9726</v>
      </c>
      <c r="E209" s="198" t="s">
        <v>19</v>
      </c>
      <c r="F209" s="198" t="s">
        <v>21</v>
      </c>
      <c r="G209" s="199" t="s">
        <v>74</v>
      </c>
      <c r="H209" s="199" t="s">
        <v>26</v>
      </c>
      <c r="I209" s="199" t="s">
        <v>436</v>
      </c>
      <c r="J209" s="200" t="s">
        <v>9524</v>
      </c>
      <c r="K209" s="245">
        <v>1260000</v>
      </c>
      <c r="L209" s="201" t="s">
        <v>173</v>
      </c>
      <c r="M209" s="201" t="s">
        <v>14</v>
      </c>
    </row>
    <row r="210" spans="1:13">
      <c r="A210" s="198" t="s">
        <v>9480</v>
      </c>
      <c r="B210" s="198" t="s">
        <v>9729</v>
      </c>
      <c r="C210" s="198" t="s">
        <v>9482</v>
      </c>
      <c r="D210" s="198" t="s">
        <v>9726</v>
      </c>
      <c r="E210" s="198" t="s">
        <v>19</v>
      </c>
      <c r="F210" s="198" t="s">
        <v>21</v>
      </c>
      <c r="G210" s="199" t="s">
        <v>74</v>
      </c>
      <c r="H210" s="199" t="s">
        <v>42</v>
      </c>
      <c r="I210" s="199" t="s">
        <v>436</v>
      </c>
      <c r="J210" s="200" t="s">
        <v>9524</v>
      </c>
      <c r="K210" s="245">
        <v>1500000</v>
      </c>
      <c r="L210" s="201" t="s">
        <v>173</v>
      </c>
      <c r="M210" s="201" t="s">
        <v>14</v>
      </c>
    </row>
    <row r="211" spans="1:13">
      <c r="A211" s="198" t="s">
        <v>9480</v>
      </c>
      <c r="B211" s="198" t="s">
        <v>9730</v>
      </c>
      <c r="C211" s="198" t="s">
        <v>9482</v>
      </c>
      <c r="D211" s="198" t="s">
        <v>9726</v>
      </c>
      <c r="E211" s="198" t="s">
        <v>19</v>
      </c>
      <c r="F211" s="198" t="s">
        <v>21</v>
      </c>
      <c r="G211" s="199" t="s">
        <v>72</v>
      </c>
      <c r="H211" s="199" t="s">
        <v>26</v>
      </c>
      <c r="I211" s="199" t="s">
        <v>436</v>
      </c>
      <c r="J211" s="200" t="s">
        <v>9524</v>
      </c>
      <c r="K211" s="245">
        <v>1560000</v>
      </c>
      <c r="L211" s="201" t="s">
        <v>173</v>
      </c>
      <c r="M211" s="201" t="s">
        <v>14</v>
      </c>
    </row>
    <row r="212" spans="1:13">
      <c r="A212" s="198" t="s">
        <v>9480</v>
      </c>
      <c r="B212" s="198" t="s">
        <v>9731</v>
      </c>
      <c r="C212" s="198" t="s">
        <v>9482</v>
      </c>
      <c r="D212" s="198" t="s">
        <v>9726</v>
      </c>
      <c r="E212" s="198" t="s">
        <v>19</v>
      </c>
      <c r="F212" s="198" t="s">
        <v>21</v>
      </c>
      <c r="G212" s="199" t="s">
        <v>72</v>
      </c>
      <c r="H212" s="199" t="s">
        <v>42</v>
      </c>
      <c r="I212" s="199" t="s">
        <v>436</v>
      </c>
      <c r="J212" s="200" t="s">
        <v>9524</v>
      </c>
      <c r="K212" s="245">
        <v>1500000</v>
      </c>
      <c r="L212" s="201" t="s">
        <v>173</v>
      </c>
      <c r="M212" s="201" t="s">
        <v>14</v>
      </c>
    </row>
  </sheetData>
  <mergeCells count="1">
    <mergeCell ref="A1:M1"/>
  </mergeCells>
  <conditionalFormatting sqref="B3:B212">
    <cfRule type="duplicateValues" dxfId="7" priority="1"/>
  </conditionalFormatting>
  <dataValidations count="2">
    <dataValidation type="list" allowBlank="1" showInputMessage="1" showErrorMessage="1" sqref="M3:M74 M123:M152 M201:M212">
      <formula1>"COP,USD"</formula1>
    </dataValidation>
    <dataValidation type="list" allowBlank="1" showInputMessage="1" showErrorMessage="1" sqref="L3:L212">
      <formula1>"Sí,No"</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6"/>
  <sheetViews>
    <sheetView tabSelected="1" zoomScale="70" zoomScaleNormal="70" workbookViewId="0">
      <selection activeCell="E8" sqref="E8"/>
    </sheetView>
  </sheetViews>
  <sheetFormatPr baseColWidth="10" defaultColWidth="11.54296875" defaultRowHeight="15.5"/>
  <cols>
    <col min="1" max="1" width="19" style="202" bestFit="1" customWidth="1"/>
    <col min="2" max="2" width="17.81640625" style="202" bestFit="1" customWidth="1"/>
    <col min="3" max="3" width="20.6328125" style="202" customWidth="1"/>
    <col min="4" max="4" width="50.6328125" style="202" customWidth="1"/>
    <col min="5" max="5" width="26.81640625" style="202" customWidth="1"/>
    <col min="6" max="6" width="8" style="202" bestFit="1" customWidth="1"/>
    <col min="7" max="7" width="9.08984375" style="202" bestFit="1" customWidth="1"/>
    <col min="8" max="8" width="10.6328125" style="202" bestFit="1" customWidth="1"/>
    <col min="9" max="9" width="11.54296875" style="202"/>
    <col min="10" max="10" width="11.54296875" style="202" bestFit="1" customWidth="1"/>
    <col min="11" max="11" width="14.453125" style="344" bestFit="1" customWidth="1"/>
    <col min="12" max="12" width="7.54296875" style="227" bestFit="1" customWidth="1"/>
    <col min="13" max="13" width="9.36328125" style="228" bestFit="1" customWidth="1"/>
    <col min="14" max="16384" width="11.54296875" style="202"/>
  </cols>
  <sheetData>
    <row r="1" spans="1:13" ht="25">
      <c r="A1" s="329" t="s">
        <v>9732</v>
      </c>
      <c r="B1" s="329"/>
      <c r="C1" s="329"/>
      <c r="D1" s="329"/>
      <c r="E1" s="329"/>
      <c r="F1" s="329"/>
      <c r="G1" s="329"/>
      <c r="H1" s="329"/>
      <c r="I1" s="329"/>
      <c r="J1" s="329"/>
      <c r="K1" s="329"/>
      <c r="L1" s="329"/>
      <c r="M1" s="329"/>
    </row>
    <row r="2" spans="1:13" ht="31">
      <c r="A2" s="205" t="s">
        <v>1445</v>
      </c>
      <c r="B2" s="205" t="s">
        <v>1430</v>
      </c>
      <c r="C2" s="205" t="s">
        <v>1446</v>
      </c>
      <c r="D2" s="205" t="s">
        <v>4</v>
      </c>
      <c r="E2" s="205" t="s">
        <v>5</v>
      </c>
      <c r="F2" s="205" t="s">
        <v>6</v>
      </c>
      <c r="G2" s="205" t="s">
        <v>7</v>
      </c>
      <c r="H2" s="205" t="s">
        <v>8</v>
      </c>
      <c r="I2" s="205" t="s">
        <v>9</v>
      </c>
      <c r="J2" s="205" t="s">
        <v>1434</v>
      </c>
      <c r="K2" s="341" t="s">
        <v>1432</v>
      </c>
      <c r="L2" s="205" t="s">
        <v>1433</v>
      </c>
      <c r="M2" s="205" t="s">
        <v>3</v>
      </c>
    </row>
    <row r="3" spans="1:13" ht="42">
      <c r="A3" s="336" t="s">
        <v>9942</v>
      </c>
      <c r="B3" s="336" t="s">
        <v>9733</v>
      </c>
      <c r="C3" s="336" t="s">
        <v>9734</v>
      </c>
      <c r="D3" s="336" t="s">
        <v>11269</v>
      </c>
      <c r="E3" s="336" t="s">
        <v>91</v>
      </c>
      <c r="F3" s="336" t="s">
        <v>21</v>
      </c>
      <c r="G3" s="336" t="s">
        <v>70</v>
      </c>
      <c r="H3" s="336" t="s">
        <v>26</v>
      </c>
      <c r="I3" s="336" t="s">
        <v>166</v>
      </c>
      <c r="J3" s="336" t="s">
        <v>8866</v>
      </c>
      <c r="K3" s="342">
        <v>1200000</v>
      </c>
      <c r="L3" s="337" t="s">
        <v>2057</v>
      </c>
      <c r="M3" s="330" t="s">
        <v>14</v>
      </c>
    </row>
    <row r="4" spans="1:13" ht="42">
      <c r="A4" s="338" t="s">
        <v>9942</v>
      </c>
      <c r="B4" s="338" t="s">
        <v>9735</v>
      </c>
      <c r="C4" s="338" t="s">
        <v>9734</v>
      </c>
      <c r="D4" s="338" t="s">
        <v>11269</v>
      </c>
      <c r="E4" s="338" t="s">
        <v>91</v>
      </c>
      <c r="F4" s="338" t="s">
        <v>21</v>
      </c>
      <c r="G4" s="338" t="s">
        <v>70</v>
      </c>
      <c r="H4" s="338" t="s">
        <v>42</v>
      </c>
      <c r="I4" s="338" t="s">
        <v>166</v>
      </c>
      <c r="J4" s="338" t="s">
        <v>8866</v>
      </c>
      <c r="K4" s="343">
        <v>1500000</v>
      </c>
      <c r="L4" s="339" t="s">
        <v>2057</v>
      </c>
      <c r="M4" s="340" t="s">
        <v>14</v>
      </c>
    </row>
    <row r="5" spans="1:13" ht="42">
      <c r="A5" s="338" t="s">
        <v>9942</v>
      </c>
      <c r="B5" s="338" t="s">
        <v>9736</v>
      </c>
      <c r="C5" s="338" t="s">
        <v>9734</v>
      </c>
      <c r="D5" s="338" t="s">
        <v>11269</v>
      </c>
      <c r="E5" s="338" t="s">
        <v>91</v>
      </c>
      <c r="F5" s="338" t="s">
        <v>21</v>
      </c>
      <c r="G5" s="338" t="s">
        <v>74</v>
      </c>
      <c r="H5" s="338" t="s">
        <v>26</v>
      </c>
      <c r="I5" s="338" t="s">
        <v>166</v>
      </c>
      <c r="J5" s="338" t="s">
        <v>8866</v>
      </c>
      <c r="K5" s="343">
        <v>1200000</v>
      </c>
      <c r="L5" s="339" t="s">
        <v>2057</v>
      </c>
      <c r="M5" s="340" t="s">
        <v>14</v>
      </c>
    </row>
    <row r="6" spans="1:13" ht="42">
      <c r="A6" s="338" t="s">
        <v>9942</v>
      </c>
      <c r="B6" s="338" t="s">
        <v>9737</v>
      </c>
      <c r="C6" s="338" t="s">
        <v>9734</v>
      </c>
      <c r="D6" s="338" t="s">
        <v>11269</v>
      </c>
      <c r="E6" s="338" t="s">
        <v>91</v>
      </c>
      <c r="F6" s="338" t="s">
        <v>21</v>
      </c>
      <c r="G6" s="338" t="s">
        <v>74</v>
      </c>
      <c r="H6" s="338" t="s">
        <v>42</v>
      </c>
      <c r="I6" s="338" t="s">
        <v>166</v>
      </c>
      <c r="J6" s="338" t="s">
        <v>8866</v>
      </c>
      <c r="K6" s="343">
        <v>1800000</v>
      </c>
      <c r="L6" s="339" t="s">
        <v>2057</v>
      </c>
      <c r="M6" s="340" t="s">
        <v>14</v>
      </c>
    </row>
    <row r="7" spans="1:13" ht="42">
      <c r="A7" s="338" t="s">
        <v>9942</v>
      </c>
      <c r="B7" s="338" t="s">
        <v>9738</v>
      </c>
      <c r="C7" s="338" t="s">
        <v>9734</v>
      </c>
      <c r="D7" s="338" t="s">
        <v>11269</v>
      </c>
      <c r="E7" s="338" t="s">
        <v>91</v>
      </c>
      <c r="F7" s="338" t="s">
        <v>21</v>
      </c>
      <c r="G7" s="338" t="s">
        <v>72</v>
      </c>
      <c r="H7" s="338" t="s">
        <v>26</v>
      </c>
      <c r="I7" s="338" t="s">
        <v>166</v>
      </c>
      <c r="J7" s="338" t="s">
        <v>8866</v>
      </c>
      <c r="K7" s="343">
        <v>1200000</v>
      </c>
      <c r="L7" s="339" t="s">
        <v>2057</v>
      </c>
      <c r="M7" s="340" t="s">
        <v>14</v>
      </c>
    </row>
    <row r="8" spans="1:13" ht="42">
      <c r="A8" s="338" t="s">
        <v>9942</v>
      </c>
      <c r="B8" s="338" t="s">
        <v>9739</v>
      </c>
      <c r="C8" s="338" t="s">
        <v>9734</v>
      </c>
      <c r="D8" s="338" t="s">
        <v>11269</v>
      </c>
      <c r="E8" s="338" t="s">
        <v>91</v>
      </c>
      <c r="F8" s="338" t="s">
        <v>21</v>
      </c>
      <c r="G8" s="338" t="s">
        <v>72</v>
      </c>
      <c r="H8" s="338" t="s">
        <v>42</v>
      </c>
      <c r="I8" s="338" t="s">
        <v>166</v>
      </c>
      <c r="J8" s="338" t="s">
        <v>8866</v>
      </c>
      <c r="K8" s="343">
        <v>2100000</v>
      </c>
      <c r="L8" s="339" t="s">
        <v>2057</v>
      </c>
      <c r="M8" s="340" t="s">
        <v>14</v>
      </c>
    </row>
    <row r="9" spans="1:13" ht="42">
      <c r="A9" s="338" t="s">
        <v>9942</v>
      </c>
      <c r="B9" s="338" t="s">
        <v>9740</v>
      </c>
      <c r="C9" s="338" t="s">
        <v>9734</v>
      </c>
      <c r="D9" s="338" t="s">
        <v>98</v>
      </c>
      <c r="E9" s="338" t="s">
        <v>99</v>
      </c>
      <c r="F9" s="338" t="s">
        <v>21</v>
      </c>
      <c r="G9" s="338" t="s">
        <v>70</v>
      </c>
      <c r="H9" s="338" t="s">
        <v>26</v>
      </c>
      <c r="I9" s="338" t="s">
        <v>166</v>
      </c>
      <c r="J9" s="338" t="s">
        <v>8866</v>
      </c>
      <c r="K9" s="343">
        <v>1500000</v>
      </c>
      <c r="L9" s="339" t="s">
        <v>2057</v>
      </c>
      <c r="M9" s="340" t="s">
        <v>14</v>
      </c>
    </row>
    <row r="10" spans="1:13" ht="42">
      <c r="A10" s="338" t="s">
        <v>9942</v>
      </c>
      <c r="B10" s="338" t="s">
        <v>9741</v>
      </c>
      <c r="C10" s="338" t="s">
        <v>9734</v>
      </c>
      <c r="D10" s="338" t="s">
        <v>98</v>
      </c>
      <c r="E10" s="338" t="s">
        <v>99</v>
      </c>
      <c r="F10" s="338" t="s">
        <v>21</v>
      </c>
      <c r="G10" s="338" t="s">
        <v>70</v>
      </c>
      <c r="H10" s="338" t="s">
        <v>42</v>
      </c>
      <c r="I10" s="338" t="s">
        <v>166</v>
      </c>
      <c r="J10" s="338" t="s">
        <v>8866</v>
      </c>
      <c r="K10" s="343">
        <v>2400000</v>
      </c>
      <c r="L10" s="339" t="s">
        <v>2057</v>
      </c>
      <c r="M10" s="340" t="s">
        <v>14</v>
      </c>
    </row>
    <row r="11" spans="1:13" ht="42">
      <c r="A11" s="338" t="s">
        <v>9942</v>
      </c>
      <c r="B11" s="338" t="s">
        <v>9742</v>
      </c>
      <c r="C11" s="338" t="s">
        <v>9734</v>
      </c>
      <c r="D11" s="338" t="s">
        <v>98</v>
      </c>
      <c r="E11" s="338" t="s">
        <v>99</v>
      </c>
      <c r="F11" s="338" t="s">
        <v>21</v>
      </c>
      <c r="G11" s="338" t="s">
        <v>74</v>
      </c>
      <c r="H11" s="338" t="s">
        <v>26</v>
      </c>
      <c r="I11" s="338" t="s">
        <v>166</v>
      </c>
      <c r="J11" s="338" t="s">
        <v>8866</v>
      </c>
      <c r="K11" s="343">
        <v>1500000</v>
      </c>
      <c r="L11" s="339" t="s">
        <v>2057</v>
      </c>
      <c r="M11" s="340" t="s">
        <v>14</v>
      </c>
    </row>
    <row r="12" spans="1:13" ht="42">
      <c r="A12" s="338" t="s">
        <v>9942</v>
      </c>
      <c r="B12" s="338" t="s">
        <v>9743</v>
      </c>
      <c r="C12" s="338" t="s">
        <v>9734</v>
      </c>
      <c r="D12" s="338" t="s">
        <v>98</v>
      </c>
      <c r="E12" s="338" t="s">
        <v>99</v>
      </c>
      <c r="F12" s="338" t="s">
        <v>21</v>
      </c>
      <c r="G12" s="338" t="s">
        <v>74</v>
      </c>
      <c r="H12" s="338" t="s">
        <v>42</v>
      </c>
      <c r="I12" s="338" t="s">
        <v>166</v>
      </c>
      <c r="J12" s="338" t="s">
        <v>8866</v>
      </c>
      <c r="K12" s="343">
        <v>2700000</v>
      </c>
      <c r="L12" s="339" t="s">
        <v>2057</v>
      </c>
      <c r="M12" s="340" t="s">
        <v>14</v>
      </c>
    </row>
    <row r="13" spans="1:13" ht="42">
      <c r="A13" s="338" t="s">
        <v>9942</v>
      </c>
      <c r="B13" s="338" t="s">
        <v>9744</v>
      </c>
      <c r="C13" s="338" t="s">
        <v>9734</v>
      </c>
      <c r="D13" s="338" t="s">
        <v>98</v>
      </c>
      <c r="E13" s="338" t="s">
        <v>99</v>
      </c>
      <c r="F13" s="338" t="s">
        <v>21</v>
      </c>
      <c r="G13" s="338" t="s">
        <v>72</v>
      </c>
      <c r="H13" s="338" t="s">
        <v>26</v>
      </c>
      <c r="I13" s="338" t="s">
        <v>166</v>
      </c>
      <c r="J13" s="338" t="s">
        <v>8866</v>
      </c>
      <c r="K13" s="343">
        <v>1500000</v>
      </c>
      <c r="L13" s="339" t="s">
        <v>2057</v>
      </c>
      <c r="M13" s="340" t="s">
        <v>14</v>
      </c>
    </row>
    <row r="14" spans="1:13" ht="42">
      <c r="A14" s="338" t="s">
        <v>9942</v>
      </c>
      <c r="B14" s="338" t="s">
        <v>9745</v>
      </c>
      <c r="C14" s="338" t="s">
        <v>9734</v>
      </c>
      <c r="D14" s="338" t="s">
        <v>98</v>
      </c>
      <c r="E14" s="338" t="s">
        <v>99</v>
      </c>
      <c r="F14" s="338" t="s">
        <v>21</v>
      </c>
      <c r="G14" s="338" t="s">
        <v>72</v>
      </c>
      <c r="H14" s="338" t="s">
        <v>42</v>
      </c>
      <c r="I14" s="338" t="s">
        <v>166</v>
      </c>
      <c r="J14" s="338" t="s">
        <v>8866</v>
      </c>
      <c r="K14" s="343">
        <v>3000000</v>
      </c>
      <c r="L14" s="339" t="s">
        <v>2057</v>
      </c>
      <c r="M14" s="340" t="s">
        <v>14</v>
      </c>
    </row>
    <row r="15" spans="1:13" ht="42">
      <c r="A15" s="338" t="s">
        <v>9942</v>
      </c>
      <c r="B15" s="338" t="s">
        <v>9746</v>
      </c>
      <c r="C15" s="338" t="s">
        <v>9734</v>
      </c>
      <c r="D15" s="338" t="s">
        <v>11270</v>
      </c>
      <c r="E15" s="338" t="s">
        <v>91</v>
      </c>
      <c r="F15" s="338" t="s">
        <v>21</v>
      </c>
      <c r="G15" s="338" t="s">
        <v>70</v>
      </c>
      <c r="H15" s="338" t="s">
        <v>26</v>
      </c>
      <c r="I15" s="338" t="s">
        <v>166</v>
      </c>
      <c r="J15" s="338" t="s">
        <v>8866</v>
      </c>
      <c r="K15" s="343">
        <v>1200000</v>
      </c>
      <c r="L15" s="339" t="s">
        <v>2057</v>
      </c>
      <c r="M15" s="340" t="s">
        <v>14</v>
      </c>
    </row>
    <row r="16" spans="1:13" ht="42">
      <c r="A16" s="338" t="s">
        <v>9942</v>
      </c>
      <c r="B16" s="338" t="s">
        <v>9747</v>
      </c>
      <c r="C16" s="338" t="s">
        <v>9734</v>
      </c>
      <c r="D16" s="338" t="s">
        <v>11270</v>
      </c>
      <c r="E16" s="338" t="s">
        <v>91</v>
      </c>
      <c r="F16" s="338" t="s">
        <v>21</v>
      </c>
      <c r="G16" s="338" t="s">
        <v>70</v>
      </c>
      <c r="H16" s="338" t="s">
        <v>42</v>
      </c>
      <c r="I16" s="338" t="s">
        <v>166</v>
      </c>
      <c r="J16" s="338" t="s">
        <v>8866</v>
      </c>
      <c r="K16" s="343">
        <v>1500000</v>
      </c>
      <c r="L16" s="339" t="s">
        <v>2057</v>
      </c>
      <c r="M16" s="340" t="s">
        <v>14</v>
      </c>
    </row>
    <row r="17" spans="1:13" ht="42">
      <c r="A17" s="338" t="s">
        <v>9942</v>
      </c>
      <c r="B17" s="338" t="s">
        <v>9748</v>
      </c>
      <c r="C17" s="338" t="s">
        <v>9734</v>
      </c>
      <c r="D17" s="338" t="s">
        <v>11270</v>
      </c>
      <c r="E17" s="338" t="s">
        <v>91</v>
      </c>
      <c r="F17" s="338" t="s">
        <v>21</v>
      </c>
      <c r="G17" s="338" t="s">
        <v>74</v>
      </c>
      <c r="H17" s="338" t="s">
        <v>26</v>
      </c>
      <c r="I17" s="338" t="s">
        <v>166</v>
      </c>
      <c r="J17" s="338" t="s">
        <v>8866</v>
      </c>
      <c r="K17" s="343">
        <v>1200000</v>
      </c>
      <c r="L17" s="339" t="s">
        <v>2057</v>
      </c>
      <c r="M17" s="340" t="s">
        <v>14</v>
      </c>
    </row>
    <row r="18" spans="1:13" ht="42">
      <c r="A18" s="338" t="s">
        <v>9942</v>
      </c>
      <c r="B18" s="338" t="s">
        <v>9749</v>
      </c>
      <c r="C18" s="338" t="s">
        <v>9734</v>
      </c>
      <c r="D18" s="338" t="s">
        <v>11270</v>
      </c>
      <c r="E18" s="338" t="s">
        <v>91</v>
      </c>
      <c r="F18" s="338" t="s">
        <v>21</v>
      </c>
      <c r="G18" s="338" t="s">
        <v>74</v>
      </c>
      <c r="H18" s="338" t="s">
        <v>42</v>
      </c>
      <c r="I18" s="338" t="s">
        <v>166</v>
      </c>
      <c r="J18" s="338" t="s">
        <v>8866</v>
      </c>
      <c r="K18" s="343">
        <v>1800000</v>
      </c>
      <c r="L18" s="339" t="s">
        <v>2057</v>
      </c>
      <c r="M18" s="340" t="s">
        <v>14</v>
      </c>
    </row>
    <row r="19" spans="1:13" ht="42">
      <c r="A19" s="338" t="s">
        <v>9942</v>
      </c>
      <c r="B19" s="338" t="s">
        <v>9750</v>
      </c>
      <c r="C19" s="338" t="s">
        <v>9734</v>
      </c>
      <c r="D19" s="338" t="s">
        <v>11270</v>
      </c>
      <c r="E19" s="338" t="s">
        <v>91</v>
      </c>
      <c r="F19" s="338" t="s">
        <v>21</v>
      </c>
      <c r="G19" s="338" t="s">
        <v>72</v>
      </c>
      <c r="H19" s="338" t="s">
        <v>26</v>
      </c>
      <c r="I19" s="338" t="s">
        <v>166</v>
      </c>
      <c r="J19" s="338" t="s">
        <v>8866</v>
      </c>
      <c r="K19" s="343">
        <v>1200000</v>
      </c>
      <c r="L19" s="339" t="s">
        <v>2057</v>
      </c>
      <c r="M19" s="340" t="s">
        <v>14</v>
      </c>
    </row>
    <row r="20" spans="1:13" ht="42">
      <c r="A20" s="338" t="s">
        <v>9942</v>
      </c>
      <c r="B20" s="338" t="s">
        <v>9751</v>
      </c>
      <c r="C20" s="338" t="s">
        <v>9734</v>
      </c>
      <c r="D20" s="338" t="s">
        <v>11270</v>
      </c>
      <c r="E20" s="338" t="s">
        <v>91</v>
      </c>
      <c r="F20" s="338" t="s">
        <v>21</v>
      </c>
      <c r="G20" s="338" t="s">
        <v>72</v>
      </c>
      <c r="H20" s="338" t="s">
        <v>42</v>
      </c>
      <c r="I20" s="338" t="s">
        <v>166</v>
      </c>
      <c r="J20" s="338" t="s">
        <v>8866</v>
      </c>
      <c r="K20" s="343">
        <v>2100000</v>
      </c>
      <c r="L20" s="339" t="s">
        <v>2057</v>
      </c>
      <c r="M20" s="340" t="s">
        <v>14</v>
      </c>
    </row>
    <row r="21" spans="1:13" ht="42">
      <c r="A21" s="338" t="s">
        <v>9942</v>
      </c>
      <c r="B21" s="338" t="s">
        <v>9752</v>
      </c>
      <c r="C21" s="338" t="s">
        <v>9734</v>
      </c>
      <c r="D21" s="338" t="s">
        <v>113</v>
      </c>
      <c r="E21" s="338" t="s">
        <v>99</v>
      </c>
      <c r="F21" s="338" t="s">
        <v>21</v>
      </c>
      <c r="G21" s="338" t="s">
        <v>70</v>
      </c>
      <c r="H21" s="338" t="s">
        <v>26</v>
      </c>
      <c r="I21" s="338" t="s">
        <v>166</v>
      </c>
      <c r="J21" s="338" t="s">
        <v>8866</v>
      </c>
      <c r="K21" s="343">
        <v>1500000</v>
      </c>
      <c r="L21" s="339" t="s">
        <v>2057</v>
      </c>
      <c r="M21" s="340" t="s">
        <v>14</v>
      </c>
    </row>
    <row r="22" spans="1:13" ht="42">
      <c r="A22" s="338" t="s">
        <v>9942</v>
      </c>
      <c r="B22" s="338" t="s">
        <v>9753</v>
      </c>
      <c r="C22" s="338" t="s">
        <v>9734</v>
      </c>
      <c r="D22" s="338" t="s">
        <v>113</v>
      </c>
      <c r="E22" s="338" t="s">
        <v>99</v>
      </c>
      <c r="F22" s="338" t="s">
        <v>21</v>
      </c>
      <c r="G22" s="338" t="s">
        <v>70</v>
      </c>
      <c r="H22" s="338" t="s">
        <v>42</v>
      </c>
      <c r="I22" s="338" t="s">
        <v>166</v>
      </c>
      <c r="J22" s="338" t="s">
        <v>8866</v>
      </c>
      <c r="K22" s="343">
        <v>2400000</v>
      </c>
      <c r="L22" s="339" t="s">
        <v>2057</v>
      </c>
      <c r="M22" s="340" t="s">
        <v>14</v>
      </c>
    </row>
    <row r="23" spans="1:13" ht="42">
      <c r="A23" s="338" t="s">
        <v>9942</v>
      </c>
      <c r="B23" s="338" t="s">
        <v>9754</v>
      </c>
      <c r="C23" s="338" t="s">
        <v>9734</v>
      </c>
      <c r="D23" s="338" t="s">
        <v>113</v>
      </c>
      <c r="E23" s="338" t="s">
        <v>99</v>
      </c>
      <c r="F23" s="338" t="s">
        <v>21</v>
      </c>
      <c r="G23" s="338" t="s">
        <v>74</v>
      </c>
      <c r="H23" s="338" t="s">
        <v>26</v>
      </c>
      <c r="I23" s="338" t="s">
        <v>166</v>
      </c>
      <c r="J23" s="338" t="s">
        <v>8866</v>
      </c>
      <c r="K23" s="343">
        <v>1500000</v>
      </c>
      <c r="L23" s="339" t="s">
        <v>2057</v>
      </c>
      <c r="M23" s="340" t="s">
        <v>14</v>
      </c>
    </row>
    <row r="24" spans="1:13" ht="42">
      <c r="A24" s="338" t="s">
        <v>9942</v>
      </c>
      <c r="B24" s="338" t="s">
        <v>9755</v>
      </c>
      <c r="C24" s="338" t="s">
        <v>9734</v>
      </c>
      <c r="D24" s="338" t="s">
        <v>113</v>
      </c>
      <c r="E24" s="338" t="s">
        <v>99</v>
      </c>
      <c r="F24" s="338" t="s">
        <v>21</v>
      </c>
      <c r="G24" s="338" t="s">
        <v>74</v>
      </c>
      <c r="H24" s="338" t="s">
        <v>42</v>
      </c>
      <c r="I24" s="338" t="s">
        <v>166</v>
      </c>
      <c r="J24" s="338" t="s">
        <v>8866</v>
      </c>
      <c r="K24" s="343">
        <v>2700000</v>
      </c>
      <c r="L24" s="339" t="s">
        <v>2057</v>
      </c>
      <c r="M24" s="340" t="s">
        <v>14</v>
      </c>
    </row>
    <row r="25" spans="1:13" ht="42">
      <c r="A25" s="338" t="s">
        <v>9942</v>
      </c>
      <c r="B25" s="338" t="s">
        <v>9756</v>
      </c>
      <c r="C25" s="338" t="s">
        <v>9734</v>
      </c>
      <c r="D25" s="338" t="s">
        <v>113</v>
      </c>
      <c r="E25" s="338" t="s">
        <v>99</v>
      </c>
      <c r="F25" s="338" t="s">
        <v>21</v>
      </c>
      <c r="G25" s="338" t="s">
        <v>72</v>
      </c>
      <c r="H25" s="338" t="s">
        <v>26</v>
      </c>
      <c r="I25" s="338" t="s">
        <v>166</v>
      </c>
      <c r="J25" s="338" t="s">
        <v>8866</v>
      </c>
      <c r="K25" s="343">
        <v>1500000</v>
      </c>
      <c r="L25" s="339" t="s">
        <v>2057</v>
      </c>
      <c r="M25" s="340" t="s">
        <v>14</v>
      </c>
    </row>
    <row r="26" spans="1:13" ht="42">
      <c r="A26" s="338" t="s">
        <v>9942</v>
      </c>
      <c r="B26" s="338" t="s">
        <v>9757</v>
      </c>
      <c r="C26" s="338" t="s">
        <v>9734</v>
      </c>
      <c r="D26" s="338" t="s">
        <v>113</v>
      </c>
      <c r="E26" s="338" t="s">
        <v>99</v>
      </c>
      <c r="F26" s="338" t="s">
        <v>21</v>
      </c>
      <c r="G26" s="338" t="s">
        <v>72</v>
      </c>
      <c r="H26" s="338" t="s">
        <v>42</v>
      </c>
      <c r="I26" s="338" t="s">
        <v>166</v>
      </c>
      <c r="J26" s="338" t="s">
        <v>8866</v>
      </c>
      <c r="K26" s="343">
        <v>3000000</v>
      </c>
      <c r="L26" s="339" t="s">
        <v>2057</v>
      </c>
      <c r="M26" s="340" t="s">
        <v>14</v>
      </c>
    </row>
    <row r="27" spans="1:13" ht="56">
      <c r="A27" s="338" t="s">
        <v>9942</v>
      </c>
      <c r="B27" s="338" t="s">
        <v>9758</v>
      </c>
      <c r="C27" s="338" t="s">
        <v>9734</v>
      </c>
      <c r="D27" s="338" t="s">
        <v>120</v>
      </c>
      <c r="E27" s="338" t="s">
        <v>29</v>
      </c>
      <c r="F27" s="338" t="s">
        <v>21</v>
      </c>
      <c r="G27" s="338" t="s">
        <v>70</v>
      </c>
      <c r="H27" s="338" t="s">
        <v>26</v>
      </c>
      <c r="I27" s="338" t="s">
        <v>167</v>
      </c>
      <c r="J27" s="338" t="s">
        <v>1435</v>
      </c>
      <c r="K27" s="343">
        <v>150000</v>
      </c>
      <c r="L27" s="339" t="s">
        <v>2057</v>
      </c>
      <c r="M27" s="340" t="s">
        <v>14</v>
      </c>
    </row>
    <row r="28" spans="1:13" ht="56">
      <c r="A28" s="338" t="s">
        <v>9942</v>
      </c>
      <c r="B28" s="338" t="s">
        <v>9759</v>
      </c>
      <c r="C28" s="338" t="s">
        <v>9734</v>
      </c>
      <c r="D28" s="338" t="s">
        <v>120</v>
      </c>
      <c r="E28" s="338" t="s">
        <v>29</v>
      </c>
      <c r="F28" s="338" t="s">
        <v>21</v>
      </c>
      <c r="G28" s="338" t="s">
        <v>70</v>
      </c>
      <c r="H28" s="338" t="s">
        <v>42</v>
      </c>
      <c r="I28" s="338" t="s">
        <v>167</v>
      </c>
      <c r="J28" s="338" t="s">
        <v>1435</v>
      </c>
      <c r="K28" s="343">
        <v>170000</v>
      </c>
      <c r="L28" s="339" t="s">
        <v>2057</v>
      </c>
      <c r="M28" s="340" t="s">
        <v>14</v>
      </c>
    </row>
    <row r="29" spans="1:13" ht="56">
      <c r="A29" s="338" t="s">
        <v>9942</v>
      </c>
      <c r="B29" s="338" t="s">
        <v>9760</v>
      </c>
      <c r="C29" s="338" t="s">
        <v>9734</v>
      </c>
      <c r="D29" s="338" t="s">
        <v>120</v>
      </c>
      <c r="E29" s="338" t="s">
        <v>29</v>
      </c>
      <c r="F29" s="338" t="s">
        <v>21</v>
      </c>
      <c r="G29" s="338" t="s">
        <v>74</v>
      </c>
      <c r="H29" s="338" t="s">
        <v>26</v>
      </c>
      <c r="I29" s="338" t="s">
        <v>167</v>
      </c>
      <c r="J29" s="338" t="s">
        <v>1435</v>
      </c>
      <c r="K29" s="343">
        <v>150000</v>
      </c>
      <c r="L29" s="339" t="s">
        <v>2057</v>
      </c>
      <c r="M29" s="340" t="s">
        <v>14</v>
      </c>
    </row>
    <row r="30" spans="1:13" ht="56">
      <c r="A30" s="338" t="s">
        <v>9942</v>
      </c>
      <c r="B30" s="338" t="s">
        <v>9761</v>
      </c>
      <c r="C30" s="338" t="s">
        <v>9734</v>
      </c>
      <c r="D30" s="338" t="s">
        <v>120</v>
      </c>
      <c r="E30" s="338" t="s">
        <v>29</v>
      </c>
      <c r="F30" s="338" t="s">
        <v>21</v>
      </c>
      <c r="G30" s="338" t="s">
        <v>74</v>
      </c>
      <c r="H30" s="338" t="s">
        <v>42</v>
      </c>
      <c r="I30" s="338" t="s">
        <v>167</v>
      </c>
      <c r="J30" s="338" t="s">
        <v>1435</v>
      </c>
      <c r="K30" s="343">
        <v>190000</v>
      </c>
      <c r="L30" s="339" t="s">
        <v>2057</v>
      </c>
      <c r="M30" s="340" t="s">
        <v>14</v>
      </c>
    </row>
    <row r="31" spans="1:13" ht="56">
      <c r="A31" s="338" t="s">
        <v>9942</v>
      </c>
      <c r="B31" s="338" t="s">
        <v>9762</v>
      </c>
      <c r="C31" s="338" t="s">
        <v>9734</v>
      </c>
      <c r="D31" s="338" t="s">
        <v>120</v>
      </c>
      <c r="E31" s="338" t="s">
        <v>29</v>
      </c>
      <c r="F31" s="338" t="s">
        <v>21</v>
      </c>
      <c r="G31" s="338" t="s">
        <v>72</v>
      </c>
      <c r="H31" s="338" t="s">
        <v>26</v>
      </c>
      <c r="I31" s="338" t="s">
        <v>167</v>
      </c>
      <c r="J31" s="338" t="s">
        <v>1435</v>
      </c>
      <c r="K31" s="343">
        <v>150000</v>
      </c>
      <c r="L31" s="339" t="s">
        <v>2057</v>
      </c>
      <c r="M31" s="340" t="s">
        <v>14</v>
      </c>
    </row>
    <row r="32" spans="1:13" ht="56">
      <c r="A32" s="338" t="s">
        <v>9942</v>
      </c>
      <c r="B32" s="338" t="s">
        <v>9763</v>
      </c>
      <c r="C32" s="338" t="s">
        <v>9734</v>
      </c>
      <c r="D32" s="338" t="s">
        <v>120</v>
      </c>
      <c r="E32" s="338" t="s">
        <v>29</v>
      </c>
      <c r="F32" s="338" t="s">
        <v>21</v>
      </c>
      <c r="G32" s="338" t="s">
        <v>72</v>
      </c>
      <c r="H32" s="338" t="s">
        <v>42</v>
      </c>
      <c r="I32" s="338" t="s">
        <v>167</v>
      </c>
      <c r="J32" s="338" t="s">
        <v>1435</v>
      </c>
      <c r="K32" s="343">
        <v>250000</v>
      </c>
      <c r="L32" s="339" t="s">
        <v>2057</v>
      </c>
      <c r="M32" s="340" t="s">
        <v>14</v>
      </c>
    </row>
    <row r="33" spans="1:13" ht="56">
      <c r="A33" s="338" t="s">
        <v>9942</v>
      </c>
      <c r="B33" s="338" t="s">
        <v>9764</v>
      </c>
      <c r="C33" s="338" t="s">
        <v>9734</v>
      </c>
      <c r="D33" s="338" t="s">
        <v>127</v>
      </c>
      <c r="E33" s="338" t="s">
        <v>128</v>
      </c>
      <c r="F33" s="338" t="s">
        <v>21</v>
      </c>
      <c r="G33" s="338" t="s">
        <v>70</v>
      </c>
      <c r="H33" s="338" t="s">
        <v>42</v>
      </c>
      <c r="I33" s="338" t="s">
        <v>167</v>
      </c>
      <c r="J33" s="338" t="s">
        <v>1435</v>
      </c>
      <c r="K33" s="343">
        <v>20000000</v>
      </c>
      <c r="L33" s="339" t="s">
        <v>2057</v>
      </c>
      <c r="M33" s="340" t="s">
        <v>14</v>
      </c>
    </row>
    <row r="34" spans="1:13" ht="56">
      <c r="A34" s="338" t="s">
        <v>9942</v>
      </c>
      <c r="B34" s="338" t="s">
        <v>9765</v>
      </c>
      <c r="C34" s="338" t="s">
        <v>9734</v>
      </c>
      <c r="D34" s="338" t="s">
        <v>127</v>
      </c>
      <c r="E34" s="338" t="s">
        <v>128</v>
      </c>
      <c r="F34" s="338" t="s">
        <v>21</v>
      </c>
      <c r="G34" s="338" t="s">
        <v>74</v>
      </c>
      <c r="H34" s="338" t="s">
        <v>42</v>
      </c>
      <c r="I34" s="338" t="s">
        <v>167</v>
      </c>
      <c r="J34" s="338" t="s">
        <v>1435</v>
      </c>
      <c r="K34" s="343">
        <v>24000000</v>
      </c>
      <c r="L34" s="339" t="s">
        <v>2057</v>
      </c>
      <c r="M34" s="340" t="s">
        <v>14</v>
      </c>
    </row>
    <row r="35" spans="1:13" ht="56">
      <c r="A35" s="338" t="s">
        <v>9942</v>
      </c>
      <c r="B35" s="338" t="s">
        <v>9766</v>
      </c>
      <c r="C35" s="338" t="s">
        <v>9734</v>
      </c>
      <c r="D35" s="338" t="s">
        <v>127</v>
      </c>
      <c r="E35" s="338" t="s">
        <v>128</v>
      </c>
      <c r="F35" s="338" t="s">
        <v>21</v>
      </c>
      <c r="G35" s="338" t="s">
        <v>72</v>
      </c>
      <c r="H35" s="338" t="s">
        <v>42</v>
      </c>
      <c r="I35" s="338" t="s">
        <v>167</v>
      </c>
      <c r="J35" s="338" t="s">
        <v>1435</v>
      </c>
      <c r="K35" s="343">
        <v>28000000</v>
      </c>
      <c r="L35" s="339" t="s">
        <v>2057</v>
      </c>
      <c r="M35" s="340" t="s">
        <v>14</v>
      </c>
    </row>
    <row r="36" spans="1:13" ht="42">
      <c r="A36" s="338" t="s">
        <v>9942</v>
      </c>
      <c r="B36" s="338" t="s">
        <v>9767</v>
      </c>
      <c r="C36" s="338" t="s">
        <v>9734</v>
      </c>
      <c r="D36" s="338" t="s">
        <v>9768</v>
      </c>
      <c r="E36" s="338" t="s">
        <v>133</v>
      </c>
      <c r="F36" s="338" t="s">
        <v>21</v>
      </c>
      <c r="G36" s="338" t="s">
        <v>70</v>
      </c>
      <c r="H36" s="338" t="s">
        <v>26</v>
      </c>
      <c r="I36" s="338" t="s">
        <v>11271</v>
      </c>
      <c r="J36" s="338" t="s">
        <v>8866</v>
      </c>
      <c r="K36" s="343">
        <v>15000000</v>
      </c>
      <c r="L36" s="339" t="s">
        <v>173</v>
      </c>
      <c r="M36" s="340" t="s">
        <v>14</v>
      </c>
    </row>
    <row r="37" spans="1:13" ht="42">
      <c r="A37" s="338" t="s">
        <v>9942</v>
      </c>
      <c r="B37" s="338" t="s">
        <v>9769</v>
      </c>
      <c r="C37" s="338" t="s">
        <v>9734</v>
      </c>
      <c r="D37" s="338" t="s">
        <v>9768</v>
      </c>
      <c r="E37" s="338" t="s">
        <v>133</v>
      </c>
      <c r="F37" s="338" t="s">
        <v>21</v>
      </c>
      <c r="G37" s="338" t="s">
        <v>70</v>
      </c>
      <c r="H37" s="338" t="s">
        <v>42</v>
      </c>
      <c r="I37" s="338" t="s">
        <v>11271</v>
      </c>
      <c r="J37" s="338" t="s">
        <v>8866</v>
      </c>
      <c r="K37" s="343">
        <v>20000000</v>
      </c>
      <c r="L37" s="339" t="s">
        <v>2057</v>
      </c>
      <c r="M37" s="340" t="s">
        <v>14</v>
      </c>
    </row>
    <row r="38" spans="1:13" ht="42">
      <c r="A38" s="338" t="s">
        <v>9942</v>
      </c>
      <c r="B38" s="338" t="s">
        <v>9770</v>
      </c>
      <c r="C38" s="338" t="s">
        <v>9734</v>
      </c>
      <c r="D38" s="338" t="s">
        <v>9768</v>
      </c>
      <c r="E38" s="338" t="s">
        <v>133</v>
      </c>
      <c r="F38" s="338" t="s">
        <v>21</v>
      </c>
      <c r="G38" s="338" t="s">
        <v>74</v>
      </c>
      <c r="H38" s="338" t="s">
        <v>26</v>
      </c>
      <c r="I38" s="338" t="s">
        <v>11271</v>
      </c>
      <c r="J38" s="338" t="s">
        <v>8866</v>
      </c>
      <c r="K38" s="343">
        <v>17000000</v>
      </c>
      <c r="L38" s="339" t="s">
        <v>173</v>
      </c>
      <c r="M38" s="340" t="s">
        <v>14</v>
      </c>
    </row>
    <row r="39" spans="1:13" ht="42">
      <c r="A39" s="338" t="s">
        <v>9942</v>
      </c>
      <c r="B39" s="338" t="s">
        <v>9771</v>
      </c>
      <c r="C39" s="338" t="s">
        <v>9734</v>
      </c>
      <c r="D39" s="338" t="s">
        <v>9768</v>
      </c>
      <c r="E39" s="338" t="s">
        <v>133</v>
      </c>
      <c r="F39" s="338" t="s">
        <v>21</v>
      </c>
      <c r="G39" s="338" t="s">
        <v>74</v>
      </c>
      <c r="H39" s="338" t="s">
        <v>42</v>
      </c>
      <c r="I39" s="338" t="s">
        <v>11271</v>
      </c>
      <c r="J39" s="338" t="s">
        <v>8866</v>
      </c>
      <c r="K39" s="343">
        <v>20000000</v>
      </c>
      <c r="L39" s="339" t="s">
        <v>2057</v>
      </c>
      <c r="M39" s="340" t="s">
        <v>14</v>
      </c>
    </row>
    <row r="40" spans="1:13" ht="42">
      <c r="A40" s="338" t="s">
        <v>9942</v>
      </c>
      <c r="B40" s="338" t="s">
        <v>9772</v>
      </c>
      <c r="C40" s="338" t="s">
        <v>9734</v>
      </c>
      <c r="D40" s="338" t="s">
        <v>9768</v>
      </c>
      <c r="E40" s="338" t="s">
        <v>133</v>
      </c>
      <c r="F40" s="338" t="s">
        <v>21</v>
      </c>
      <c r="G40" s="338" t="s">
        <v>72</v>
      </c>
      <c r="H40" s="338" t="s">
        <v>26</v>
      </c>
      <c r="I40" s="338" t="s">
        <v>11271</v>
      </c>
      <c r="J40" s="338" t="s">
        <v>8866</v>
      </c>
      <c r="K40" s="343">
        <v>19000000</v>
      </c>
      <c r="L40" s="339" t="s">
        <v>173</v>
      </c>
      <c r="M40" s="340" t="s">
        <v>14</v>
      </c>
    </row>
    <row r="41" spans="1:13" ht="42">
      <c r="A41" s="338" t="s">
        <v>9942</v>
      </c>
      <c r="B41" s="338" t="s">
        <v>9773</v>
      </c>
      <c r="C41" s="338" t="s">
        <v>9734</v>
      </c>
      <c r="D41" s="338" t="s">
        <v>9768</v>
      </c>
      <c r="E41" s="338" t="s">
        <v>133</v>
      </c>
      <c r="F41" s="338" t="s">
        <v>21</v>
      </c>
      <c r="G41" s="338" t="s">
        <v>72</v>
      </c>
      <c r="H41" s="338" t="s">
        <v>42</v>
      </c>
      <c r="I41" s="338" t="s">
        <v>11271</v>
      </c>
      <c r="J41" s="338" t="s">
        <v>8866</v>
      </c>
      <c r="K41" s="343">
        <v>20000000</v>
      </c>
      <c r="L41" s="339" t="s">
        <v>2057</v>
      </c>
      <c r="M41" s="340" t="s">
        <v>14</v>
      </c>
    </row>
    <row r="42" spans="1:13" ht="56">
      <c r="A42" s="338" t="s">
        <v>9942</v>
      </c>
      <c r="B42" s="338" t="s">
        <v>9774</v>
      </c>
      <c r="C42" s="338" t="s">
        <v>9734</v>
      </c>
      <c r="D42" s="338" t="s">
        <v>9775</v>
      </c>
      <c r="E42" s="338" t="s">
        <v>141</v>
      </c>
      <c r="F42" s="338" t="s">
        <v>21</v>
      </c>
      <c r="G42" s="338" t="s">
        <v>70</v>
      </c>
      <c r="H42" s="338" t="s">
        <v>26</v>
      </c>
      <c r="I42" s="338" t="s">
        <v>167</v>
      </c>
      <c r="J42" s="338" t="s">
        <v>1435</v>
      </c>
      <c r="K42" s="343">
        <v>150000</v>
      </c>
      <c r="L42" s="339" t="s">
        <v>2057</v>
      </c>
      <c r="M42" s="340" t="s">
        <v>14</v>
      </c>
    </row>
    <row r="43" spans="1:13" ht="56">
      <c r="A43" s="338" t="s">
        <v>9942</v>
      </c>
      <c r="B43" s="338" t="s">
        <v>9776</v>
      </c>
      <c r="C43" s="338" t="s">
        <v>9734</v>
      </c>
      <c r="D43" s="338" t="s">
        <v>9775</v>
      </c>
      <c r="E43" s="338" t="s">
        <v>141</v>
      </c>
      <c r="F43" s="338" t="s">
        <v>21</v>
      </c>
      <c r="G43" s="338" t="s">
        <v>70</v>
      </c>
      <c r="H43" s="338" t="s">
        <v>42</v>
      </c>
      <c r="I43" s="338" t="s">
        <v>167</v>
      </c>
      <c r="J43" s="338" t="s">
        <v>1435</v>
      </c>
      <c r="K43" s="343">
        <v>250000</v>
      </c>
      <c r="L43" s="339" t="s">
        <v>2057</v>
      </c>
      <c r="M43" s="340" t="s">
        <v>14</v>
      </c>
    </row>
    <row r="44" spans="1:13" ht="56">
      <c r="A44" s="338" t="s">
        <v>9942</v>
      </c>
      <c r="B44" s="338" t="s">
        <v>9777</v>
      </c>
      <c r="C44" s="338" t="s">
        <v>9734</v>
      </c>
      <c r="D44" s="338" t="s">
        <v>9775</v>
      </c>
      <c r="E44" s="338" t="s">
        <v>141</v>
      </c>
      <c r="F44" s="338" t="s">
        <v>21</v>
      </c>
      <c r="G44" s="338" t="s">
        <v>74</v>
      </c>
      <c r="H44" s="338" t="s">
        <v>26</v>
      </c>
      <c r="I44" s="338" t="s">
        <v>167</v>
      </c>
      <c r="J44" s="338" t="s">
        <v>1435</v>
      </c>
      <c r="K44" s="343">
        <v>150000</v>
      </c>
      <c r="L44" s="339" t="s">
        <v>2057</v>
      </c>
      <c r="M44" s="340" t="s">
        <v>14</v>
      </c>
    </row>
    <row r="45" spans="1:13" ht="56">
      <c r="A45" s="338" t="s">
        <v>9942</v>
      </c>
      <c r="B45" s="338" t="s">
        <v>9778</v>
      </c>
      <c r="C45" s="338" t="s">
        <v>9734</v>
      </c>
      <c r="D45" s="338" t="s">
        <v>9775</v>
      </c>
      <c r="E45" s="338" t="s">
        <v>141</v>
      </c>
      <c r="F45" s="338" t="s">
        <v>21</v>
      </c>
      <c r="G45" s="338" t="s">
        <v>74</v>
      </c>
      <c r="H45" s="338" t="s">
        <v>42</v>
      </c>
      <c r="I45" s="338" t="s">
        <v>167</v>
      </c>
      <c r="J45" s="338" t="s">
        <v>1435</v>
      </c>
      <c r="K45" s="343">
        <v>280000</v>
      </c>
      <c r="L45" s="339" t="s">
        <v>2057</v>
      </c>
      <c r="M45" s="340" t="s">
        <v>14</v>
      </c>
    </row>
    <row r="46" spans="1:13" ht="56">
      <c r="A46" s="338" t="s">
        <v>9942</v>
      </c>
      <c r="B46" s="338" t="s">
        <v>9779</v>
      </c>
      <c r="C46" s="338" t="s">
        <v>9734</v>
      </c>
      <c r="D46" s="338" t="s">
        <v>9775</v>
      </c>
      <c r="E46" s="338" t="s">
        <v>141</v>
      </c>
      <c r="F46" s="338" t="s">
        <v>21</v>
      </c>
      <c r="G46" s="338" t="s">
        <v>72</v>
      </c>
      <c r="H46" s="338" t="s">
        <v>26</v>
      </c>
      <c r="I46" s="338" t="s">
        <v>167</v>
      </c>
      <c r="J46" s="338" t="s">
        <v>1435</v>
      </c>
      <c r="K46" s="343">
        <v>150000</v>
      </c>
      <c r="L46" s="339" t="s">
        <v>2057</v>
      </c>
      <c r="M46" s="340" t="s">
        <v>14</v>
      </c>
    </row>
    <row r="47" spans="1:13" ht="56">
      <c r="A47" s="338" t="s">
        <v>9942</v>
      </c>
      <c r="B47" s="338" t="s">
        <v>9780</v>
      </c>
      <c r="C47" s="338" t="s">
        <v>9734</v>
      </c>
      <c r="D47" s="338" t="s">
        <v>9775</v>
      </c>
      <c r="E47" s="338" t="s">
        <v>141</v>
      </c>
      <c r="F47" s="338" t="s">
        <v>21</v>
      </c>
      <c r="G47" s="338" t="s">
        <v>72</v>
      </c>
      <c r="H47" s="338" t="s">
        <v>42</v>
      </c>
      <c r="I47" s="338" t="s">
        <v>167</v>
      </c>
      <c r="J47" s="338" t="s">
        <v>1435</v>
      </c>
      <c r="K47" s="343">
        <v>350000</v>
      </c>
      <c r="L47" s="339" t="s">
        <v>2057</v>
      </c>
      <c r="M47" s="340" t="s">
        <v>14</v>
      </c>
    </row>
    <row r="48" spans="1:13" ht="56">
      <c r="A48" s="338" t="s">
        <v>9942</v>
      </c>
      <c r="B48" s="338" t="s">
        <v>9781</v>
      </c>
      <c r="C48" s="338" t="s">
        <v>9734</v>
      </c>
      <c r="D48" s="338" t="s">
        <v>148</v>
      </c>
      <c r="E48" s="338" t="s">
        <v>128</v>
      </c>
      <c r="F48" s="338" t="s">
        <v>21</v>
      </c>
      <c r="G48" s="338" t="s">
        <v>70</v>
      </c>
      <c r="H48" s="338" t="s">
        <v>42</v>
      </c>
      <c r="I48" s="338" t="s">
        <v>11271</v>
      </c>
      <c r="J48" s="338" t="s">
        <v>1435</v>
      </c>
      <c r="K48" s="343">
        <v>20000000</v>
      </c>
      <c r="L48" s="339" t="s">
        <v>2057</v>
      </c>
      <c r="M48" s="340" t="s">
        <v>14</v>
      </c>
    </row>
    <row r="49" spans="1:13" ht="56">
      <c r="A49" s="338" t="s">
        <v>9942</v>
      </c>
      <c r="B49" s="338" t="s">
        <v>9782</v>
      </c>
      <c r="C49" s="338" t="s">
        <v>9734</v>
      </c>
      <c r="D49" s="338" t="s">
        <v>148</v>
      </c>
      <c r="E49" s="338" t="s">
        <v>128</v>
      </c>
      <c r="F49" s="338" t="s">
        <v>21</v>
      </c>
      <c r="G49" s="338" t="s">
        <v>74</v>
      </c>
      <c r="H49" s="338" t="s">
        <v>42</v>
      </c>
      <c r="I49" s="338" t="s">
        <v>11271</v>
      </c>
      <c r="J49" s="338" t="s">
        <v>1435</v>
      </c>
      <c r="K49" s="343">
        <v>24000000</v>
      </c>
      <c r="L49" s="339" t="s">
        <v>2057</v>
      </c>
      <c r="M49" s="340" t="s">
        <v>14</v>
      </c>
    </row>
    <row r="50" spans="1:13" ht="56">
      <c r="A50" s="338" t="s">
        <v>9942</v>
      </c>
      <c r="B50" s="338" t="s">
        <v>9783</v>
      </c>
      <c r="C50" s="338" t="s">
        <v>9734</v>
      </c>
      <c r="D50" s="338" t="s">
        <v>148</v>
      </c>
      <c r="E50" s="338" t="s">
        <v>128</v>
      </c>
      <c r="F50" s="338" t="s">
        <v>21</v>
      </c>
      <c r="G50" s="338" t="s">
        <v>72</v>
      </c>
      <c r="H50" s="338" t="s">
        <v>42</v>
      </c>
      <c r="I50" s="338" t="s">
        <v>11271</v>
      </c>
      <c r="J50" s="338" t="s">
        <v>1435</v>
      </c>
      <c r="K50" s="343">
        <v>28000000</v>
      </c>
      <c r="L50" s="339" t="s">
        <v>2057</v>
      </c>
      <c r="M50" s="340" t="s">
        <v>14</v>
      </c>
    </row>
    <row r="51" spans="1:13" ht="56">
      <c r="A51" s="338" t="s">
        <v>9942</v>
      </c>
      <c r="B51" s="338" t="s">
        <v>9784</v>
      </c>
      <c r="C51" s="338" t="s">
        <v>9734</v>
      </c>
      <c r="D51" s="338" t="s">
        <v>152</v>
      </c>
      <c r="E51" s="338" t="s">
        <v>29</v>
      </c>
      <c r="F51" s="338" t="s">
        <v>21</v>
      </c>
      <c r="G51" s="338" t="s">
        <v>74</v>
      </c>
      <c r="H51" s="338" t="s">
        <v>26</v>
      </c>
      <c r="I51" s="338" t="s">
        <v>11271</v>
      </c>
      <c r="J51" s="338" t="s">
        <v>1435</v>
      </c>
      <c r="K51" s="343">
        <v>150000</v>
      </c>
      <c r="L51" s="339" t="s">
        <v>2057</v>
      </c>
      <c r="M51" s="340" t="s">
        <v>14</v>
      </c>
    </row>
    <row r="52" spans="1:13" ht="56">
      <c r="A52" s="338" t="s">
        <v>9942</v>
      </c>
      <c r="B52" s="338" t="s">
        <v>9785</v>
      </c>
      <c r="C52" s="338" t="s">
        <v>9734</v>
      </c>
      <c r="D52" s="338" t="s">
        <v>152</v>
      </c>
      <c r="E52" s="338" t="s">
        <v>29</v>
      </c>
      <c r="F52" s="338" t="s">
        <v>21</v>
      </c>
      <c r="G52" s="338" t="s">
        <v>74</v>
      </c>
      <c r="H52" s="338" t="s">
        <v>42</v>
      </c>
      <c r="I52" s="338" t="s">
        <v>11271</v>
      </c>
      <c r="J52" s="338" t="s">
        <v>1435</v>
      </c>
      <c r="K52" s="343">
        <v>190000</v>
      </c>
      <c r="L52" s="339" t="s">
        <v>2057</v>
      </c>
      <c r="M52" s="340" t="s">
        <v>14</v>
      </c>
    </row>
    <row r="53" spans="1:13" ht="56">
      <c r="A53" s="338" t="s">
        <v>9942</v>
      </c>
      <c r="B53" s="338" t="s">
        <v>9786</v>
      </c>
      <c r="C53" s="338" t="s">
        <v>9734</v>
      </c>
      <c r="D53" s="338" t="s">
        <v>152</v>
      </c>
      <c r="E53" s="338" t="s">
        <v>29</v>
      </c>
      <c r="F53" s="338" t="s">
        <v>21</v>
      </c>
      <c r="G53" s="338" t="s">
        <v>70</v>
      </c>
      <c r="H53" s="338" t="s">
        <v>26</v>
      </c>
      <c r="I53" s="338" t="s">
        <v>11271</v>
      </c>
      <c r="J53" s="338" t="s">
        <v>1435</v>
      </c>
      <c r="K53" s="343">
        <v>250000</v>
      </c>
      <c r="L53" s="339" t="s">
        <v>2057</v>
      </c>
      <c r="M53" s="340" t="s">
        <v>14</v>
      </c>
    </row>
    <row r="54" spans="1:13" ht="56">
      <c r="A54" s="338" t="s">
        <v>9942</v>
      </c>
      <c r="B54" s="338" t="s">
        <v>9787</v>
      </c>
      <c r="C54" s="338" t="s">
        <v>9734</v>
      </c>
      <c r="D54" s="338" t="s">
        <v>152</v>
      </c>
      <c r="E54" s="338" t="s">
        <v>29</v>
      </c>
      <c r="F54" s="338" t="s">
        <v>21</v>
      </c>
      <c r="G54" s="338" t="s">
        <v>72</v>
      </c>
      <c r="H54" s="338" t="s">
        <v>26</v>
      </c>
      <c r="I54" s="338" t="s">
        <v>11271</v>
      </c>
      <c r="J54" s="338" t="s">
        <v>1435</v>
      </c>
      <c r="K54" s="343">
        <v>150000</v>
      </c>
      <c r="L54" s="339" t="s">
        <v>2057</v>
      </c>
      <c r="M54" s="340" t="s">
        <v>14</v>
      </c>
    </row>
    <row r="55" spans="1:13" ht="56">
      <c r="A55" s="338" t="s">
        <v>9942</v>
      </c>
      <c r="B55" s="338" t="s">
        <v>9788</v>
      </c>
      <c r="C55" s="338" t="s">
        <v>9734</v>
      </c>
      <c r="D55" s="338" t="s">
        <v>152</v>
      </c>
      <c r="E55" s="338" t="s">
        <v>29</v>
      </c>
      <c r="F55" s="338" t="s">
        <v>21</v>
      </c>
      <c r="G55" s="338" t="s">
        <v>72</v>
      </c>
      <c r="H55" s="338" t="s">
        <v>42</v>
      </c>
      <c r="I55" s="338" t="s">
        <v>11271</v>
      </c>
      <c r="J55" s="338" t="s">
        <v>1435</v>
      </c>
      <c r="K55" s="343">
        <v>250000</v>
      </c>
      <c r="L55" s="339" t="s">
        <v>2057</v>
      </c>
      <c r="M55" s="340" t="s">
        <v>14</v>
      </c>
    </row>
    <row r="56" spans="1:13" ht="56">
      <c r="A56" s="338" t="s">
        <v>9942</v>
      </c>
      <c r="B56" s="338" t="s">
        <v>9789</v>
      </c>
      <c r="C56" s="338" t="s">
        <v>9734</v>
      </c>
      <c r="D56" s="338" t="s">
        <v>152</v>
      </c>
      <c r="E56" s="338" t="s">
        <v>29</v>
      </c>
      <c r="F56" s="338" t="s">
        <v>21</v>
      </c>
      <c r="G56" s="338" t="s">
        <v>70</v>
      </c>
      <c r="H56" s="338" t="s">
        <v>42</v>
      </c>
      <c r="I56" s="338" t="s">
        <v>11271</v>
      </c>
      <c r="J56" s="338" t="s">
        <v>1435</v>
      </c>
      <c r="K56" s="343">
        <v>170000</v>
      </c>
      <c r="L56" s="339" t="s">
        <v>2057</v>
      </c>
      <c r="M56" s="340" t="s">
        <v>14</v>
      </c>
    </row>
    <row r="57" spans="1:13" ht="56">
      <c r="A57" s="338" t="s">
        <v>9942</v>
      </c>
      <c r="B57" s="338" t="s">
        <v>9790</v>
      </c>
      <c r="C57" s="338" t="s">
        <v>9734</v>
      </c>
      <c r="D57" s="338" t="s">
        <v>159</v>
      </c>
      <c r="E57" s="338" t="s">
        <v>29</v>
      </c>
      <c r="F57" s="338" t="s">
        <v>21</v>
      </c>
      <c r="G57" s="338" t="s">
        <v>70</v>
      </c>
      <c r="H57" s="338" t="s">
        <v>42</v>
      </c>
      <c r="I57" s="338" t="s">
        <v>11271</v>
      </c>
      <c r="J57" s="338" t="s">
        <v>1435</v>
      </c>
      <c r="K57" s="343">
        <v>170000</v>
      </c>
      <c r="L57" s="339" t="s">
        <v>2057</v>
      </c>
      <c r="M57" s="340" t="s">
        <v>14</v>
      </c>
    </row>
    <row r="58" spans="1:13" ht="56">
      <c r="A58" s="338" t="s">
        <v>9942</v>
      </c>
      <c r="B58" s="338" t="s">
        <v>9791</v>
      </c>
      <c r="C58" s="338" t="s">
        <v>9734</v>
      </c>
      <c r="D58" s="338" t="s">
        <v>159</v>
      </c>
      <c r="E58" s="338" t="s">
        <v>29</v>
      </c>
      <c r="F58" s="338" t="s">
        <v>21</v>
      </c>
      <c r="G58" s="338" t="s">
        <v>74</v>
      </c>
      <c r="H58" s="338" t="s">
        <v>26</v>
      </c>
      <c r="I58" s="338" t="s">
        <v>11271</v>
      </c>
      <c r="J58" s="338" t="s">
        <v>1435</v>
      </c>
      <c r="K58" s="343">
        <v>150000</v>
      </c>
      <c r="L58" s="339" t="s">
        <v>2057</v>
      </c>
      <c r="M58" s="340" t="s">
        <v>14</v>
      </c>
    </row>
    <row r="59" spans="1:13" ht="56">
      <c r="A59" s="338" t="s">
        <v>9942</v>
      </c>
      <c r="B59" s="338" t="s">
        <v>9792</v>
      </c>
      <c r="C59" s="338" t="s">
        <v>9734</v>
      </c>
      <c r="D59" s="338" t="s">
        <v>159</v>
      </c>
      <c r="E59" s="338" t="s">
        <v>29</v>
      </c>
      <c r="F59" s="338" t="s">
        <v>21</v>
      </c>
      <c r="G59" s="338" t="s">
        <v>74</v>
      </c>
      <c r="H59" s="338" t="s">
        <v>42</v>
      </c>
      <c r="I59" s="338" t="s">
        <v>11271</v>
      </c>
      <c r="J59" s="338" t="s">
        <v>1435</v>
      </c>
      <c r="K59" s="343">
        <v>190000</v>
      </c>
      <c r="L59" s="339" t="s">
        <v>2057</v>
      </c>
      <c r="M59" s="340" t="s">
        <v>14</v>
      </c>
    </row>
    <row r="60" spans="1:13" ht="56">
      <c r="A60" s="338" t="s">
        <v>9942</v>
      </c>
      <c r="B60" s="338" t="s">
        <v>9793</v>
      </c>
      <c r="C60" s="338" t="s">
        <v>9734</v>
      </c>
      <c r="D60" s="338" t="s">
        <v>159</v>
      </c>
      <c r="E60" s="338" t="s">
        <v>29</v>
      </c>
      <c r="F60" s="338" t="s">
        <v>21</v>
      </c>
      <c r="G60" s="338" t="s">
        <v>72</v>
      </c>
      <c r="H60" s="338" t="s">
        <v>26</v>
      </c>
      <c r="I60" s="338" t="s">
        <v>11271</v>
      </c>
      <c r="J60" s="338" t="s">
        <v>1435</v>
      </c>
      <c r="K60" s="343">
        <v>150000</v>
      </c>
      <c r="L60" s="339" t="s">
        <v>2057</v>
      </c>
      <c r="M60" s="340" t="s">
        <v>14</v>
      </c>
    </row>
    <row r="61" spans="1:13" ht="56">
      <c r="A61" s="338" t="s">
        <v>9942</v>
      </c>
      <c r="B61" s="338" t="s">
        <v>9794</v>
      </c>
      <c r="C61" s="338" t="s">
        <v>9734</v>
      </c>
      <c r="D61" s="338" t="s">
        <v>159</v>
      </c>
      <c r="E61" s="338" t="s">
        <v>29</v>
      </c>
      <c r="F61" s="338" t="s">
        <v>21</v>
      </c>
      <c r="G61" s="338" t="s">
        <v>72</v>
      </c>
      <c r="H61" s="338" t="s">
        <v>42</v>
      </c>
      <c r="I61" s="338" t="s">
        <v>11271</v>
      </c>
      <c r="J61" s="338" t="s">
        <v>1435</v>
      </c>
      <c r="K61" s="343">
        <v>250000</v>
      </c>
      <c r="L61" s="339" t="s">
        <v>2057</v>
      </c>
      <c r="M61" s="340" t="s">
        <v>14</v>
      </c>
    </row>
    <row r="62" spans="1:13" ht="56">
      <c r="A62" s="338" t="s">
        <v>9942</v>
      </c>
      <c r="B62" s="338" t="s">
        <v>9807</v>
      </c>
      <c r="C62" s="338" t="s">
        <v>9734</v>
      </c>
      <c r="D62" s="338" t="s">
        <v>159</v>
      </c>
      <c r="E62" s="338" t="s">
        <v>29</v>
      </c>
      <c r="F62" s="338" t="s">
        <v>21</v>
      </c>
      <c r="G62" s="338" t="s">
        <v>70</v>
      </c>
      <c r="H62" s="338" t="s">
        <v>26</v>
      </c>
      <c r="I62" s="338" t="s">
        <v>11271</v>
      </c>
      <c r="J62" s="338" t="s">
        <v>1435</v>
      </c>
      <c r="K62" s="343">
        <v>150000</v>
      </c>
      <c r="L62" s="339" t="s">
        <v>2057</v>
      </c>
      <c r="M62" s="340" t="s">
        <v>14</v>
      </c>
    </row>
    <row r="63" spans="1:13" ht="42">
      <c r="A63" s="338" t="s">
        <v>9942</v>
      </c>
      <c r="B63" s="338" t="s">
        <v>9796</v>
      </c>
      <c r="C63" s="338" t="s">
        <v>9734</v>
      </c>
      <c r="D63" s="338" t="s">
        <v>11272</v>
      </c>
      <c r="E63" s="338" t="s">
        <v>9798</v>
      </c>
      <c r="F63" s="338" t="s">
        <v>168</v>
      </c>
      <c r="G63" s="338" t="s">
        <v>251</v>
      </c>
      <c r="H63" s="338" t="s">
        <v>251</v>
      </c>
      <c r="I63" s="338" t="s">
        <v>251</v>
      </c>
      <c r="J63" s="338" t="s">
        <v>8866</v>
      </c>
      <c r="K63" s="343">
        <v>2200000</v>
      </c>
      <c r="L63" s="339" t="s">
        <v>2057</v>
      </c>
      <c r="M63" s="340" t="s">
        <v>14</v>
      </c>
    </row>
    <row r="64" spans="1:13" ht="42">
      <c r="A64" s="338" t="s">
        <v>9942</v>
      </c>
      <c r="B64" s="338" t="s">
        <v>9799</v>
      </c>
      <c r="C64" s="338" t="s">
        <v>9734</v>
      </c>
      <c r="D64" s="338" t="s">
        <v>11273</v>
      </c>
      <c r="E64" s="338" t="s">
        <v>9798</v>
      </c>
      <c r="F64" s="338" t="s">
        <v>168</v>
      </c>
      <c r="G64" s="338" t="s">
        <v>251</v>
      </c>
      <c r="H64" s="338" t="s">
        <v>251</v>
      </c>
      <c r="I64" s="338" t="s">
        <v>251</v>
      </c>
      <c r="J64" s="338" t="s">
        <v>8866</v>
      </c>
      <c r="K64" s="343">
        <v>3700000</v>
      </c>
      <c r="L64" s="339" t="s">
        <v>2057</v>
      </c>
      <c r="M64" s="340" t="s">
        <v>14</v>
      </c>
    </row>
    <row r="65" spans="1:13" ht="42">
      <c r="A65" s="338" t="s">
        <v>9942</v>
      </c>
      <c r="B65" s="338" t="s">
        <v>11321</v>
      </c>
      <c r="C65" s="338" t="s">
        <v>9734</v>
      </c>
      <c r="D65" s="338" t="s">
        <v>11274</v>
      </c>
      <c r="E65" s="338" t="s">
        <v>76</v>
      </c>
      <c r="F65" s="338" t="s">
        <v>25</v>
      </c>
      <c r="G65" s="338" t="s">
        <v>251</v>
      </c>
      <c r="H65" s="338" t="s">
        <v>251</v>
      </c>
      <c r="I65" s="338" t="s">
        <v>251</v>
      </c>
      <c r="J65" s="338" t="s">
        <v>8866</v>
      </c>
      <c r="K65" s="343">
        <v>392000</v>
      </c>
      <c r="L65" s="339" t="s">
        <v>2057</v>
      </c>
      <c r="M65" s="340" t="s">
        <v>14</v>
      </c>
    </row>
    <row r="66" spans="1:13" ht="42">
      <c r="A66" s="338" t="s">
        <v>9942</v>
      </c>
      <c r="B66" s="338" t="s">
        <v>11322</v>
      </c>
      <c r="C66" s="338" t="s">
        <v>9734</v>
      </c>
      <c r="D66" s="338" t="s">
        <v>11275</v>
      </c>
      <c r="E66" s="338" t="s">
        <v>76</v>
      </c>
      <c r="F66" s="338" t="s">
        <v>25</v>
      </c>
      <c r="G66" s="338" t="s">
        <v>251</v>
      </c>
      <c r="H66" s="338" t="s">
        <v>251</v>
      </c>
      <c r="I66" s="338" t="s">
        <v>251</v>
      </c>
      <c r="J66" s="338" t="s">
        <v>8866</v>
      </c>
      <c r="K66" s="343">
        <v>448000</v>
      </c>
      <c r="L66" s="339" t="s">
        <v>2057</v>
      </c>
      <c r="M66" s="340" t="s">
        <v>14</v>
      </c>
    </row>
    <row r="67" spans="1:13" ht="42">
      <c r="A67" s="338" t="s">
        <v>9942</v>
      </c>
      <c r="B67" s="338" t="s">
        <v>11323</v>
      </c>
      <c r="C67" s="338" t="s">
        <v>9734</v>
      </c>
      <c r="D67" s="338" t="s">
        <v>11276</v>
      </c>
      <c r="E67" s="338" t="s">
        <v>9798</v>
      </c>
      <c r="F67" s="338" t="s">
        <v>168</v>
      </c>
      <c r="G67" s="338" t="s">
        <v>251</v>
      </c>
      <c r="H67" s="338" t="s">
        <v>251</v>
      </c>
      <c r="I67" s="338" t="s">
        <v>251</v>
      </c>
      <c r="J67" s="338" t="s">
        <v>8866</v>
      </c>
      <c r="K67" s="343">
        <v>661800000</v>
      </c>
      <c r="L67" s="339" t="s">
        <v>2057</v>
      </c>
      <c r="M67" s="340" t="s">
        <v>14</v>
      </c>
    </row>
    <row r="68" spans="1:13" ht="42">
      <c r="A68" s="338" t="s">
        <v>9942</v>
      </c>
      <c r="B68" s="338" t="s">
        <v>11324</v>
      </c>
      <c r="C68" s="338" t="s">
        <v>9734</v>
      </c>
      <c r="D68" s="338" t="s">
        <v>11277</v>
      </c>
      <c r="E68" s="338" t="s">
        <v>9798</v>
      </c>
      <c r="F68" s="338" t="s">
        <v>168</v>
      </c>
      <c r="G68" s="338" t="s">
        <v>251</v>
      </c>
      <c r="H68" s="338" t="s">
        <v>251</v>
      </c>
      <c r="I68" s="338" t="s">
        <v>251</v>
      </c>
      <c r="J68" s="338" t="s">
        <v>8866</v>
      </c>
      <c r="K68" s="343">
        <v>803500000</v>
      </c>
      <c r="L68" s="339" t="s">
        <v>2057</v>
      </c>
      <c r="M68" s="340" t="s">
        <v>14</v>
      </c>
    </row>
    <row r="69" spans="1:13" ht="42">
      <c r="A69" s="338" t="s">
        <v>9942</v>
      </c>
      <c r="B69" s="338" t="s">
        <v>11325</v>
      </c>
      <c r="C69" s="338" t="s">
        <v>9734</v>
      </c>
      <c r="D69" s="338" t="s">
        <v>11278</v>
      </c>
      <c r="E69" s="338" t="s">
        <v>76</v>
      </c>
      <c r="F69" s="338" t="s">
        <v>168</v>
      </c>
      <c r="G69" s="338" t="s">
        <v>251</v>
      </c>
      <c r="H69" s="338" t="s">
        <v>251</v>
      </c>
      <c r="I69" s="338" t="s">
        <v>251</v>
      </c>
      <c r="J69" s="338" t="s">
        <v>8866</v>
      </c>
      <c r="K69" s="343">
        <v>132360000</v>
      </c>
      <c r="L69" s="339" t="s">
        <v>2057</v>
      </c>
      <c r="M69" s="340" t="s">
        <v>14</v>
      </c>
    </row>
    <row r="70" spans="1:13" ht="56">
      <c r="A70" s="338" t="s">
        <v>9942</v>
      </c>
      <c r="B70" s="338" t="s">
        <v>11326</v>
      </c>
      <c r="C70" s="338" t="s">
        <v>9734</v>
      </c>
      <c r="D70" s="338" t="s">
        <v>11279</v>
      </c>
      <c r="E70" s="338" t="s">
        <v>76</v>
      </c>
      <c r="F70" s="338" t="s">
        <v>168</v>
      </c>
      <c r="G70" s="338" t="s">
        <v>251</v>
      </c>
      <c r="H70" s="338" t="s">
        <v>251</v>
      </c>
      <c r="I70" s="338" t="s">
        <v>251</v>
      </c>
      <c r="J70" s="338" t="s">
        <v>8866</v>
      </c>
      <c r="K70" s="343">
        <v>160700000</v>
      </c>
      <c r="L70" s="339" t="s">
        <v>2057</v>
      </c>
      <c r="M70" s="340" t="s">
        <v>14</v>
      </c>
    </row>
    <row r="71" spans="1:13" ht="56">
      <c r="A71" s="338" t="s">
        <v>9942</v>
      </c>
      <c r="B71" s="338" t="s">
        <v>9795</v>
      </c>
      <c r="C71" s="338" t="s">
        <v>9734</v>
      </c>
      <c r="D71" s="338" t="s">
        <v>11280</v>
      </c>
      <c r="E71" s="338" t="s">
        <v>128</v>
      </c>
      <c r="F71" s="338" t="s">
        <v>25</v>
      </c>
      <c r="G71" s="338" t="s">
        <v>251</v>
      </c>
      <c r="H71" s="338" t="s">
        <v>251</v>
      </c>
      <c r="I71" s="338" t="s">
        <v>251</v>
      </c>
      <c r="J71" s="338" t="s">
        <v>1435</v>
      </c>
      <c r="K71" s="343">
        <v>225000</v>
      </c>
      <c r="L71" s="339" t="s">
        <v>2057</v>
      </c>
      <c r="M71" s="340" t="s">
        <v>14</v>
      </c>
    </row>
    <row r="72" spans="1:13" ht="56">
      <c r="A72" s="338" t="s">
        <v>9942</v>
      </c>
      <c r="B72" s="338" t="s">
        <v>9801</v>
      </c>
      <c r="C72" s="338" t="s">
        <v>9734</v>
      </c>
      <c r="D72" s="338" t="s">
        <v>11281</v>
      </c>
      <c r="E72" s="338" t="s">
        <v>128</v>
      </c>
      <c r="F72" s="338" t="s">
        <v>25</v>
      </c>
      <c r="G72" s="338" t="s">
        <v>251</v>
      </c>
      <c r="H72" s="338" t="s">
        <v>251</v>
      </c>
      <c r="I72" s="338" t="s">
        <v>251</v>
      </c>
      <c r="J72" s="338" t="s">
        <v>1435</v>
      </c>
      <c r="K72" s="343">
        <v>354000</v>
      </c>
      <c r="L72" s="339" t="s">
        <v>2057</v>
      </c>
      <c r="M72" s="340" t="s">
        <v>14</v>
      </c>
    </row>
    <row r="73" spans="1:13" ht="56">
      <c r="A73" s="338" t="s">
        <v>9942</v>
      </c>
      <c r="B73" s="338" t="s">
        <v>9803</v>
      </c>
      <c r="C73" s="338" t="s">
        <v>9734</v>
      </c>
      <c r="D73" s="338" t="s">
        <v>11282</v>
      </c>
      <c r="E73" s="338" t="s">
        <v>128</v>
      </c>
      <c r="F73" s="338" t="s">
        <v>25</v>
      </c>
      <c r="G73" s="338" t="s">
        <v>251</v>
      </c>
      <c r="H73" s="338" t="s">
        <v>251</v>
      </c>
      <c r="I73" s="338" t="s">
        <v>251</v>
      </c>
      <c r="J73" s="338" t="s">
        <v>1435</v>
      </c>
      <c r="K73" s="343">
        <v>99000</v>
      </c>
      <c r="L73" s="339" t="s">
        <v>2057</v>
      </c>
      <c r="M73" s="340" t="s">
        <v>14</v>
      </c>
    </row>
    <row r="74" spans="1:13" ht="56">
      <c r="A74" s="338" t="s">
        <v>9942</v>
      </c>
      <c r="B74" s="338" t="s">
        <v>9805</v>
      </c>
      <c r="C74" s="338" t="s">
        <v>9734</v>
      </c>
      <c r="D74" s="338" t="s">
        <v>11283</v>
      </c>
      <c r="E74" s="338" t="s">
        <v>128</v>
      </c>
      <c r="F74" s="338" t="s">
        <v>25</v>
      </c>
      <c r="G74" s="338" t="s">
        <v>251</v>
      </c>
      <c r="H74" s="338" t="s">
        <v>251</v>
      </c>
      <c r="I74" s="338" t="s">
        <v>251</v>
      </c>
      <c r="J74" s="338" t="s">
        <v>1435</v>
      </c>
      <c r="K74" s="343">
        <v>165000</v>
      </c>
      <c r="L74" s="339" t="s">
        <v>2057</v>
      </c>
      <c r="M74" s="340" t="s">
        <v>14</v>
      </c>
    </row>
    <row r="75" spans="1:13" ht="42">
      <c r="A75" s="338" t="s">
        <v>9942</v>
      </c>
      <c r="B75" s="338" t="s">
        <v>9806</v>
      </c>
      <c r="C75" s="338" t="s">
        <v>9734</v>
      </c>
      <c r="D75" s="338" t="s">
        <v>11284</v>
      </c>
      <c r="E75" s="338" t="s">
        <v>76</v>
      </c>
      <c r="F75" s="338" t="s">
        <v>21</v>
      </c>
      <c r="G75" s="338" t="s">
        <v>251</v>
      </c>
      <c r="H75" s="338" t="s">
        <v>251</v>
      </c>
      <c r="I75" s="338" t="s">
        <v>251</v>
      </c>
      <c r="J75" s="338" t="s">
        <v>8866</v>
      </c>
      <c r="K75" s="343">
        <v>14500000</v>
      </c>
      <c r="L75" s="339" t="s">
        <v>2057</v>
      </c>
      <c r="M75" s="340" t="s">
        <v>14</v>
      </c>
    </row>
    <row r="76" spans="1:13" ht="56">
      <c r="A76" s="338" t="s">
        <v>9942</v>
      </c>
      <c r="B76" s="338" t="s">
        <v>9863</v>
      </c>
      <c r="C76" s="338" t="s">
        <v>9734</v>
      </c>
      <c r="D76" s="338" t="s">
        <v>11285</v>
      </c>
      <c r="E76" s="338" t="s">
        <v>29</v>
      </c>
      <c r="F76" s="338" t="s">
        <v>21</v>
      </c>
      <c r="G76" s="338" t="s">
        <v>70</v>
      </c>
      <c r="H76" s="338" t="s">
        <v>26</v>
      </c>
      <c r="I76" s="338" t="s">
        <v>167</v>
      </c>
      <c r="J76" s="338" t="s">
        <v>1435</v>
      </c>
      <c r="K76" s="343">
        <v>150000</v>
      </c>
      <c r="L76" s="339" t="s">
        <v>2057</v>
      </c>
      <c r="M76" s="340" t="s">
        <v>14</v>
      </c>
    </row>
    <row r="77" spans="1:13" ht="56">
      <c r="A77" s="338" t="s">
        <v>9942</v>
      </c>
      <c r="B77" s="338" t="s">
        <v>9865</v>
      </c>
      <c r="C77" s="338" t="s">
        <v>9734</v>
      </c>
      <c r="D77" s="338" t="s">
        <v>11285</v>
      </c>
      <c r="E77" s="338" t="s">
        <v>29</v>
      </c>
      <c r="F77" s="338" t="s">
        <v>21</v>
      </c>
      <c r="G77" s="338" t="s">
        <v>74</v>
      </c>
      <c r="H77" s="338" t="s">
        <v>26</v>
      </c>
      <c r="I77" s="338" t="s">
        <v>167</v>
      </c>
      <c r="J77" s="338" t="s">
        <v>1435</v>
      </c>
      <c r="K77" s="343">
        <v>150000</v>
      </c>
      <c r="L77" s="339" t="s">
        <v>2057</v>
      </c>
      <c r="M77" s="340" t="s">
        <v>14</v>
      </c>
    </row>
    <row r="78" spans="1:13" ht="56">
      <c r="A78" s="338" t="s">
        <v>9942</v>
      </c>
      <c r="B78" s="338" t="s">
        <v>9866</v>
      </c>
      <c r="C78" s="338" t="s">
        <v>9734</v>
      </c>
      <c r="D78" s="338" t="s">
        <v>11285</v>
      </c>
      <c r="E78" s="338" t="s">
        <v>29</v>
      </c>
      <c r="F78" s="338" t="s">
        <v>21</v>
      </c>
      <c r="G78" s="338" t="s">
        <v>72</v>
      </c>
      <c r="H78" s="338" t="s">
        <v>26</v>
      </c>
      <c r="I78" s="338" t="s">
        <v>167</v>
      </c>
      <c r="J78" s="338" t="s">
        <v>1435</v>
      </c>
      <c r="K78" s="343">
        <v>150000</v>
      </c>
      <c r="L78" s="339" t="s">
        <v>2057</v>
      </c>
      <c r="M78" s="340" t="s">
        <v>14</v>
      </c>
    </row>
    <row r="79" spans="1:13" ht="56">
      <c r="A79" s="338" t="s">
        <v>9942</v>
      </c>
      <c r="B79" s="338" t="s">
        <v>9867</v>
      </c>
      <c r="C79" s="338" t="s">
        <v>9734</v>
      </c>
      <c r="D79" s="338" t="s">
        <v>11285</v>
      </c>
      <c r="E79" s="338" t="s">
        <v>29</v>
      </c>
      <c r="F79" s="338" t="s">
        <v>21</v>
      </c>
      <c r="G79" s="338" t="s">
        <v>70</v>
      </c>
      <c r="H79" s="338" t="s">
        <v>42</v>
      </c>
      <c r="I79" s="338" t="s">
        <v>167</v>
      </c>
      <c r="J79" s="338" t="s">
        <v>1435</v>
      </c>
      <c r="K79" s="343">
        <v>190000</v>
      </c>
      <c r="L79" s="339" t="s">
        <v>2057</v>
      </c>
      <c r="M79" s="340" t="s">
        <v>14</v>
      </c>
    </row>
    <row r="80" spans="1:13" ht="56">
      <c r="A80" s="338" t="s">
        <v>9942</v>
      </c>
      <c r="B80" s="338" t="s">
        <v>9868</v>
      </c>
      <c r="C80" s="338" t="s">
        <v>9734</v>
      </c>
      <c r="D80" s="338" t="s">
        <v>11286</v>
      </c>
      <c r="E80" s="338" t="s">
        <v>29</v>
      </c>
      <c r="F80" s="338" t="s">
        <v>21</v>
      </c>
      <c r="G80" s="338" t="s">
        <v>70</v>
      </c>
      <c r="H80" s="338" t="s">
        <v>26</v>
      </c>
      <c r="I80" s="338" t="s">
        <v>167</v>
      </c>
      <c r="J80" s="338" t="s">
        <v>1435</v>
      </c>
      <c r="K80" s="343">
        <v>150000</v>
      </c>
      <c r="L80" s="339" t="s">
        <v>2057</v>
      </c>
      <c r="M80" s="340" t="s">
        <v>14</v>
      </c>
    </row>
    <row r="81" spans="1:13" ht="56">
      <c r="A81" s="338" t="s">
        <v>9942</v>
      </c>
      <c r="B81" s="338" t="s">
        <v>9870</v>
      </c>
      <c r="C81" s="338" t="s">
        <v>9734</v>
      </c>
      <c r="D81" s="338" t="s">
        <v>11286</v>
      </c>
      <c r="E81" s="338" t="s">
        <v>29</v>
      </c>
      <c r="F81" s="338" t="s">
        <v>21</v>
      </c>
      <c r="G81" s="338" t="s">
        <v>74</v>
      </c>
      <c r="H81" s="338" t="s">
        <v>26</v>
      </c>
      <c r="I81" s="338" t="s">
        <v>167</v>
      </c>
      <c r="J81" s="338" t="s">
        <v>1435</v>
      </c>
      <c r="K81" s="343">
        <v>150000</v>
      </c>
      <c r="L81" s="339" t="s">
        <v>2057</v>
      </c>
      <c r="M81" s="340" t="s">
        <v>14</v>
      </c>
    </row>
    <row r="82" spans="1:13" ht="56">
      <c r="A82" s="338" t="s">
        <v>9942</v>
      </c>
      <c r="B82" s="338" t="s">
        <v>9871</v>
      </c>
      <c r="C82" s="338" t="s">
        <v>9734</v>
      </c>
      <c r="D82" s="338" t="s">
        <v>11286</v>
      </c>
      <c r="E82" s="338" t="s">
        <v>29</v>
      </c>
      <c r="F82" s="338" t="s">
        <v>21</v>
      </c>
      <c r="G82" s="338" t="s">
        <v>72</v>
      </c>
      <c r="H82" s="338" t="s">
        <v>26</v>
      </c>
      <c r="I82" s="338" t="s">
        <v>167</v>
      </c>
      <c r="J82" s="338" t="s">
        <v>1435</v>
      </c>
      <c r="K82" s="343">
        <v>150000</v>
      </c>
      <c r="L82" s="339" t="s">
        <v>2057</v>
      </c>
      <c r="M82" s="340" t="s">
        <v>14</v>
      </c>
    </row>
    <row r="83" spans="1:13" ht="56">
      <c r="A83" s="338" t="s">
        <v>9942</v>
      </c>
      <c r="B83" s="338" t="s">
        <v>9872</v>
      </c>
      <c r="C83" s="338" t="s">
        <v>9734</v>
      </c>
      <c r="D83" s="338" t="s">
        <v>11286</v>
      </c>
      <c r="E83" s="338" t="s">
        <v>29</v>
      </c>
      <c r="F83" s="338" t="s">
        <v>21</v>
      </c>
      <c r="G83" s="338" t="s">
        <v>70</v>
      </c>
      <c r="H83" s="338" t="s">
        <v>42</v>
      </c>
      <c r="I83" s="338" t="s">
        <v>167</v>
      </c>
      <c r="J83" s="338" t="s">
        <v>1435</v>
      </c>
      <c r="K83" s="343">
        <v>190000</v>
      </c>
      <c r="L83" s="339" t="s">
        <v>2057</v>
      </c>
      <c r="M83" s="340" t="s">
        <v>14</v>
      </c>
    </row>
    <row r="84" spans="1:13" ht="56">
      <c r="A84" s="338" t="s">
        <v>9942</v>
      </c>
      <c r="B84" s="338" t="s">
        <v>9873</v>
      </c>
      <c r="C84" s="338" t="s">
        <v>9734</v>
      </c>
      <c r="D84" s="338" t="s">
        <v>11287</v>
      </c>
      <c r="E84" s="338" t="s">
        <v>29</v>
      </c>
      <c r="F84" s="338" t="s">
        <v>21</v>
      </c>
      <c r="G84" s="338" t="s">
        <v>70</v>
      </c>
      <c r="H84" s="338" t="s">
        <v>26</v>
      </c>
      <c r="I84" s="338" t="s">
        <v>167</v>
      </c>
      <c r="J84" s="338" t="s">
        <v>1435</v>
      </c>
      <c r="K84" s="343">
        <v>150000</v>
      </c>
      <c r="L84" s="339" t="s">
        <v>2057</v>
      </c>
      <c r="M84" s="340" t="s">
        <v>14</v>
      </c>
    </row>
    <row r="85" spans="1:13" ht="56">
      <c r="A85" s="338" t="s">
        <v>9942</v>
      </c>
      <c r="B85" s="338" t="s">
        <v>9875</v>
      </c>
      <c r="C85" s="338" t="s">
        <v>9734</v>
      </c>
      <c r="D85" s="338" t="s">
        <v>11287</v>
      </c>
      <c r="E85" s="338" t="s">
        <v>29</v>
      </c>
      <c r="F85" s="338" t="s">
        <v>21</v>
      </c>
      <c r="G85" s="338" t="s">
        <v>74</v>
      </c>
      <c r="H85" s="338" t="s">
        <v>26</v>
      </c>
      <c r="I85" s="338" t="s">
        <v>167</v>
      </c>
      <c r="J85" s="338" t="s">
        <v>1435</v>
      </c>
      <c r="K85" s="343">
        <v>150000</v>
      </c>
      <c r="L85" s="339" t="s">
        <v>2057</v>
      </c>
      <c r="M85" s="340" t="s">
        <v>14</v>
      </c>
    </row>
    <row r="86" spans="1:13" ht="56">
      <c r="A86" s="338" t="s">
        <v>9942</v>
      </c>
      <c r="B86" s="338" t="s">
        <v>9876</v>
      </c>
      <c r="C86" s="338" t="s">
        <v>9734</v>
      </c>
      <c r="D86" s="338" t="s">
        <v>11287</v>
      </c>
      <c r="E86" s="338" t="s">
        <v>29</v>
      </c>
      <c r="F86" s="338" t="s">
        <v>21</v>
      </c>
      <c r="G86" s="338" t="s">
        <v>72</v>
      </c>
      <c r="H86" s="338" t="s">
        <v>26</v>
      </c>
      <c r="I86" s="338" t="s">
        <v>167</v>
      </c>
      <c r="J86" s="338" t="s">
        <v>1435</v>
      </c>
      <c r="K86" s="343">
        <v>150000</v>
      </c>
      <c r="L86" s="339" t="s">
        <v>2057</v>
      </c>
      <c r="M86" s="340" t="s">
        <v>14</v>
      </c>
    </row>
    <row r="87" spans="1:13" ht="56">
      <c r="A87" s="338" t="s">
        <v>9942</v>
      </c>
      <c r="B87" s="338" t="s">
        <v>9877</v>
      </c>
      <c r="C87" s="338" t="s">
        <v>9734</v>
      </c>
      <c r="D87" s="338" t="s">
        <v>11287</v>
      </c>
      <c r="E87" s="338" t="s">
        <v>29</v>
      </c>
      <c r="F87" s="338" t="s">
        <v>21</v>
      </c>
      <c r="G87" s="338" t="s">
        <v>70</v>
      </c>
      <c r="H87" s="338" t="s">
        <v>42</v>
      </c>
      <c r="I87" s="338" t="s">
        <v>167</v>
      </c>
      <c r="J87" s="338" t="s">
        <v>1435</v>
      </c>
      <c r="K87" s="343">
        <v>190000</v>
      </c>
      <c r="L87" s="339" t="s">
        <v>2057</v>
      </c>
      <c r="M87" s="340" t="s">
        <v>14</v>
      </c>
    </row>
    <row r="88" spans="1:13" ht="56">
      <c r="A88" s="338" t="s">
        <v>9942</v>
      </c>
      <c r="B88" s="338" t="s">
        <v>9878</v>
      </c>
      <c r="C88" s="338" t="s">
        <v>9734</v>
      </c>
      <c r="D88" s="338" t="s">
        <v>11288</v>
      </c>
      <c r="E88" s="338" t="s">
        <v>29</v>
      </c>
      <c r="F88" s="338" t="s">
        <v>21</v>
      </c>
      <c r="G88" s="338" t="s">
        <v>70</v>
      </c>
      <c r="H88" s="338" t="s">
        <v>26</v>
      </c>
      <c r="I88" s="338" t="s">
        <v>167</v>
      </c>
      <c r="J88" s="338" t="s">
        <v>1435</v>
      </c>
      <c r="K88" s="343">
        <v>150000</v>
      </c>
      <c r="L88" s="339" t="s">
        <v>2057</v>
      </c>
      <c r="M88" s="340" t="s">
        <v>14</v>
      </c>
    </row>
    <row r="89" spans="1:13" ht="56">
      <c r="A89" s="338" t="s">
        <v>9942</v>
      </c>
      <c r="B89" s="338" t="s">
        <v>9880</v>
      </c>
      <c r="C89" s="338" t="s">
        <v>9734</v>
      </c>
      <c r="D89" s="338" t="s">
        <v>11288</v>
      </c>
      <c r="E89" s="338" t="s">
        <v>29</v>
      </c>
      <c r="F89" s="338" t="s">
        <v>21</v>
      </c>
      <c r="G89" s="338" t="s">
        <v>74</v>
      </c>
      <c r="H89" s="338" t="s">
        <v>26</v>
      </c>
      <c r="I89" s="338" t="s">
        <v>167</v>
      </c>
      <c r="J89" s="338" t="s">
        <v>1435</v>
      </c>
      <c r="K89" s="343">
        <v>150000</v>
      </c>
      <c r="L89" s="339" t="s">
        <v>2057</v>
      </c>
      <c r="M89" s="340" t="s">
        <v>14</v>
      </c>
    </row>
    <row r="90" spans="1:13" ht="56">
      <c r="A90" s="338" t="s">
        <v>9942</v>
      </c>
      <c r="B90" s="338" t="s">
        <v>9881</v>
      </c>
      <c r="C90" s="338" t="s">
        <v>9734</v>
      </c>
      <c r="D90" s="338" t="s">
        <v>11288</v>
      </c>
      <c r="E90" s="338" t="s">
        <v>29</v>
      </c>
      <c r="F90" s="338" t="s">
        <v>21</v>
      </c>
      <c r="G90" s="338" t="s">
        <v>72</v>
      </c>
      <c r="H90" s="338" t="s">
        <v>26</v>
      </c>
      <c r="I90" s="338" t="s">
        <v>167</v>
      </c>
      <c r="J90" s="338" t="s">
        <v>1435</v>
      </c>
      <c r="K90" s="343">
        <v>150000</v>
      </c>
      <c r="L90" s="339" t="s">
        <v>2057</v>
      </c>
      <c r="M90" s="340" t="s">
        <v>14</v>
      </c>
    </row>
    <row r="91" spans="1:13" ht="56">
      <c r="A91" s="338" t="s">
        <v>9942</v>
      </c>
      <c r="B91" s="338" t="s">
        <v>9882</v>
      </c>
      <c r="C91" s="338" t="s">
        <v>9734</v>
      </c>
      <c r="D91" s="338" t="s">
        <v>11288</v>
      </c>
      <c r="E91" s="338" t="s">
        <v>29</v>
      </c>
      <c r="F91" s="338" t="s">
        <v>21</v>
      </c>
      <c r="G91" s="338" t="s">
        <v>70</v>
      </c>
      <c r="H91" s="338" t="s">
        <v>42</v>
      </c>
      <c r="I91" s="338" t="s">
        <v>167</v>
      </c>
      <c r="J91" s="338" t="s">
        <v>1435</v>
      </c>
      <c r="K91" s="343">
        <v>190000</v>
      </c>
      <c r="L91" s="339" t="s">
        <v>2057</v>
      </c>
      <c r="M91" s="340" t="s">
        <v>14</v>
      </c>
    </row>
    <row r="92" spans="1:13" ht="56">
      <c r="A92" s="338" t="s">
        <v>9942</v>
      </c>
      <c r="B92" s="338" t="s">
        <v>9883</v>
      </c>
      <c r="C92" s="338" t="s">
        <v>9734</v>
      </c>
      <c r="D92" s="338" t="s">
        <v>11289</v>
      </c>
      <c r="E92" s="338" t="s">
        <v>29</v>
      </c>
      <c r="F92" s="338" t="s">
        <v>21</v>
      </c>
      <c r="G92" s="338" t="s">
        <v>70</v>
      </c>
      <c r="H92" s="338" t="s">
        <v>26</v>
      </c>
      <c r="I92" s="338" t="s">
        <v>11271</v>
      </c>
      <c r="J92" s="338" t="s">
        <v>1435</v>
      </c>
      <c r="K92" s="343">
        <v>150000</v>
      </c>
      <c r="L92" s="339" t="s">
        <v>2057</v>
      </c>
      <c r="M92" s="340" t="s">
        <v>14</v>
      </c>
    </row>
    <row r="93" spans="1:13" ht="56">
      <c r="A93" s="338" t="s">
        <v>9942</v>
      </c>
      <c r="B93" s="338" t="s">
        <v>9885</v>
      </c>
      <c r="C93" s="338" t="s">
        <v>9734</v>
      </c>
      <c r="D93" s="338" t="s">
        <v>11289</v>
      </c>
      <c r="E93" s="338" t="s">
        <v>29</v>
      </c>
      <c r="F93" s="338" t="s">
        <v>21</v>
      </c>
      <c r="G93" s="338" t="s">
        <v>74</v>
      </c>
      <c r="H93" s="338" t="s">
        <v>26</v>
      </c>
      <c r="I93" s="338" t="s">
        <v>11271</v>
      </c>
      <c r="J93" s="338" t="s">
        <v>1435</v>
      </c>
      <c r="K93" s="343">
        <v>150000</v>
      </c>
      <c r="L93" s="339" t="s">
        <v>2057</v>
      </c>
      <c r="M93" s="340" t="s">
        <v>14</v>
      </c>
    </row>
    <row r="94" spans="1:13" ht="56">
      <c r="A94" s="338" t="s">
        <v>9942</v>
      </c>
      <c r="B94" s="338" t="s">
        <v>9886</v>
      </c>
      <c r="C94" s="338" t="s">
        <v>9734</v>
      </c>
      <c r="D94" s="338" t="s">
        <v>11289</v>
      </c>
      <c r="E94" s="338" t="s">
        <v>29</v>
      </c>
      <c r="F94" s="338" t="s">
        <v>21</v>
      </c>
      <c r="G94" s="338" t="s">
        <v>72</v>
      </c>
      <c r="H94" s="338" t="s">
        <v>26</v>
      </c>
      <c r="I94" s="338" t="s">
        <v>11271</v>
      </c>
      <c r="J94" s="338" t="s">
        <v>1435</v>
      </c>
      <c r="K94" s="343">
        <v>150000</v>
      </c>
      <c r="L94" s="339" t="s">
        <v>2057</v>
      </c>
      <c r="M94" s="340" t="s">
        <v>14</v>
      </c>
    </row>
    <row r="95" spans="1:13" ht="56">
      <c r="A95" s="338" t="s">
        <v>9942</v>
      </c>
      <c r="B95" s="338" t="s">
        <v>9887</v>
      </c>
      <c r="C95" s="338" t="s">
        <v>9734</v>
      </c>
      <c r="D95" s="338" t="s">
        <v>11289</v>
      </c>
      <c r="E95" s="338" t="s">
        <v>29</v>
      </c>
      <c r="F95" s="338" t="s">
        <v>21</v>
      </c>
      <c r="G95" s="338" t="s">
        <v>70</v>
      </c>
      <c r="H95" s="338" t="s">
        <v>42</v>
      </c>
      <c r="I95" s="338" t="s">
        <v>11271</v>
      </c>
      <c r="J95" s="338" t="s">
        <v>1435</v>
      </c>
      <c r="K95" s="343">
        <v>190000</v>
      </c>
      <c r="L95" s="339" t="s">
        <v>2057</v>
      </c>
      <c r="M95" s="340" t="s">
        <v>14</v>
      </c>
    </row>
    <row r="96" spans="1:13" ht="56">
      <c r="A96" s="338" t="s">
        <v>9942</v>
      </c>
      <c r="B96" s="338" t="s">
        <v>9888</v>
      </c>
      <c r="C96" s="338" t="s">
        <v>9734</v>
      </c>
      <c r="D96" s="338" t="s">
        <v>11290</v>
      </c>
      <c r="E96" s="338" t="s">
        <v>29</v>
      </c>
      <c r="F96" s="338" t="s">
        <v>21</v>
      </c>
      <c r="G96" s="338" t="s">
        <v>70</v>
      </c>
      <c r="H96" s="338" t="s">
        <v>26</v>
      </c>
      <c r="I96" s="338" t="s">
        <v>11271</v>
      </c>
      <c r="J96" s="338" t="s">
        <v>1435</v>
      </c>
      <c r="K96" s="343">
        <v>150000</v>
      </c>
      <c r="L96" s="339" t="s">
        <v>2057</v>
      </c>
      <c r="M96" s="340" t="s">
        <v>14</v>
      </c>
    </row>
    <row r="97" spans="1:13" ht="56">
      <c r="A97" s="338" t="s">
        <v>9942</v>
      </c>
      <c r="B97" s="338" t="s">
        <v>9890</v>
      </c>
      <c r="C97" s="338" t="s">
        <v>9734</v>
      </c>
      <c r="D97" s="338" t="s">
        <v>11290</v>
      </c>
      <c r="E97" s="338" t="s">
        <v>29</v>
      </c>
      <c r="F97" s="338" t="s">
        <v>21</v>
      </c>
      <c r="G97" s="338" t="s">
        <v>74</v>
      </c>
      <c r="H97" s="338" t="s">
        <v>26</v>
      </c>
      <c r="I97" s="338" t="s">
        <v>11271</v>
      </c>
      <c r="J97" s="338" t="s">
        <v>1435</v>
      </c>
      <c r="K97" s="343">
        <v>150000</v>
      </c>
      <c r="L97" s="339" t="s">
        <v>2057</v>
      </c>
      <c r="M97" s="340" t="s">
        <v>14</v>
      </c>
    </row>
    <row r="98" spans="1:13" ht="56">
      <c r="A98" s="338" t="s">
        <v>9942</v>
      </c>
      <c r="B98" s="338" t="s">
        <v>9891</v>
      </c>
      <c r="C98" s="338" t="s">
        <v>9734</v>
      </c>
      <c r="D98" s="338" t="s">
        <v>11290</v>
      </c>
      <c r="E98" s="338" t="s">
        <v>29</v>
      </c>
      <c r="F98" s="338" t="s">
        <v>21</v>
      </c>
      <c r="G98" s="338" t="s">
        <v>72</v>
      </c>
      <c r="H98" s="338" t="s">
        <v>26</v>
      </c>
      <c r="I98" s="338" t="s">
        <v>11271</v>
      </c>
      <c r="J98" s="338" t="s">
        <v>1435</v>
      </c>
      <c r="K98" s="343">
        <v>150000</v>
      </c>
      <c r="L98" s="339" t="s">
        <v>2057</v>
      </c>
      <c r="M98" s="340" t="s">
        <v>14</v>
      </c>
    </row>
    <row r="99" spans="1:13" ht="56">
      <c r="A99" s="338" t="s">
        <v>9942</v>
      </c>
      <c r="B99" s="338" t="s">
        <v>9892</v>
      </c>
      <c r="C99" s="338" t="s">
        <v>9734</v>
      </c>
      <c r="D99" s="338" t="s">
        <v>11290</v>
      </c>
      <c r="E99" s="338" t="s">
        <v>29</v>
      </c>
      <c r="F99" s="338" t="s">
        <v>21</v>
      </c>
      <c r="G99" s="338" t="s">
        <v>70</v>
      </c>
      <c r="H99" s="338" t="s">
        <v>42</v>
      </c>
      <c r="I99" s="338" t="s">
        <v>11271</v>
      </c>
      <c r="J99" s="338" t="s">
        <v>1435</v>
      </c>
      <c r="K99" s="343">
        <v>190000</v>
      </c>
      <c r="L99" s="339" t="s">
        <v>2057</v>
      </c>
      <c r="M99" s="340" t="s">
        <v>14</v>
      </c>
    </row>
    <row r="100" spans="1:13" ht="56">
      <c r="A100" s="338" t="s">
        <v>9942</v>
      </c>
      <c r="B100" s="338" t="s">
        <v>9893</v>
      </c>
      <c r="C100" s="338" t="s">
        <v>9734</v>
      </c>
      <c r="D100" s="338" t="s">
        <v>11291</v>
      </c>
      <c r="E100" s="338" t="s">
        <v>29</v>
      </c>
      <c r="F100" s="338" t="s">
        <v>21</v>
      </c>
      <c r="G100" s="338" t="s">
        <v>70</v>
      </c>
      <c r="H100" s="338" t="s">
        <v>26</v>
      </c>
      <c r="I100" s="338" t="s">
        <v>11271</v>
      </c>
      <c r="J100" s="338" t="s">
        <v>1435</v>
      </c>
      <c r="K100" s="343">
        <v>150000</v>
      </c>
      <c r="L100" s="339" t="s">
        <v>2057</v>
      </c>
      <c r="M100" s="340" t="s">
        <v>14</v>
      </c>
    </row>
    <row r="101" spans="1:13" ht="56">
      <c r="A101" s="338" t="s">
        <v>9942</v>
      </c>
      <c r="B101" s="338" t="s">
        <v>9895</v>
      </c>
      <c r="C101" s="338" t="s">
        <v>9734</v>
      </c>
      <c r="D101" s="338" t="s">
        <v>11291</v>
      </c>
      <c r="E101" s="338" t="s">
        <v>29</v>
      </c>
      <c r="F101" s="338" t="s">
        <v>21</v>
      </c>
      <c r="G101" s="338" t="s">
        <v>74</v>
      </c>
      <c r="H101" s="338" t="s">
        <v>26</v>
      </c>
      <c r="I101" s="338" t="s">
        <v>11271</v>
      </c>
      <c r="J101" s="338" t="s">
        <v>1435</v>
      </c>
      <c r="K101" s="343">
        <v>150000</v>
      </c>
      <c r="L101" s="339" t="s">
        <v>2057</v>
      </c>
      <c r="M101" s="340" t="s">
        <v>14</v>
      </c>
    </row>
    <row r="102" spans="1:13" ht="56">
      <c r="A102" s="338" t="s">
        <v>9942</v>
      </c>
      <c r="B102" s="338" t="s">
        <v>9896</v>
      </c>
      <c r="C102" s="338" t="s">
        <v>9734</v>
      </c>
      <c r="D102" s="338" t="s">
        <v>11291</v>
      </c>
      <c r="E102" s="338" t="s">
        <v>29</v>
      </c>
      <c r="F102" s="338" t="s">
        <v>21</v>
      </c>
      <c r="G102" s="338" t="s">
        <v>72</v>
      </c>
      <c r="H102" s="338" t="s">
        <v>26</v>
      </c>
      <c r="I102" s="338" t="s">
        <v>11271</v>
      </c>
      <c r="J102" s="338" t="s">
        <v>1435</v>
      </c>
      <c r="K102" s="343">
        <v>150000</v>
      </c>
      <c r="L102" s="339" t="s">
        <v>2057</v>
      </c>
      <c r="M102" s="340" t="s">
        <v>14</v>
      </c>
    </row>
    <row r="103" spans="1:13" ht="56">
      <c r="A103" s="338" t="s">
        <v>9942</v>
      </c>
      <c r="B103" s="338" t="s">
        <v>9897</v>
      </c>
      <c r="C103" s="338" t="s">
        <v>9734</v>
      </c>
      <c r="D103" s="338" t="s">
        <v>11291</v>
      </c>
      <c r="E103" s="338" t="s">
        <v>29</v>
      </c>
      <c r="F103" s="338" t="s">
        <v>21</v>
      </c>
      <c r="G103" s="338" t="s">
        <v>70</v>
      </c>
      <c r="H103" s="338" t="s">
        <v>42</v>
      </c>
      <c r="I103" s="338" t="s">
        <v>11271</v>
      </c>
      <c r="J103" s="338" t="s">
        <v>1435</v>
      </c>
      <c r="K103" s="343">
        <v>190000</v>
      </c>
      <c r="L103" s="339" t="s">
        <v>2057</v>
      </c>
      <c r="M103" s="340" t="s">
        <v>14</v>
      </c>
    </row>
    <row r="104" spans="1:13" ht="56">
      <c r="A104" s="338" t="s">
        <v>9942</v>
      </c>
      <c r="B104" s="338" t="s">
        <v>9898</v>
      </c>
      <c r="C104" s="338" t="s">
        <v>9734</v>
      </c>
      <c r="D104" s="338" t="s">
        <v>11292</v>
      </c>
      <c r="E104" s="338" t="s">
        <v>29</v>
      </c>
      <c r="F104" s="338" t="s">
        <v>21</v>
      </c>
      <c r="G104" s="338" t="s">
        <v>70</v>
      </c>
      <c r="H104" s="338" t="s">
        <v>26</v>
      </c>
      <c r="I104" s="338" t="s">
        <v>11271</v>
      </c>
      <c r="J104" s="338" t="s">
        <v>1435</v>
      </c>
      <c r="K104" s="343">
        <v>150000</v>
      </c>
      <c r="L104" s="339" t="s">
        <v>2057</v>
      </c>
      <c r="M104" s="340" t="s">
        <v>14</v>
      </c>
    </row>
    <row r="105" spans="1:13" ht="56">
      <c r="A105" s="338" t="s">
        <v>9942</v>
      </c>
      <c r="B105" s="338" t="s">
        <v>9900</v>
      </c>
      <c r="C105" s="338" t="s">
        <v>9734</v>
      </c>
      <c r="D105" s="338" t="s">
        <v>11292</v>
      </c>
      <c r="E105" s="338" t="s">
        <v>29</v>
      </c>
      <c r="F105" s="338" t="s">
        <v>21</v>
      </c>
      <c r="G105" s="338" t="s">
        <v>74</v>
      </c>
      <c r="H105" s="338" t="s">
        <v>26</v>
      </c>
      <c r="I105" s="338" t="s">
        <v>11271</v>
      </c>
      <c r="J105" s="338" t="s">
        <v>1435</v>
      </c>
      <c r="K105" s="343">
        <v>150000</v>
      </c>
      <c r="L105" s="339" t="s">
        <v>2057</v>
      </c>
      <c r="M105" s="340" t="s">
        <v>14</v>
      </c>
    </row>
    <row r="106" spans="1:13" ht="56">
      <c r="A106" s="338" t="s">
        <v>9942</v>
      </c>
      <c r="B106" s="338" t="s">
        <v>9901</v>
      </c>
      <c r="C106" s="338" t="s">
        <v>9734</v>
      </c>
      <c r="D106" s="338" t="s">
        <v>11292</v>
      </c>
      <c r="E106" s="338" t="s">
        <v>29</v>
      </c>
      <c r="F106" s="338" t="s">
        <v>21</v>
      </c>
      <c r="G106" s="338" t="s">
        <v>72</v>
      </c>
      <c r="H106" s="338" t="s">
        <v>26</v>
      </c>
      <c r="I106" s="338" t="s">
        <v>11271</v>
      </c>
      <c r="J106" s="338" t="s">
        <v>1435</v>
      </c>
      <c r="K106" s="343">
        <v>150000</v>
      </c>
      <c r="L106" s="339" t="s">
        <v>2057</v>
      </c>
      <c r="M106" s="340" t="s">
        <v>14</v>
      </c>
    </row>
    <row r="107" spans="1:13" ht="56">
      <c r="A107" s="338" t="s">
        <v>9942</v>
      </c>
      <c r="B107" s="338" t="s">
        <v>9902</v>
      </c>
      <c r="C107" s="338" t="s">
        <v>9734</v>
      </c>
      <c r="D107" s="338" t="s">
        <v>11293</v>
      </c>
      <c r="E107" s="338" t="s">
        <v>29</v>
      </c>
      <c r="F107" s="338" t="s">
        <v>21</v>
      </c>
      <c r="G107" s="338" t="s">
        <v>70</v>
      </c>
      <c r="H107" s="338" t="s">
        <v>26</v>
      </c>
      <c r="I107" s="338" t="s">
        <v>11271</v>
      </c>
      <c r="J107" s="338" t="s">
        <v>1435</v>
      </c>
      <c r="K107" s="343">
        <v>150000</v>
      </c>
      <c r="L107" s="339" t="s">
        <v>2057</v>
      </c>
      <c r="M107" s="340" t="s">
        <v>14</v>
      </c>
    </row>
    <row r="108" spans="1:13" ht="56">
      <c r="A108" s="338" t="s">
        <v>9942</v>
      </c>
      <c r="B108" s="338" t="s">
        <v>9904</v>
      </c>
      <c r="C108" s="338" t="s">
        <v>9734</v>
      </c>
      <c r="D108" s="338" t="s">
        <v>11293</v>
      </c>
      <c r="E108" s="338" t="s">
        <v>29</v>
      </c>
      <c r="F108" s="338" t="s">
        <v>21</v>
      </c>
      <c r="G108" s="338" t="s">
        <v>74</v>
      </c>
      <c r="H108" s="338" t="s">
        <v>26</v>
      </c>
      <c r="I108" s="338" t="s">
        <v>11271</v>
      </c>
      <c r="J108" s="338" t="s">
        <v>1435</v>
      </c>
      <c r="K108" s="343">
        <v>150000</v>
      </c>
      <c r="L108" s="339" t="s">
        <v>2057</v>
      </c>
      <c r="M108" s="340" t="s">
        <v>14</v>
      </c>
    </row>
    <row r="109" spans="1:13" ht="56">
      <c r="A109" s="338" t="s">
        <v>9942</v>
      </c>
      <c r="B109" s="338" t="s">
        <v>9905</v>
      </c>
      <c r="C109" s="338" t="s">
        <v>9734</v>
      </c>
      <c r="D109" s="338" t="s">
        <v>11293</v>
      </c>
      <c r="E109" s="338" t="s">
        <v>29</v>
      </c>
      <c r="F109" s="338" t="s">
        <v>21</v>
      </c>
      <c r="G109" s="338" t="s">
        <v>72</v>
      </c>
      <c r="H109" s="338" t="s">
        <v>26</v>
      </c>
      <c r="I109" s="338" t="s">
        <v>11271</v>
      </c>
      <c r="J109" s="338" t="s">
        <v>1435</v>
      </c>
      <c r="K109" s="343">
        <v>150000</v>
      </c>
      <c r="L109" s="339" t="s">
        <v>2057</v>
      </c>
      <c r="M109" s="340" t="s">
        <v>14</v>
      </c>
    </row>
    <row r="110" spans="1:13" ht="56">
      <c r="A110" s="338" t="s">
        <v>9942</v>
      </c>
      <c r="B110" s="338" t="s">
        <v>9906</v>
      </c>
      <c r="C110" s="338" t="s">
        <v>9734</v>
      </c>
      <c r="D110" s="338" t="s">
        <v>11292</v>
      </c>
      <c r="E110" s="338" t="s">
        <v>29</v>
      </c>
      <c r="F110" s="338" t="s">
        <v>21</v>
      </c>
      <c r="G110" s="338" t="s">
        <v>70</v>
      </c>
      <c r="H110" s="338" t="s">
        <v>42</v>
      </c>
      <c r="I110" s="338" t="s">
        <v>11271</v>
      </c>
      <c r="J110" s="338" t="s">
        <v>1435</v>
      </c>
      <c r="K110" s="343">
        <v>190000</v>
      </c>
      <c r="L110" s="339" t="s">
        <v>2057</v>
      </c>
      <c r="M110" s="340" t="s">
        <v>14</v>
      </c>
    </row>
    <row r="111" spans="1:13" ht="56">
      <c r="A111" s="338" t="s">
        <v>9942</v>
      </c>
      <c r="B111" s="338" t="s">
        <v>9907</v>
      </c>
      <c r="C111" s="338" t="s">
        <v>9734</v>
      </c>
      <c r="D111" s="338" t="s">
        <v>11294</v>
      </c>
      <c r="E111" s="338" t="s">
        <v>29</v>
      </c>
      <c r="F111" s="338" t="s">
        <v>21</v>
      </c>
      <c r="G111" s="338" t="s">
        <v>70</v>
      </c>
      <c r="H111" s="338" t="s">
        <v>26</v>
      </c>
      <c r="I111" s="338" t="s">
        <v>11271</v>
      </c>
      <c r="J111" s="338" t="s">
        <v>1435</v>
      </c>
      <c r="K111" s="343">
        <v>150000</v>
      </c>
      <c r="L111" s="339" t="s">
        <v>2057</v>
      </c>
      <c r="M111" s="340" t="s">
        <v>14</v>
      </c>
    </row>
    <row r="112" spans="1:13" ht="56">
      <c r="A112" s="338" t="s">
        <v>9942</v>
      </c>
      <c r="B112" s="338" t="s">
        <v>9909</v>
      </c>
      <c r="C112" s="338" t="s">
        <v>9734</v>
      </c>
      <c r="D112" s="338" t="s">
        <v>11294</v>
      </c>
      <c r="E112" s="338" t="s">
        <v>29</v>
      </c>
      <c r="F112" s="338" t="s">
        <v>21</v>
      </c>
      <c r="G112" s="338" t="s">
        <v>74</v>
      </c>
      <c r="H112" s="338" t="s">
        <v>26</v>
      </c>
      <c r="I112" s="338" t="s">
        <v>11271</v>
      </c>
      <c r="J112" s="338" t="s">
        <v>1435</v>
      </c>
      <c r="K112" s="343">
        <v>150000</v>
      </c>
      <c r="L112" s="339" t="s">
        <v>2057</v>
      </c>
      <c r="M112" s="340" t="s">
        <v>14</v>
      </c>
    </row>
    <row r="113" spans="1:13" ht="56">
      <c r="A113" s="338" t="s">
        <v>9942</v>
      </c>
      <c r="B113" s="338" t="s">
        <v>9910</v>
      </c>
      <c r="C113" s="338" t="s">
        <v>9734</v>
      </c>
      <c r="D113" s="338" t="s">
        <v>11294</v>
      </c>
      <c r="E113" s="338" t="s">
        <v>29</v>
      </c>
      <c r="F113" s="338" t="s">
        <v>21</v>
      </c>
      <c r="G113" s="338" t="s">
        <v>72</v>
      </c>
      <c r="H113" s="338" t="s">
        <v>26</v>
      </c>
      <c r="I113" s="338" t="s">
        <v>11271</v>
      </c>
      <c r="J113" s="338" t="s">
        <v>1435</v>
      </c>
      <c r="K113" s="343">
        <v>150000</v>
      </c>
      <c r="L113" s="339" t="s">
        <v>2057</v>
      </c>
      <c r="M113" s="340" t="s">
        <v>14</v>
      </c>
    </row>
    <row r="114" spans="1:13" ht="56">
      <c r="A114" s="338" t="s">
        <v>9942</v>
      </c>
      <c r="B114" s="338" t="s">
        <v>9911</v>
      </c>
      <c r="C114" s="338" t="s">
        <v>9734</v>
      </c>
      <c r="D114" s="338" t="s">
        <v>11294</v>
      </c>
      <c r="E114" s="338" t="s">
        <v>29</v>
      </c>
      <c r="F114" s="338" t="s">
        <v>21</v>
      </c>
      <c r="G114" s="338" t="s">
        <v>70</v>
      </c>
      <c r="H114" s="338" t="s">
        <v>42</v>
      </c>
      <c r="I114" s="338" t="s">
        <v>11271</v>
      </c>
      <c r="J114" s="338" t="s">
        <v>1435</v>
      </c>
      <c r="K114" s="343">
        <v>190000</v>
      </c>
      <c r="L114" s="339" t="s">
        <v>2057</v>
      </c>
      <c r="M114" s="340" t="s">
        <v>14</v>
      </c>
    </row>
    <row r="115" spans="1:13" ht="56">
      <c r="A115" s="338" t="s">
        <v>9942</v>
      </c>
      <c r="B115" s="338" t="s">
        <v>9912</v>
      </c>
      <c r="C115" s="338" t="s">
        <v>9734</v>
      </c>
      <c r="D115" s="338" t="s">
        <v>11285</v>
      </c>
      <c r="E115" s="338" t="s">
        <v>128</v>
      </c>
      <c r="F115" s="338" t="s">
        <v>21</v>
      </c>
      <c r="G115" s="338" t="s">
        <v>70</v>
      </c>
      <c r="H115" s="338" t="s">
        <v>42</v>
      </c>
      <c r="I115" s="338" t="s">
        <v>167</v>
      </c>
      <c r="J115" s="338" t="s">
        <v>1435</v>
      </c>
      <c r="K115" s="343">
        <v>20000000</v>
      </c>
      <c r="L115" s="339" t="s">
        <v>2057</v>
      </c>
      <c r="M115" s="340" t="s">
        <v>14</v>
      </c>
    </row>
    <row r="116" spans="1:13" ht="56">
      <c r="A116" s="338" t="s">
        <v>9942</v>
      </c>
      <c r="B116" s="338" t="s">
        <v>9913</v>
      </c>
      <c r="C116" s="338" t="s">
        <v>9734</v>
      </c>
      <c r="D116" s="338" t="s">
        <v>11285</v>
      </c>
      <c r="E116" s="338" t="s">
        <v>128</v>
      </c>
      <c r="F116" s="338" t="s">
        <v>21</v>
      </c>
      <c r="G116" s="338" t="s">
        <v>74</v>
      </c>
      <c r="H116" s="338" t="s">
        <v>42</v>
      </c>
      <c r="I116" s="338" t="s">
        <v>167</v>
      </c>
      <c r="J116" s="338" t="s">
        <v>1435</v>
      </c>
      <c r="K116" s="343">
        <v>24000000</v>
      </c>
      <c r="L116" s="339" t="s">
        <v>2057</v>
      </c>
      <c r="M116" s="340" t="s">
        <v>14</v>
      </c>
    </row>
    <row r="117" spans="1:13" ht="56">
      <c r="A117" s="338" t="s">
        <v>9942</v>
      </c>
      <c r="B117" s="338" t="s">
        <v>9914</v>
      </c>
      <c r="C117" s="338" t="s">
        <v>9734</v>
      </c>
      <c r="D117" s="338" t="s">
        <v>11286</v>
      </c>
      <c r="E117" s="338" t="s">
        <v>128</v>
      </c>
      <c r="F117" s="338" t="s">
        <v>21</v>
      </c>
      <c r="G117" s="338" t="s">
        <v>70</v>
      </c>
      <c r="H117" s="338" t="s">
        <v>42</v>
      </c>
      <c r="I117" s="338" t="s">
        <v>167</v>
      </c>
      <c r="J117" s="338" t="s">
        <v>1435</v>
      </c>
      <c r="K117" s="343">
        <v>20000000</v>
      </c>
      <c r="L117" s="339" t="s">
        <v>2057</v>
      </c>
      <c r="M117" s="340" t="s">
        <v>14</v>
      </c>
    </row>
    <row r="118" spans="1:13" ht="56">
      <c r="A118" s="338" t="s">
        <v>9942</v>
      </c>
      <c r="B118" s="338" t="s">
        <v>9915</v>
      </c>
      <c r="C118" s="338" t="s">
        <v>9734</v>
      </c>
      <c r="D118" s="338" t="s">
        <v>11286</v>
      </c>
      <c r="E118" s="338" t="s">
        <v>128</v>
      </c>
      <c r="F118" s="338" t="s">
        <v>21</v>
      </c>
      <c r="G118" s="338" t="s">
        <v>74</v>
      </c>
      <c r="H118" s="338" t="s">
        <v>42</v>
      </c>
      <c r="I118" s="338" t="s">
        <v>167</v>
      </c>
      <c r="J118" s="338" t="s">
        <v>1435</v>
      </c>
      <c r="K118" s="343">
        <v>24000000</v>
      </c>
      <c r="L118" s="339" t="s">
        <v>2057</v>
      </c>
      <c r="M118" s="340" t="s">
        <v>14</v>
      </c>
    </row>
    <row r="119" spans="1:13" ht="56">
      <c r="A119" s="338" t="s">
        <v>9942</v>
      </c>
      <c r="B119" s="338" t="s">
        <v>9916</v>
      </c>
      <c r="C119" s="338" t="s">
        <v>9734</v>
      </c>
      <c r="D119" s="338" t="s">
        <v>11287</v>
      </c>
      <c r="E119" s="338" t="s">
        <v>128</v>
      </c>
      <c r="F119" s="338" t="s">
        <v>21</v>
      </c>
      <c r="G119" s="338" t="s">
        <v>70</v>
      </c>
      <c r="H119" s="338" t="s">
        <v>42</v>
      </c>
      <c r="I119" s="338" t="s">
        <v>167</v>
      </c>
      <c r="J119" s="338" t="s">
        <v>1435</v>
      </c>
      <c r="K119" s="343">
        <v>20000000</v>
      </c>
      <c r="L119" s="339" t="s">
        <v>2057</v>
      </c>
      <c r="M119" s="340" t="s">
        <v>14</v>
      </c>
    </row>
    <row r="120" spans="1:13" ht="56">
      <c r="A120" s="338" t="s">
        <v>9942</v>
      </c>
      <c r="B120" s="338" t="s">
        <v>9917</v>
      </c>
      <c r="C120" s="338" t="s">
        <v>9734</v>
      </c>
      <c r="D120" s="338" t="s">
        <v>11287</v>
      </c>
      <c r="E120" s="338" t="s">
        <v>128</v>
      </c>
      <c r="F120" s="338" t="s">
        <v>21</v>
      </c>
      <c r="G120" s="338" t="s">
        <v>74</v>
      </c>
      <c r="H120" s="338" t="s">
        <v>42</v>
      </c>
      <c r="I120" s="338" t="s">
        <v>167</v>
      </c>
      <c r="J120" s="338" t="s">
        <v>1435</v>
      </c>
      <c r="K120" s="343">
        <v>24000000</v>
      </c>
      <c r="L120" s="339" t="s">
        <v>2057</v>
      </c>
      <c r="M120" s="340" t="s">
        <v>14</v>
      </c>
    </row>
    <row r="121" spans="1:13" ht="56">
      <c r="A121" s="338" t="s">
        <v>9942</v>
      </c>
      <c r="B121" s="338" t="s">
        <v>9918</v>
      </c>
      <c r="C121" s="338" t="s">
        <v>9734</v>
      </c>
      <c r="D121" s="338" t="s">
        <v>11288</v>
      </c>
      <c r="E121" s="338" t="s">
        <v>128</v>
      </c>
      <c r="F121" s="338" t="s">
        <v>21</v>
      </c>
      <c r="G121" s="338" t="s">
        <v>70</v>
      </c>
      <c r="H121" s="338" t="s">
        <v>42</v>
      </c>
      <c r="I121" s="338" t="s">
        <v>167</v>
      </c>
      <c r="J121" s="338" t="s">
        <v>1435</v>
      </c>
      <c r="K121" s="343">
        <v>20000000</v>
      </c>
      <c r="L121" s="339" t="s">
        <v>2057</v>
      </c>
      <c r="M121" s="340" t="s">
        <v>14</v>
      </c>
    </row>
    <row r="122" spans="1:13" ht="56">
      <c r="A122" s="338" t="s">
        <v>9942</v>
      </c>
      <c r="B122" s="338" t="s">
        <v>9919</v>
      </c>
      <c r="C122" s="338" t="s">
        <v>9734</v>
      </c>
      <c r="D122" s="338" t="s">
        <v>11288</v>
      </c>
      <c r="E122" s="338" t="s">
        <v>128</v>
      </c>
      <c r="F122" s="338" t="s">
        <v>21</v>
      </c>
      <c r="G122" s="338" t="s">
        <v>74</v>
      </c>
      <c r="H122" s="338" t="s">
        <v>42</v>
      </c>
      <c r="I122" s="338" t="s">
        <v>167</v>
      </c>
      <c r="J122" s="338" t="s">
        <v>1435</v>
      </c>
      <c r="K122" s="343">
        <v>24000000</v>
      </c>
      <c r="L122" s="339" t="s">
        <v>2057</v>
      </c>
      <c r="M122" s="340" t="s">
        <v>14</v>
      </c>
    </row>
    <row r="123" spans="1:13" ht="56">
      <c r="A123" s="338" t="s">
        <v>9942</v>
      </c>
      <c r="B123" s="338" t="s">
        <v>9920</v>
      </c>
      <c r="C123" s="338" t="s">
        <v>9734</v>
      </c>
      <c r="D123" s="338" t="s">
        <v>11289</v>
      </c>
      <c r="E123" s="338" t="s">
        <v>128</v>
      </c>
      <c r="F123" s="338" t="s">
        <v>21</v>
      </c>
      <c r="G123" s="338" t="s">
        <v>70</v>
      </c>
      <c r="H123" s="338" t="s">
        <v>42</v>
      </c>
      <c r="I123" s="338" t="s">
        <v>11271</v>
      </c>
      <c r="J123" s="338" t="s">
        <v>1435</v>
      </c>
      <c r="K123" s="343">
        <v>20000000</v>
      </c>
      <c r="L123" s="339" t="s">
        <v>2057</v>
      </c>
      <c r="M123" s="340" t="s">
        <v>14</v>
      </c>
    </row>
    <row r="124" spans="1:13" ht="56">
      <c r="A124" s="338" t="s">
        <v>9942</v>
      </c>
      <c r="B124" s="338" t="s">
        <v>9921</v>
      </c>
      <c r="C124" s="338" t="s">
        <v>9734</v>
      </c>
      <c r="D124" s="338" t="s">
        <v>11289</v>
      </c>
      <c r="E124" s="338" t="s">
        <v>128</v>
      </c>
      <c r="F124" s="338" t="s">
        <v>21</v>
      </c>
      <c r="G124" s="338" t="s">
        <v>74</v>
      </c>
      <c r="H124" s="338" t="s">
        <v>42</v>
      </c>
      <c r="I124" s="338" t="s">
        <v>11271</v>
      </c>
      <c r="J124" s="338" t="s">
        <v>1435</v>
      </c>
      <c r="K124" s="343">
        <v>24000000</v>
      </c>
      <c r="L124" s="339" t="s">
        <v>2057</v>
      </c>
      <c r="M124" s="340" t="s">
        <v>14</v>
      </c>
    </row>
    <row r="125" spans="1:13" ht="56">
      <c r="A125" s="338" t="s">
        <v>9942</v>
      </c>
      <c r="B125" s="338" t="s">
        <v>9922</v>
      </c>
      <c r="C125" s="338" t="s">
        <v>9734</v>
      </c>
      <c r="D125" s="338" t="s">
        <v>11290</v>
      </c>
      <c r="E125" s="338" t="s">
        <v>128</v>
      </c>
      <c r="F125" s="338" t="s">
        <v>21</v>
      </c>
      <c r="G125" s="338" t="s">
        <v>70</v>
      </c>
      <c r="H125" s="338" t="s">
        <v>42</v>
      </c>
      <c r="I125" s="338" t="s">
        <v>11271</v>
      </c>
      <c r="J125" s="338" t="s">
        <v>1435</v>
      </c>
      <c r="K125" s="343">
        <v>20000000</v>
      </c>
      <c r="L125" s="339" t="s">
        <v>2057</v>
      </c>
      <c r="M125" s="340" t="s">
        <v>14</v>
      </c>
    </row>
    <row r="126" spans="1:13" ht="56">
      <c r="A126" s="338" t="s">
        <v>9942</v>
      </c>
      <c r="B126" s="338" t="s">
        <v>9923</v>
      </c>
      <c r="C126" s="338" t="s">
        <v>9734</v>
      </c>
      <c r="D126" s="338" t="s">
        <v>11290</v>
      </c>
      <c r="E126" s="338" t="s">
        <v>128</v>
      </c>
      <c r="F126" s="338" t="s">
        <v>21</v>
      </c>
      <c r="G126" s="338" t="s">
        <v>74</v>
      </c>
      <c r="H126" s="338" t="s">
        <v>42</v>
      </c>
      <c r="I126" s="338" t="s">
        <v>11271</v>
      </c>
      <c r="J126" s="338" t="s">
        <v>1435</v>
      </c>
      <c r="K126" s="343">
        <v>24000000</v>
      </c>
      <c r="L126" s="339" t="s">
        <v>2057</v>
      </c>
      <c r="M126" s="340" t="s">
        <v>14</v>
      </c>
    </row>
    <row r="127" spans="1:13" ht="56">
      <c r="A127" s="338" t="s">
        <v>9942</v>
      </c>
      <c r="B127" s="338" t="s">
        <v>9924</v>
      </c>
      <c r="C127" s="338" t="s">
        <v>9734</v>
      </c>
      <c r="D127" s="338" t="s">
        <v>11291</v>
      </c>
      <c r="E127" s="338" t="s">
        <v>128</v>
      </c>
      <c r="F127" s="338" t="s">
        <v>21</v>
      </c>
      <c r="G127" s="338" t="s">
        <v>70</v>
      </c>
      <c r="H127" s="338" t="s">
        <v>42</v>
      </c>
      <c r="I127" s="338" t="s">
        <v>11271</v>
      </c>
      <c r="J127" s="338" t="s">
        <v>1435</v>
      </c>
      <c r="K127" s="343">
        <v>20000000</v>
      </c>
      <c r="L127" s="339" t="s">
        <v>2057</v>
      </c>
      <c r="M127" s="340" t="s">
        <v>14</v>
      </c>
    </row>
    <row r="128" spans="1:13" ht="56">
      <c r="A128" s="338" t="s">
        <v>9942</v>
      </c>
      <c r="B128" s="338" t="s">
        <v>9925</v>
      </c>
      <c r="C128" s="338" t="s">
        <v>9734</v>
      </c>
      <c r="D128" s="338" t="s">
        <v>11291</v>
      </c>
      <c r="E128" s="338" t="s">
        <v>128</v>
      </c>
      <c r="F128" s="338" t="s">
        <v>21</v>
      </c>
      <c r="G128" s="338" t="s">
        <v>74</v>
      </c>
      <c r="H128" s="338" t="s">
        <v>42</v>
      </c>
      <c r="I128" s="338" t="s">
        <v>11271</v>
      </c>
      <c r="J128" s="338" t="s">
        <v>1435</v>
      </c>
      <c r="K128" s="343">
        <v>24000000</v>
      </c>
      <c r="L128" s="339" t="s">
        <v>2057</v>
      </c>
      <c r="M128" s="340" t="s">
        <v>14</v>
      </c>
    </row>
    <row r="129" spans="1:13" ht="56">
      <c r="A129" s="338" t="s">
        <v>9942</v>
      </c>
      <c r="B129" s="338" t="s">
        <v>9926</v>
      </c>
      <c r="C129" s="338" t="s">
        <v>9734</v>
      </c>
      <c r="D129" s="338" t="s">
        <v>11292</v>
      </c>
      <c r="E129" s="338" t="s">
        <v>128</v>
      </c>
      <c r="F129" s="338" t="s">
        <v>21</v>
      </c>
      <c r="G129" s="338" t="s">
        <v>70</v>
      </c>
      <c r="H129" s="338" t="s">
        <v>42</v>
      </c>
      <c r="I129" s="338" t="s">
        <v>11271</v>
      </c>
      <c r="J129" s="338" t="s">
        <v>1435</v>
      </c>
      <c r="K129" s="343">
        <v>20000000</v>
      </c>
      <c r="L129" s="339" t="s">
        <v>2057</v>
      </c>
      <c r="M129" s="340" t="s">
        <v>14</v>
      </c>
    </row>
    <row r="130" spans="1:13" ht="56">
      <c r="A130" s="338" t="s">
        <v>9942</v>
      </c>
      <c r="B130" s="338" t="s">
        <v>9927</v>
      </c>
      <c r="C130" s="338" t="s">
        <v>9734</v>
      </c>
      <c r="D130" s="338" t="s">
        <v>11292</v>
      </c>
      <c r="E130" s="338" t="s">
        <v>128</v>
      </c>
      <c r="F130" s="338" t="s">
        <v>21</v>
      </c>
      <c r="G130" s="338" t="s">
        <v>74</v>
      </c>
      <c r="H130" s="338" t="s">
        <v>42</v>
      </c>
      <c r="I130" s="338" t="s">
        <v>11271</v>
      </c>
      <c r="J130" s="338" t="s">
        <v>1435</v>
      </c>
      <c r="K130" s="343">
        <v>24000000</v>
      </c>
      <c r="L130" s="339" t="s">
        <v>2057</v>
      </c>
      <c r="M130" s="340" t="s">
        <v>14</v>
      </c>
    </row>
    <row r="131" spans="1:13" ht="56">
      <c r="A131" s="338" t="s">
        <v>9942</v>
      </c>
      <c r="B131" s="338" t="s">
        <v>9928</v>
      </c>
      <c r="C131" s="338" t="s">
        <v>9734</v>
      </c>
      <c r="D131" s="338" t="s">
        <v>11294</v>
      </c>
      <c r="E131" s="338" t="s">
        <v>128</v>
      </c>
      <c r="F131" s="338" t="s">
        <v>21</v>
      </c>
      <c r="G131" s="338" t="s">
        <v>70</v>
      </c>
      <c r="H131" s="338" t="s">
        <v>42</v>
      </c>
      <c r="I131" s="338" t="s">
        <v>11271</v>
      </c>
      <c r="J131" s="338" t="s">
        <v>1435</v>
      </c>
      <c r="K131" s="343">
        <v>20000000</v>
      </c>
      <c r="L131" s="339" t="s">
        <v>2057</v>
      </c>
      <c r="M131" s="340" t="s">
        <v>14</v>
      </c>
    </row>
    <row r="132" spans="1:13" ht="56">
      <c r="A132" s="338" t="s">
        <v>9942</v>
      </c>
      <c r="B132" s="338" t="s">
        <v>9929</v>
      </c>
      <c r="C132" s="338" t="s">
        <v>9734</v>
      </c>
      <c r="D132" s="338" t="s">
        <v>11294</v>
      </c>
      <c r="E132" s="338" t="s">
        <v>128</v>
      </c>
      <c r="F132" s="338" t="s">
        <v>21</v>
      </c>
      <c r="G132" s="338" t="s">
        <v>74</v>
      </c>
      <c r="H132" s="338" t="s">
        <v>42</v>
      </c>
      <c r="I132" s="338" t="s">
        <v>11271</v>
      </c>
      <c r="J132" s="338" t="s">
        <v>1435</v>
      </c>
      <c r="K132" s="343">
        <v>24000000</v>
      </c>
      <c r="L132" s="339" t="s">
        <v>2057</v>
      </c>
      <c r="M132" s="340" t="s">
        <v>14</v>
      </c>
    </row>
    <row r="133" spans="1:13" ht="56">
      <c r="A133" s="338" t="s">
        <v>9942</v>
      </c>
      <c r="B133" s="338" t="s">
        <v>9930</v>
      </c>
      <c r="C133" s="338" t="s">
        <v>9734</v>
      </c>
      <c r="D133" s="338" t="s">
        <v>9931</v>
      </c>
      <c r="E133" s="338" t="s">
        <v>6660</v>
      </c>
      <c r="F133" s="338" t="s">
        <v>21</v>
      </c>
      <c r="G133" s="338" t="s">
        <v>70</v>
      </c>
      <c r="H133" s="338" t="s">
        <v>251</v>
      </c>
      <c r="I133" s="338" t="s">
        <v>251</v>
      </c>
      <c r="J133" s="338" t="s">
        <v>1435</v>
      </c>
      <c r="K133" s="343">
        <v>0.2</v>
      </c>
      <c r="L133" s="339" t="s">
        <v>173</v>
      </c>
      <c r="M133" s="340" t="s">
        <v>175</v>
      </c>
    </row>
    <row r="134" spans="1:13" ht="56">
      <c r="A134" s="338" t="s">
        <v>9942</v>
      </c>
      <c r="B134" s="338" t="s">
        <v>9932</v>
      </c>
      <c r="C134" s="338" t="s">
        <v>9734</v>
      </c>
      <c r="D134" s="338" t="s">
        <v>9933</v>
      </c>
      <c r="E134" s="338" t="s">
        <v>6666</v>
      </c>
      <c r="F134" s="338" t="s">
        <v>21</v>
      </c>
      <c r="G134" s="338" t="s">
        <v>74</v>
      </c>
      <c r="H134" s="338" t="s">
        <v>251</v>
      </c>
      <c r="I134" s="338" t="s">
        <v>251</v>
      </c>
      <c r="J134" s="338" t="s">
        <v>1435</v>
      </c>
      <c r="K134" s="343">
        <v>0.2</v>
      </c>
      <c r="L134" s="339" t="s">
        <v>173</v>
      </c>
      <c r="M134" s="340" t="s">
        <v>175</v>
      </c>
    </row>
    <row r="135" spans="1:13" ht="56">
      <c r="A135" s="338" t="s">
        <v>9942</v>
      </c>
      <c r="B135" s="338" t="s">
        <v>9934</v>
      </c>
      <c r="C135" s="338" t="s">
        <v>9734</v>
      </c>
      <c r="D135" s="338" t="s">
        <v>9935</v>
      </c>
      <c r="E135" s="338" t="s">
        <v>6666</v>
      </c>
      <c r="F135" s="338" t="s">
        <v>21</v>
      </c>
      <c r="G135" s="338" t="s">
        <v>72</v>
      </c>
      <c r="H135" s="338" t="s">
        <v>251</v>
      </c>
      <c r="I135" s="338" t="s">
        <v>251</v>
      </c>
      <c r="J135" s="338" t="s">
        <v>1435</v>
      </c>
      <c r="K135" s="343">
        <v>0.2</v>
      </c>
      <c r="L135" s="339" t="s">
        <v>173</v>
      </c>
      <c r="M135" s="340" t="s">
        <v>175</v>
      </c>
    </row>
    <row r="136" spans="1:13" ht="56">
      <c r="A136" s="338" t="s">
        <v>9942</v>
      </c>
      <c r="B136" s="338" t="s">
        <v>9936</v>
      </c>
      <c r="C136" s="338" t="s">
        <v>9734</v>
      </c>
      <c r="D136" s="338" t="s">
        <v>9931</v>
      </c>
      <c r="E136" s="338" t="s">
        <v>6660</v>
      </c>
      <c r="F136" s="338" t="s">
        <v>21</v>
      </c>
      <c r="G136" s="338" t="s">
        <v>70</v>
      </c>
      <c r="H136" s="338" t="s">
        <v>251</v>
      </c>
      <c r="I136" s="338" t="s">
        <v>251</v>
      </c>
      <c r="J136" s="338" t="s">
        <v>1435</v>
      </c>
      <c r="K136" s="343">
        <v>0.2</v>
      </c>
      <c r="L136" s="339" t="s">
        <v>173</v>
      </c>
      <c r="M136" s="340" t="s">
        <v>175</v>
      </c>
    </row>
    <row r="137" spans="1:13" ht="56">
      <c r="A137" s="338" t="s">
        <v>9942</v>
      </c>
      <c r="B137" s="338" t="s">
        <v>9937</v>
      </c>
      <c r="C137" s="338" t="s">
        <v>9734</v>
      </c>
      <c r="D137" s="338" t="s">
        <v>9933</v>
      </c>
      <c r="E137" s="338" t="s">
        <v>6666</v>
      </c>
      <c r="F137" s="338" t="s">
        <v>21</v>
      </c>
      <c r="G137" s="338" t="s">
        <v>74</v>
      </c>
      <c r="H137" s="338" t="s">
        <v>251</v>
      </c>
      <c r="I137" s="338" t="s">
        <v>251</v>
      </c>
      <c r="J137" s="338" t="s">
        <v>1435</v>
      </c>
      <c r="K137" s="343">
        <v>0.2</v>
      </c>
      <c r="L137" s="339" t="s">
        <v>173</v>
      </c>
      <c r="M137" s="340" t="s">
        <v>175</v>
      </c>
    </row>
    <row r="138" spans="1:13" ht="56">
      <c r="A138" s="338" t="s">
        <v>9942</v>
      </c>
      <c r="B138" s="338" t="s">
        <v>9938</v>
      </c>
      <c r="C138" s="338" t="s">
        <v>9734</v>
      </c>
      <c r="D138" s="338" t="s">
        <v>9935</v>
      </c>
      <c r="E138" s="338" t="s">
        <v>6666</v>
      </c>
      <c r="F138" s="338" t="s">
        <v>21</v>
      </c>
      <c r="G138" s="338" t="s">
        <v>72</v>
      </c>
      <c r="H138" s="338" t="s">
        <v>251</v>
      </c>
      <c r="I138" s="338" t="s">
        <v>251</v>
      </c>
      <c r="J138" s="338" t="s">
        <v>1435</v>
      </c>
      <c r="K138" s="343">
        <v>0.2</v>
      </c>
      <c r="L138" s="339" t="s">
        <v>173</v>
      </c>
      <c r="M138" s="340" t="s">
        <v>175</v>
      </c>
    </row>
    <row r="139" spans="1:13" ht="56">
      <c r="A139" s="338" t="s">
        <v>9942</v>
      </c>
      <c r="B139" s="338" t="s">
        <v>9939</v>
      </c>
      <c r="C139" s="338" t="s">
        <v>9734</v>
      </c>
      <c r="D139" s="338" t="s">
        <v>9931</v>
      </c>
      <c r="E139" s="338" t="s">
        <v>6660</v>
      </c>
      <c r="F139" s="338" t="s">
        <v>21</v>
      </c>
      <c r="G139" s="338" t="s">
        <v>70</v>
      </c>
      <c r="H139" s="338" t="s">
        <v>251</v>
      </c>
      <c r="I139" s="338" t="s">
        <v>251</v>
      </c>
      <c r="J139" s="338" t="s">
        <v>1435</v>
      </c>
      <c r="K139" s="343">
        <v>0.2</v>
      </c>
      <c r="L139" s="339" t="s">
        <v>173</v>
      </c>
      <c r="M139" s="340" t="s">
        <v>175</v>
      </c>
    </row>
    <row r="140" spans="1:13" ht="56">
      <c r="A140" s="338" t="s">
        <v>9942</v>
      </c>
      <c r="B140" s="338" t="s">
        <v>9940</v>
      </c>
      <c r="C140" s="338" t="s">
        <v>9734</v>
      </c>
      <c r="D140" s="338" t="s">
        <v>9933</v>
      </c>
      <c r="E140" s="338" t="s">
        <v>6666</v>
      </c>
      <c r="F140" s="338" t="s">
        <v>21</v>
      </c>
      <c r="G140" s="338" t="s">
        <v>74</v>
      </c>
      <c r="H140" s="338" t="s">
        <v>251</v>
      </c>
      <c r="I140" s="338" t="s">
        <v>251</v>
      </c>
      <c r="J140" s="338" t="s">
        <v>1435</v>
      </c>
      <c r="K140" s="343">
        <v>0.2</v>
      </c>
      <c r="L140" s="339" t="s">
        <v>173</v>
      </c>
      <c r="M140" s="340" t="s">
        <v>175</v>
      </c>
    </row>
    <row r="141" spans="1:13" ht="56">
      <c r="A141" s="338" t="s">
        <v>9942</v>
      </c>
      <c r="B141" s="338" t="s">
        <v>9941</v>
      </c>
      <c r="C141" s="338" t="s">
        <v>9734</v>
      </c>
      <c r="D141" s="338" t="s">
        <v>9935</v>
      </c>
      <c r="E141" s="338" t="s">
        <v>6666</v>
      </c>
      <c r="F141" s="338" t="s">
        <v>21</v>
      </c>
      <c r="G141" s="338" t="s">
        <v>72</v>
      </c>
      <c r="H141" s="338" t="s">
        <v>251</v>
      </c>
      <c r="I141" s="338" t="s">
        <v>251</v>
      </c>
      <c r="J141" s="338" t="s">
        <v>1435</v>
      </c>
      <c r="K141" s="343">
        <v>0.2</v>
      </c>
      <c r="L141" s="339" t="s">
        <v>173</v>
      </c>
      <c r="M141" s="340" t="s">
        <v>175</v>
      </c>
    </row>
    <row r="142" spans="1:13" ht="42">
      <c r="A142" s="338" t="s">
        <v>9942</v>
      </c>
      <c r="B142" s="338" t="s">
        <v>9943</v>
      </c>
      <c r="C142" s="338" t="s">
        <v>9944</v>
      </c>
      <c r="D142" s="338" t="s">
        <v>11269</v>
      </c>
      <c r="E142" s="338" t="s">
        <v>91</v>
      </c>
      <c r="F142" s="338" t="s">
        <v>21</v>
      </c>
      <c r="G142" s="338" t="s">
        <v>70</v>
      </c>
      <c r="H142" s="338" t="s">
        <v>26</v>
      </c>
      <c r="I142" s="338" t="s">
        <v>166</v>
      </c>
      <c r="J142" s="338" t="s">
        <v>516</v>
      </c>
      <c r="K142" s="343">
        <v>600000</v>
      </c>
      <c r="L142" s="339" t="s">
        <v>2057</v>
      </c>
      <c r="M142" s="340" t="s">
        <v>14</v>
      </c>
    </row>
    <row r="143" spans="1:13" ht="42">
      <c r="A143" s="338" t="s">
        <v>9942</v>
      </c>
      <c r="B143" s="338" t="s">
        <v>9945</v>
      </c>
      <c r="C143" s="338" t="s">
        <v>9944</v>
      </c>
      <c r="D143" s="338" t="s">
        <v>11269</v>
      </c>
      <c r="E143" s="338" t="s">
        <v>91</v>
      </c>
      <c r="F143" s="338" t="s">
        <v>21</v>
      </c>
      <c r="G143" s="338" t="s">
        <v>70</v>
      </c>
      <c r="H143" s="338" t="s">
        <v>42</v>
      </c>
      <c r="I143" s="338" t="s">
        <v>166</v>
      </c>
      <c r="J143" s="338" t="s">
        <v>516</v>
      </c>
      <c r="K143" s="343">
        <v>900000</v>
      </c>
      <c r="L143" s="339" t="s">
        <v>2057</v>
      </c>
      <c r="M143" s="340" t="s">
        <v>14</v>
      </c>
    </row>
    <row r="144" spans="1:13" ht="42">
      <c r="A144" s="338" t="s">
        <v>9942</v>
      </c>
      <c r="B144" s="338" t="s">
        <v>9946</v>
      </c>
      <c r="C144" s="338" t="s">
        <v>9944</v>
      </c>
      <c r="D144" s="338" t="s">
        <v>11269</v>
      </c>
      <c r="E144" s="338" t="s">
        <v>91</v>
      </c>
      <c r="F144" s="338" t="s">
        <v>21</v>
      </c>
      <c r="G144" s="338" t="s">
        <v>74</v>
      </c>
      <c r="H144" s="338" t="s">
        <v>26</v>
      </c>
      <c r="I144" s="338" t="s">
        <v>166</v>
      </c>
      <c r="J144" s="338" t="s">
        <v>516</v>
      </c>
      <c r="K144" s="343">
        <v>600000</v>
      </c>
      <c r="L144" s="339" t="s">
        <v>2057</v>
      </c>
      <c r="M144" s="340" t="s">
        <v>14</v>
      </c>
    </row>
    <row r="145" spans="1:13" ht="42">
      <c r="A145" s="338" t="s">
        <v>9942</v>
      </c>
      <c r="B145" s="338" t="s">
        <v>9947</v>
      </c>
      <c r="C145" s="338" t="s">
        <v>9944</v>
      </c>
      <c r="D145" s="338" t="s">
        <v>11269</v>
      </c>
      <c r="E145" s="338" t="s">
        <v>91</v>
      </c>
      <c r="F145" s="338" t="s">
        <v>21</v>
      </c>
      <c r="G145" s="338" t="s">
        <v>74</v>
      </c>
      <c r="H145" s="338" t="s">
        <v>42</v>
      </c>
      <c r="I145" s="338" t="s">
        <v>166</v>
      </c>
      <c r="J145" s="338" t="s">
        <v>516</v>
      </c>
      <c r="K145" s="343">
        <v>1200000</v>
      </c>
      <c r="L145" s="339" t="s">
        <v>2057</v>
      </c>
      <c r="M145" s="340" t="s">
        <v>14</v>
      </c>
    </row>
    <row r="146" spans="1:13" ht="42">
      <c r="A146" s="338" t="s">
        <v>9942</v>
      </c>
      <c r="B146" s="338" t="s">
        <v>9948</v>
      </c>
      <c r="C146" s="338" t="s">
        <v>9944</v>
      </c>
      <c r="D146" s="338" t="s">
        <v>11269</v>
      </c>
      <c r="E146" s="338" t="s">
        <v>91</v>
      </c>
      <c r="F146" s="338" t="s">
        <v>21</v>
      </c>
      <c r="G146" s="338" t="s">
        <v>72</v>
      </c>
      <c r="H146" s="338" t="s">
        <v>26</v>
      </c>
      <c r="I146" s="338" t="s">
        <v>166</v>
      </c>
      <c r="J146" s="338" t="s">
        <v>516</v>
      </c>
      <c r="K146" s="343">
        <v>600000</v>
      </c>
      <c r="L146" s="339" t="s">
        <v>2057</v>
      </c>
      <c r="M146" s="340" t="s">
        <v>14</v>
      </c>
    </row>
    <row r="147" spans="1:13" ht="42">
      <c r="A147" s="338" t="s">
        <v>9942</v>
      </c>
      <c r="B147" s="338" t="s">
        <v>9949</v>
      </c>
      <c r="C147" s="338" t="s">
        <v>9944</v>
      </c>
      <c r="D147" s="338" t="s">
        <v>11269</v>
      </c>
      <c r="E147" s="338" t="s">
        <v>91</v>
      </c>
      <c r="F147" s="338" t="s">
        <v>21</v>
      </c>
      <c r="G147" s="338" t="s">
        <v>72</v>
      </c>
      <c r="H147" s="338" t="s">
        <v>42</v>
      </c>
      <c r="I147" s="338" t="s">
        <v>166</v>
      </c>
      <c r="J147" s="338" t="s">
        <v>516</v>
      </c>
      <c r="K147" s="343">
        <v>1800000</v>
      </c>
      <c r="L147" s="339" t="s">
        <v>2057</v>
      </c>
      <c r="M147" s="340" t="s">
        <v>14</v>
      </c>
    </row>
    <row r="148" spans="1:13" ht="42">
      <c r="A148" s="338" t="s">
        <v>9942</v>
      </c>
      <c r="B148" s="338" t="s">
        <v>9950</v>
      </c>
      <c r="C148" s="338" t="s">
        <v>9944</v>
      </c>
      <c r="D148" s="338" t="s">
        <v>98</v>
      </c>
      <c r="E148" s="338" t="s">
        <v>99</v>
      </c>
      <c r="F148" s="338" t="s">
        <v>21</v>
      </c>
      <c r="G148" s="338" t="s">
        <v>70</v>
      </c>
      <c r="H148" s="338" t="s">
        <v>26</v>
      </c>
      <c r="I148" s="338" t="s">
        <v>166</v>
      </c>
      <c r="J148" s="338" t="s">
        <v>516</v>
      </c>
      <c r="K148" s="343">
        <v>700000</v>
      </c>
      <c r="L148" s="339" t="s">
        <v>2057</v>
      </c>
      <c r="M148" s="340" t="s">
        <v>14</v>
      </c>
    </row>
    <row r="149" spans="1:13" ht="42">
      <c r="A149" s="338" t="s">
        <v>9942</v>
      </c>
      <c r="B149" s="338" t="s">
        <v>9951</v>
      </c>
      <c r="C149" s="338" t="s">
        <v>9944</v>
      </c>
      <c r="D149" s="338" t="s">
        <v>98</v>
      </c>
      <c r="E149" s="338" t="s">
        <v>99</v>
      </c>
      <c r="F149" s="338" t="s">
        <v>21</v>
      </c>
      <c r="G149" s="338" t="s">
        <v>70</v>
      </c>
      <c r="H149" s="338" t="s">
        <v>42</v>
      </c>
      <c r="I149" s="338" t="s">
        <v>166</v>
      </c>
      <c r="J149" s="338" t="s">
        <v>516</v>
      </c>
      <c r="K149" s="343">
        <v>1600000</v>
      </c>
      <c r="L149" s="339" t="s">
        <v>2057</v>
      </c>
      <c r="M149" s="340" t="s">
        <v>14</v>
      </c>
    </row>
    <row r="150" spans="1:13" ht="42">
      <c r="A150" s="338" t="s">
        <v>9942</v>
      </c>
      <c r="B150" s="338" t="s">
        <v>9952</v>
      </c>
      <c r="C150" s="338" t="s">
        <v>9944</v>
      </c>
      <c r="D150" s="338" t="s">
        <v>98</v>
      </c>
      <c r="E150" s="338" t="s">
        <v>99</v>
      </c>
      <c r="F150" s="338" t="s">
        <v>21</v>
      </c>
      <c r="G150" s="338" t="s">
        <v>74</v>
      </c>
      <c r="H150" s="338" t="s">
        <v>26</v>
      </c>
      <c r="I150" s="338" t="s">
        <v>166</v>
      </c>
      <c r="J150" s="338" t="s">
        <v>516</v>
      </c>
      <c r="K150" s="343">
        <v>700000</v>
      </c>
      <c r="L150" s="339" t="s">
        <v>2057</v>
      </c>
      <c r="M150" s="340" t="s">
        <v>14</v>
      </c>
    </row>
    <row r="151" spans="1:13" ht="42">
      <c r="A151" s="338" t="s">
        <v>9942</v>
      </c>
      <c r="B151" s="338" t="s">
        <v>9953</v>
      </c>
      <c r="C151" s="338" t="s">
        <v>9944</v>
      </c>
      <c r="D151" s="338" t="s">
        <v>98</v>
      </c>
      <c r="E151" s="338" t="s">
        <v>99</v>
      </c>
      <c r="F151" s="338" t="s">
        <v>21</v>
      </c>
      <c r="G151" s="338" t="s">
        <v>74</v>
      </c>
      <c r="H151" s="338" t="s">
        <v>42</v>
      </c>
      <c r="I151" s="338" t="s">
        <v>166</v>
      </c>
      <c r="J151" s="338" t="s">
        <v>516</v>
      </c>
      <c r="K151" s="343">
        <v>1900000</v>
      </c>
      <c r="L151" s="339" t="s">
        <v>2057</v>
      </c>
      <c r="M151" s="340" t="s">
        <v>14</v>
      </c>
    </row>
    <row r="152" spans="1:13" ht="42">
      <c r="A152" s="338" t="s">
        <v>9942</v>
      </c>
      <c r="B152" s="338" t="s">
        <v>9954</v>
      </c>
      <c r="C152" s="338" t="s">
        <v>9944</v>
      </c>
      <c r="D152" s="338" t="s">
        <v>98</v>
      </c>
      <c r="E152" s="338" t="s">
        <v>99</v>
      </c>
      <c r="F152" s="338" t="s">
        <v>21</v>
      </c>
      <c r="G152" s="338" t="s">
        <v>72</v>
      </c>
      <c r="H152" s="338" t="s">
        <v>26</v>
      </c>
      <c r="I152" s="338" t="s">
        <v>166</v>
      </c>
      <c r="J152" s="338" t="s">
        <v>516</v>
      </c>
      <c r="K152" s="343">
        <v>700000</v>
      </c>
      <c r="L152" s="339" t="s">
        <v>2057</v>
      </c>
      <c r="M152" s="340" t="s">
        <v>14</v>
      </c>
    </row>
    <row r="153" spans="1:13" ht="42">
      <c r="A153" s="338" t="s">
        <v>9942</v>
      </c>
      <c r="B153" s="338" t="s">
        <v>9955</v>
      </c>
      <c r="C153" s="338" t="s">
        <v>9944</v>
      </c>
      <c r="D153" s="338" t="s">
        <v>98</v>
      </c>
      <c r="E153" s="338" t="s">
        <v>99</v>
      </c>
      <c r="F153" s="338" t="s">
        <v>21</v>
      </c>
      <c r="G153" s="338" t="s">
        <v>72</v>
      </c>
      <c r="H153" s="338" t="s">
        <v>42</v>
      </c>
      <c r="I153" s="338" t="s">
        <v>166</v>
      </c>
      <c r="J153" s="338" t="s">
        <v>516</v>
      </c>
      <c r="K153" s="343">
        <v>2200000</v>
      </c>
      <c r="L153" s="339" t="s">
        <v>2057</v>
      </c>
      <c r="M153" s="340" t="s">
        <v>14</v>
      </c>
    </row>
    <row r="154" spans="1:13" ht="42">
      <c r="A154" s="338" t="s">
        <v>9942</v>
      </c>
      <c r="B154" s="338" t="s">
        <v>9956</v>
      </c>
      <c r="C154" s="338" t="s">
        <v>9944</v>
      </c>
      <c r="D154" s="338" t="s">
        <v>11270</v>
      </c>
      <c r="E154" s="338" t="s">
        <v>91</v>
      </c>
      <c r="F154" s="338" t="s">
        <v>21</v>
      </c>
      <c r="G154" s="338" t="s">
        <v>70</v>
      </c>
      <c r="H154" s="338" t="s">
        <v>26</v>
      </c>
      <c r="I154" s="338" t="s">
        <v>166</v>
      </c>
      <c r="J154" s="338" t="s">
        <v>516</v>
      </c>
      <c r="K154" s="343">
        <v>1200000</v>
      </c>
      <c r="L154" s="339" t="s">
        <v>2057</v>
      </c>
      <c r="M154" s="340" t="s">
        <v>14</v>
      </c>
    </row>
    <row r="155" spans="1:13" ht="42">
      <c r="A155" s="338" t="s">
        <v>9942</v>
      </c>
      <c r="B155" s="338" t="s">
        <v>9957</v>
      </c>
      <c r="C155" s="338" t="s">
        <v>9944</v>
      </c>
      <c r="D155" s="338" t="s">
        <v>11270</v>
      </c>
      <c r="E155" s="338" t="s">
        <v>91</v>
      </c>
      <c r="F155" s="338" t="s">
        <v>21</v>
      </c>
      <c r="G155" s="338" t="s">
        <v>70</v>
      </c>
      <c r="H155" s="338" t="s">
        <v>42</v>
      </c>
      <c r="I155" s="338" t="s">
        <v>166</v>
      </c>
      <c r="J155" s="338" t="s">
        <v>516</v>
      </c>
      <c r="K155" s="343">
        <v>1500000</v>
      </c>
      <c r="L155" s="339" t="s">
        <v>2057</v>
      </c>
      <c r="M155" s="340" t="s">
        <v>14</v>
      </c>
    </row>
    <row r="156" spans="1:13" ht="42">
      <c r="A156" s="338" t="s">
        <v>9942</v>
      </c>
      <c r="B156" s="338" t="s">
        <v>9958</v>
      </c>
      <c r="C156" s="338" t="s">
        <v>9944</v>
      </c>
      <c r="D156" s="338" t="s">
        <v>11270</v>
      </c>
      <c r="E156" s="338" t="s">
        <v>91</v>
      </c>
      <c r="F156" s="338" t="s">
        <v>21</v>
      </c>
      <c r="G156" s="338" t="s">
        <v>74</v>
      </c>
      <c r="H156" s="338" t="s">
        <v>26</v>
      </c>
      <c r="I156" s="338" t="s">
        <v>166</v>
      </c>
      <c r="J156" s="338" t="s">
        <v>516</v>
      </c>
      <c r="K156" s="343">
        <v>1200000</v>
      </c>
      <c r="L156" s="339" t="s">
        <v>2057</v>
      </c>
      <c r="M156" s="340" t="s">
        <v>14</v>
      </c>
    </row>
    <row r="157" spans="1:13" ht="42">
      <c r="A157" s="338" t="s">
        <v>9942</v>
      </c>
      <c r="B157" s="338" t="s">
        <v>9959</v>
      </c>
      <c r="C157" s="338" t="s">
        <v>9944</v>
      </c>
      <c r="D157" s="338" t="s">
        <v>11270</v>
      </c>
      <c r="E157" s="338" t="s">
        <v>91</v>
      </c>
      <c r="F157" s="338" t="s">
        <v>21</v>
      </c>
      <c r="G157" s="338" t="s">
        <v>74</v>
      </c>
      <c r="H157" s="338" t="s">
        <v>42</v>
      </c>
      <c r="I157" s="338" t="s">
        <v>166</v>
      </c>
      <c r="J157" s="338" t="s">
        <v>516</v>
      </c>
      <c r="K157" s="343">
        <v>1800000</v>
      </c>
      <c r="L157" s="339" t="s">
        <v>2057</v>
      </c>
      <c r="M157" s="340" t="s">
        <v>14</v>
      </c>
    </row>
    <row r="158" spans="1:13" ht="42">
      <c r="A158" s="338" t="s">
        <v>9942</v>
      </c>
      <c r="B158" s="338" t="s">
        <v>9960</v>
      </c>
      <c r="C158" s="338" t="s">
        <v>9944</v>
      </c>
      <c r="D158" s="338" t="s">
        <v>11270</v>
      </c>
      <c r="E158" s="338" t="s">
        <v>91</v>
      </c>
      <c r="F158" s="338" t="s">
        <v>21</v>
      </c>
      <c r="G158" s="338" t="s">
        <v>72</v>
      </c>
      <c r="H158" s="338" t="s">
        <v>26</v>
      </c>
      <c r="I158" s="338" t="s">
        <v>166</v>
      </c>
      <c r="J158" s="338" t="s">
        <v>516</v>
      </c>
      <c r="K158" s="343">
        <v>1200000</v>
      </c>
      <c r="L158" s="339" t="s">
        <v>2057</v>
      </c>
      <c r="M158" s="340" t="s">
        <v>14</v>
      </c>
    </row>
    <row r="159" spans="1:13" ht="42">
      <c r="A159" s="338" t="s">
        <v>9942</v>
      </c>
      <c r="B159" s="338" t="s">
        <v>9961</v>
      </c>
      <c r="C159" s="338" t="s">
        <v>9944</v>
      </c>
      <c r="D159" s="338" t="s">
        <v>11270</v>
      </c>
      <c r="E159" s="338" t="s">
        <v>91</v>
      </c>
      <c r="F159" s="338" t="s">
        <v>21</v>
      </c>
      <c r="G159" s="338" t="s">
        <v>72</v>
      </c>
      <c r="H159" s="338" t="s">
        <v>42</v>
      </c>
      <c r="I159" s="338" t="s">
        <v>166</v>
      </c>
      <c r="J159" s="338" t="s">
        <v>516</v>
      </c>
      <c r="K159" s="343">
        <v>2100000</v>
      </c>
      <c r="L159" s="339" t="s">
        <v>2057</v>
      </c>
      <c r="M159" s="340" t="s">
        <v>14</v>
      </c>
    </row>
    <row r="160" spans="1:13" ht="42">
      <c r="A160" s="338" t="s">
        <v>9942</v>
      </c>
      <c r="B160" s="338" t="s">
        <v>9962</v>
      </c>
      <c r="C160" s="338" t="s">
        <v>9944</v>
      </c>
      <c r="D160" s="338" t="s">
        <v>113</v>
      </c>
      <c r="E160" s="338" t="s">
        <v>99</v>
      </c>
      <c r="F160" s="338" t="s">
        <v>21</v>
      </c>
      <c r="G160" s="338" t="s">
        <v>70</v>
      </c>
      <c r="H160" s="338" t="s">
        <v>26</v>
      </c>
      <c r="I160" s="338" t="s">
        <v>166</v>
      </c>
      <c r="J160" s="338" t="s">
        <v>516</v>
      </c>
      <c r="K160" s="343">
        <v>1500000</v>
      </c>
      <c r="L160" s="339" t="s">
        <v>2057</v>
      </c>
      <c r="M160" s="340" t="s">
        <v>14</v>
      </c>
    </row>
    <row r="161" spans="1:13" ht="42">
      <c r="A161" s="338" t="s">
        <v>9942</v>
      </c>
      <c r="B161" s="338" t="s">
        <v>9963</v>
      </c>
      <c r="C161" s="338" t="s">
        <v>9944</v>
      </c>
      <c r="D161" s="338" t="s">
        <v>113</v>
      </c>
      <c r="E161" s="338" t="s">
        <v>99</v>
      </c>
      <c r="F161" s="338" t="s">
        <v>21</v>
      </c>
      <c r="G161" s="338" t="s">
        <v>70</v>
      </c>
      <c r="H161" s="338" t="s">
        <v>42</v>
      </c>
      <c r="I161" s="338" t="s">
        <v>166</v>
      </c>
      <c r="J161" s="338" t="s">
        <v>516</v>
      </c>
      <c r="K161" s="343">
        <v>2400000</v>
      </c>
      <c r="L161" s="339" t="s">
        <v>2057</v>
      </c>
      <c r="M161" s="340" t="s">
        <v>14</v>
      </c>
    </row>
    <row r="162" spans="1:13" ht="42">
      <c r="A162" s="338" t="s">
        <v>9942</v>
      </c>
      <c r="B162" s="338" t="s">
        <v>9964</v>
      </c>
      <c r="C162" s="338" t="s">
        <v>9944</v>
      </c>
      <c r="D162" s="338" t="s">
        <v>113</v>
      </c>
      <c r="E162" s="338" t="s">
        <v>99</v>
      </c>
      <c r="F162" s="338" t="s">
        <v>21</v>
      </c>
      <c r="G162" s="338" t="s">
        <v>74</v>
      </c>
      <c r="H162" s="338" t="s">
        <v>26</v>
      </c>
      <c r="I162" s="338" t="s">
        <v>166</v>
      </c>
      <c r="J162" s="338" t="s">
        <v>516</v>
      </c>
      <c r="K162" s="343">
        <v>1500000</v>
      </c>
      <c r="L162" s="339" t="s">
        <v>2057</v>
      </c>
      <c r="M162" s="340" t="s">
        <v>14</v>
      </c>
    </row>
    <row r="163" spans="1:13" ht="42">
      <c r="A163" s="338" t="s">
        <v>9942</v>
      </c>
      <c r="B163" s="338" t="s">
        <v>9965</v>
      </c>
      <c r="C163" s="338" t="s">
        <v>9944</v>
      </c>
      <c r="D163" s="338" t="s">
        <v>113</v>
      </c>
      <c r="E163" s="338" t="s">
        <v>99</v>
      </c>
      <c r="F163" s="338" t="s">
        <v>21</v>
      </c>
      <c r="G163" s="338" t="s">
        <v>74</v>
      </c>
      <c r="H163" s="338" t="s">
        <v>42</v>
      </c>
      <c r="I163" s="338" t="s">
        <v>166</v>
      </c>
      <c r="J163" s="338" t="s">
        <v>516</v>
      </c>
      <c r="K163" s="343">
        <v>2700000</v>
      </c>
      <c r="L163" s="339" t="s">
        <v>2057</v>
      </c>
      <c r="M163" s="340" t="s">
        <v>14</v>
      </c>
    </row>
    <row r="164" spans="1:13" ht="42">
      <c r="A164" s="338" t="s">
        <v>9942</v>
      </c>
      <c r="B164" s="338" t="s">
        <v>9966</v>
      </c>
      <c r="C164" s="338" t="s">
        <v>9944</v>
      </c>
      <c r="D164" s="338" t="s">
        <v>113</v>
      </c>
      <c r="E164" s="338" t="s">
        <v>99</v>
      </c>
      <c r="F164" s="338" t="s">
        <v>21</v>
      </c>
      <c r="G164" s="338" t="s">
        <v>72</v>
      </c>
      <c r="H164" s="338" t="s">
        <v>26</v>
      </c>
      <c r="I164" s="338" t="s">
        <v>166</v>
      </c>
      <c r="J164" s="338" t="s">
        <v>516</v>
      </c>
      <c r="K164" s="343">
        <v>1500000</v>
      </c>
      <c r="L164" s="339" t="s">
        <v>2057</v>
      </c>
      <c r="M164" s="340" t="s">
        <v>14</v>
      </c>
    </row>
    <row r="165" spans="1:13" ht="42">
      <c r="A165" s="338" t="s">
        <v>9942</v>
      </c>
      <c r="B165" s="338" t="s">
        <v>9967</v>
      </c>
      <c r="C165" s="338" t="s">
        <v>9944</v>
      </c>
      <c r="D165" s="338" t="s">
        <v>113</v>
      </c>
      <c r="E165" s="338" t="s">
        <v>99</v>
      </c>
      <c r="F165" s="338" t="s">
        <v>21</v>
      </c>
      <c r="G165" s="338" t="s">
        <v>72</v>
      </c>
      <c r="H165" s="338" t="s">
        <v>42</v>
      </c>
      <c r="I165" s="338" t="s">
        <v>166</v>
      </c>
      <c r="J165" s="338" t="s">
        <v>516</v>
      </c>
      <c r="K165" s="343">
        <v>3000000</v>
      </c>
      <c r="L165" s="339" t="s">
        <v>2057</v>
      </c>
      <c r="M165" s="340" t="s">
        <v>14</v>
      </c>
    </row>
    <row r="166" spans="1:13" ht="56">
      <c r="A166" s="338" t="s">
        <v>9942</v>
      </c>
      <c r="B166" s="338" t="s">
        <v>9968</v>
      </c>
      <c r="C166" s="338" t="s">
        <v>9944</v>
      </c>
      <c r="D166" s="338" t="s">
        <v>120</v>
      </c>
      <c r="E166" s="338" t="s">
        <v>29</v>
      </c>
      <c r="F166" s="338" t="s">
        <v>21</v>
      </c>
      <c r="G166" s="338" t="s">
        <v>70</v>
      </c>
      <c r="H166" s="338" t="s">
        <v>26</v>
      </c>
      <c r="I166" s="338" t="s">
        <v>167</v>
      </c>
      <c r="J166" s="338" t="s">
        <v>1435</v>
      </c>
      <c r="K166" s="343">
        <v>150000</v>
      </c>
      <c r="L166" s="339" t="s">
        <v>2057</v>
      </c>
      <c r="M166" s="340" t="s">
        <v>14</v>
      </c>
    </row>
    <row r="167" spans="1:13" ht="56">
      <c r="A167" s="338" t="s">
        <v>9942</v>
      </c>
      <c r="B167" s="338" t="s">
        <v>9969</v>
      </c>
      <c r="C167" s="338" t="s">
        <v>9944</v>
      </c>
      <c r="D167" s="338" t="s">
        <v>120</v>
      </c>
      <c r="E167" s="338" t="s">
        <v>29</v>
      </c>
      <c r="F167" s="338" t="s">
        <v>21</v>
      </c>
      <c r="G167" s="338" t="s">
        <v>70</v>
      </c>
      <c r="H167" s="338" t="s">
        <v>42</v>
      </c>
      <c r="I167" s="338" t="s">
        <v>167</v>
      </c>
      <c r="J167" s="338" t="s">
        <v>1435</v>
      </c>
      <c r="K167" s="343">
        <v>170000</v>
      </c>
      <c r="L167" s="339" t="s">
        <v>2057</v>
      </c>
      <c r="M167" s="340" t="s">
        <v>14</v>
      </c>
    </row>
    <row r="168" spans="1:13" ht="56">
      <c r="A168" s="338" t="s">
        <v>9942</v>
      </c>
      <c r="B168" s="338" t="s">
        <v>9970</v>
      </c>
      <c r="C168" s="338" t="s">
        <v>9944</v>
      </c>
      <c r="D168" s="338" t="s">
        <v>120</v>
      </c>
      <c r="E168" s="338" t="s">
        <v>29</v>
      </c>
      <c r="F168" s="338" t="s">
        <v>21</v>
      </c>
      <c r="G168" s="338" t="s">
        <v>74</v>
      </c>
      <c r="H168" s="338" t="s">
        <v>26</v>
      </c>
      <c r="I168" s="338" t="s">
        <v>167</v>
      </c>
      <c r="J168" s="338" t="s">
        <v>1435</v>
      </c>
      <c r="K168" s="343">
        <v>150000</v>
      </c>
      <c r="L168" s="339" t="s">
        <v>2057</v>
      </c>
      <c r="M168" s="340" t="s">
        <v>14</v>
      </c>
    </row>
    <row r="169" spans="1:13" ht="56">
      <c r="A169" s="338" t="s">
        <v>9942</v>
      </c>
      <c r="B169" s="338" t="s">
        <v>9971</v>
      </c>
      <c r="C169" s="338" t="s">
        <v>9944</v>
      </c>
      <c r="D169" s="338" t="s">
        <v>120</v>
      </c>
      <c r="E169" s="338" t="s">
        <v>29</v>
      </c>
      <c r="F169" s="338" t="s">
        <v>21</v>
      </c>
      <c r="G169" s="338" t="s">
        <v>74</v>
      </c>
      <c r="H169" s="338" t="s">
        <v>42</v>
      </c>
      <c r="I169" s="338" t="s">
        <v>167</v>
      </c>
      <c r="J169" s="338" t="s">
        <v>1435</v>
      </c>
      <c r="K169" s="343">
        <v>190000</v>
      </c>
      <c r="L169" s="339" t="s">
        <v>2057</v>
      </c>
      <c r="M169" s="340" t="s">
        <v>14</v>
      </c>
    </row>
    <row r="170" spans="1:13" ht="56">
      <c r="A170" s="338" t="s">
        <v>9942</v>
      </c>
      <c r="B170" s="338" t="s">
        <v>9972</v>
      </c>
      <c r="C170" s="338" t="s">
        <v>9944</v>
      </c>
      <c r="D170" s="338" t="s">
        <v>120</v>
      </c>
      <c r="E170" s="338" t="s">
        <v>29</v>
      </c>
      <c r="F170" s="338" t="s">
        <v>21</v>
      </c>
      <c r="G170" s="338" t="s">
        <v>72</v>
      </c>
      <c r="H170" s="338" t="s">
        <v>26</v>
      </c>
      <c r="I170" s="338" t="s">
        <v>167</v>
      </c>
      <c r="J170" s="338" t="s">
        <v>1435</v>
      </c>
      <c r="K170" s="343">
        <v>150000</v>
      </c>
      <c r="L170" s="339" t="s">
        <v>2057</v>
      </c>
      <c r="M170" s="340" t="s">
        <v>14</v>
      </c>
    </row>
    <row r="171" spans="1:13" ht="56">
      <c r="A171" s="338" t="s">
        <v>9942</v>
      </c>
      <c r="B171" s="338" t="s">
        <v>9973</v>
      </c>
      <c r="C171" s="338" t="s">
        <v>9944</v>
      </c>
      <c r="D171" s="338" t="s">
        <v>120</v>
      </c>
      <c r="E171" s="338" t="s">
        <v>29</v>
      </c>
      <c r="F171" s="338" t="s">
        <v>21</v>
      </c>
      <c r="G171" s="338" t="s">
        <v>72</v>
      </c>
      <c r="H171" s="338" t="s">
        <v>42</v>
      </c>
      <c r="I171" s="338" t="s">
        <v>167</v>
      </c>
      <c r="J171" s="338" t="s">
        <v>1435</v>
      </c>
      <c r="K171" s="343">
        <v>250000</v>
      </c>
      <c r="L171" s="339" t="s">
        <v>2057</v>
      </c>
      <c r="M171" s="340" t="s">
        <v>14</v>
      </c>
    </row>
    <row r="172" spans="1:13" ht="56">
      <c r="A172" s="338" t="s">
        <v>9942</v>
      </c>
      <c r="B172" s="338" t="s">
        <v>9974</v>
      </c>
      <c r="C172" s="338" t="s">
        <v>9944</v>
      </c>
      <c r="D172" s="338" t="s">
        <v>127</v>
      </c>
      <c r="E172" s="338" t="s">
        <v>128</v>
      </c>
      <c r="F172" s="338" t="s">
        <v>21</v>
      </c>
      <c r="G172" s="338" t="s">
        <v>70</v>
      </c>
      <c r="H172" s="338" t="s">
        <v>42</v>
      </c>
      <c r="I172" s="338" t="s">
        <v>167</v>
      </c>
      <c r="J172" s="338" t="s">
        <v>1435</v>
      </c>
      <c r="K172" s="343">
        <v>20000000</v>
      </c>
      <c r="L172" s="339" t="s">
        <v>2057</v>
      </c>
      <c r="M172" s="340" t="s">
        <v>14</v>
      </c>
    </row>
    <row r="173" spans="1:13" ht="56">
      <c r="A173" s="338" t="s">
        <v>9942</v>
      </c>
      <c r="B173" s="338" t="s">
        <v>9975</v>
      </c>
      <c r="C173" s="338" t="s">
        <v>9944</v>
      </c>
      <c r="D173" s="338" t="s">
        <v>127</v>
      </c>
      <c r="E173" s="338" t="s">
        <v>128</v>
      </c>
      <c r="F173" s="338" t="s">
        <v>21</v>
      </c>
      <c r="G173" s="338" t="s">
        <v>74</v>
      </c>
      <c r="H173" s="338" t="s">
        <v>42</v>
      </c>
      <c r="I173" s="338" t="s">
        <v>167</v>
      </c>
      <c r="J173" s="338" t="s">
        <v>1435</v>
      </c>
      <c r="K173" s="343">
        <v>24000000</v>
      </c>
      <c r="L173" s="339" t="s">
        <v>2057</v>
      </c>
      <c r="M173" s="340" t="s">
        <v>14</v>
      </c>
    </row>
    <row r="174" spans="1:13" ht="56">
      <c r="A174" s="338" t="s">
        <v>9942</v>
      </c>
      <c r="B174" s="338" t="s">
        <v>9976</v>
      </c>
      <c r="C174" s="338" t="s">
        <v>9944</v>
      </c>
      <c r="D174" s="338" t="s">
        <v>127</v>
      </c>
      <c r="E174" s="338" t="s">
        <v>128</v>
      </c>
      <c r="F174" s="338" t="s">
        <v>21</v>
      </c>
      <c r="G174" s="338" t="s">
        <v>72</v>
      </c>
      <c r="H174" s="338" t="s">
        <v>42</v>
      </c>
      <c r="I174" s="338" t="s">
        <v>167</v>
      </c>
      <c r="J174" s="338" t="s">
        <v>1435</v>
      </c>
      <c r="K174" s="343">
        <v>28000000</v>
      </c>
      <c r="L174" s="339" t="s">
        <v>2057</v>
      </c>
      <c r="M174" s="340" t="s">
        <v>14</v>
      </c>
    </row>
    <row r="175" spans="1:13" ht="42">
      <c r="A175" s="338" t="s">
        <v>9942</v>
      </c>
      <c r="B175" s="338" t="s">
        <v>9977</v>
      </c>
      <c r="C175" s="338" t="s">
        <v>9944</v>
      </c>
      <c r="D175" s="338" t="s">
        <v>9768</v>
      </c>
      <c r="E175" s="338" t="s">
        <v>133</v>
      </c>
      <c r="F175" s="338" t="s">
        <v>21</v>
      </c>
      <c r="G175" s="338" t="s">
        <v>70</v>
      </c>
      <c r="H175" s="338" t="s">
        <v>26</v>
      </c>
      <c r="I175" s="338" t="s">
        <v>11271</v>
      </c>
      <c r="J175" s="338" t="s">
        <v>516</v>
      </c>
      <c r="K175" s="343">
        <v>15000000</v>
      </c>
      <c r="L175" s="339" t="s">
        <v>173</v>
      </c>
      <c r="M175" s="340" t="s">
        <v>14</v>
      </c>
    </row>
    <row r="176" spans="1:13" ht="42">
      <c r="A176" s="338" t="s">
        <v>9942</v>
      </c>
      <c r="B176" s="338" t="s">
        <v>9978</v>
      </c>
      <c r="C176" s="338" t="s">
        <v>9944</v>
      </c>
      <c r="D176" s="338" t="s">
        <v>9768</v>
      </c>
      <c r="E176" s="338" t="s">
        <v>133</v>
      </c>
      <c r="F176" s="338" t="s">
        <v>21</v>
      </c>
      <c r="G176" s="338" t="s">
        <v>70</v>
      </c>
      <c r="H176" s="338" t="s">
        <v>42</v>
      </c>
      <c r="I176" s="338" t="s">
        <v>11271</v>
      </c>
      <c r="J176" s="338" t="s">
        <v>516</v>
      </c>
      <c r="K176" s="343">
        <v>20000000</v>
      </c>
      <c r="L176" s="339" t="s">
        <v>2057</v>
      </c>
      <c r="M176" s="340" t="s">
        <v>14</v>
      </c>
    </row>
    <row r="177" spans="1:13" ht="42">
      <c r="A177" s="338" t="s">
        <v>9942</v>
      </c>
      <c r="B177" s="338" t="s">
        <v>9979</v>
      </c>
      <c r="C177" s="338" t="s">
        <v>9944</v>
      </c>
      <c r="D177" s="338" t="s">
        <v>9768</v>
      </c>
      <c r="E177" s="338" t="s">
        <v>133</v>
      </c>
      <c r="F177" s="338" t="s">
        <v>21</v>
      </c>
      <c r="G177" s="338" t="s">
        <v>74</v>
      </c>
      <c r="H177" s="338" t="s">
        <v>26</v>
      </c>
      <c r="I177" s="338" t="s">
        <v>11271</v>
      </c>
      <c r="J177" s="338" t="s">
        <v>516</v>
      </c>
      <c r="K177" s="343">
        <v>17000000</v>
      </c>
      <c r="L177" s="339" t="s">
        <v>173</v>
      </c>
      <c r="M177" s="340" t="s">
        <v>14</v>
      </c>
    </row>
    <row r="178" spans="1:13" ht="42">
      <c r="A178" s="338" t="s">
        <v>9942</v>
      </c>
      <c r="B178" s="338" t="s">
        <v>9980</v>
      </c>
      <c r="C178" s="338" t="s">
        <v>9944</v>
      </c>
      <c r="D178" s="338" t="s">
        <v>9768</v>
      </c>
      <c r="E178" s="338" t="s">
        <v>133</v>
      </c>
      <c r="F178" s="338" t="s">
        <v>21</v>
      </c>
      <c r="G178" s="338" t="s">
        <v>74</v>
      </c>
      <c r="H178" s="338" t="s">
        <v>42</v>
      </c>
      <c r="I178" s="338" t="s">
        <v>11271</v>
      </c>
      <c r="J178" s="338" t="s">
        <v>516</v>
      </c>
      <c r="K178" s="343">
        <v>20000000</v>
      </c>
      <c r="L178" s="339" t="s">
        <v>2057</v>
      </c>
      <c r="M178" s="340" t="s">
        <v>14</v>
      </c>
    </row>
    <row r="179" spans="1:13" ht="42">
      <c r="A179" s="338" t="s">
        <v>9942</v>
      </c>
      <c r="B179" s="338" t="s">
        <v>9981</v>
      </c>
      <c r="C179" s="338" t="s">
        <v>9944</v>
      </c>
      <c r="D179" s="338" t="s">
        <v>9768</v>
      </c>
      <c r="E179" s="338" t="s">
        <v>133</v>
      </c>
      <c r="F179" s="338" t="s">
        <v>21</v>
      </c>
      <c r="G179" s="338" t="s">
        <v>72</v>
      </c>
      <c r="H179" s="338" t="s">
        <v>26</v>
      </c>
      <c r="I179" s="338" t="s">
        <v>11271</v>
      </c>
      <c r="J179" s="338" t="s">
        <v>516</v>
      </c>
      <c r="K179" s="343">
        <v>19000000</v>
      </c>
      <c r="L179" s="339" t="s">
        <v>173</v>
      </c>
      <c r="M179" s="340" t="s">
        <v>14</v>
      </c>
    </row>
    <row r="180" spans="1:13" ht="42">
      <c r="A180" s="338" t="s">
        <v>9942</v>
      </c>
      <c r="B180" s="338" t="s">
        <v>9982</v>
      </c>
      <c r="C180" s="338" t="s">
        <v>9944</v>
      </c>
      <c r="D180" s="338" t="s">
        <v>9768</v>
      </c>
      <c r="E180" s="338" t="s">
        <v>133</v>
      </c>
      <c r="F180" s="338" t="s">
        <v>21</v>
      </c>
      <c r="G180" s="338" t="s">
        <v>72</v>
      </c>
      <c r="H180" s="338" t="s">
        <v>42</v>
      </c>
      <c r="I180" s="338" t="s">
        <v>11271</v>
      </c>
      <c r="J180" s="338" t="s">
        <v>516</v>
      </c>
      <c r="K180" s="343">
        <v>20000000</v>
      </c>
      <c r="L180" s="339" t="s">
        <v>2057</v>
      </c>
      <c r="M180" s="340" t="s">
        <v>14</v>
      </c>
    </row>
    <row r="181" spans="1:13" ht="56">
      <c r="A181" s="338" t="s">
        <v>9942</v>
      </c>
      <c r="B181" s="338" t="s">
        <v>9983</v>
      </c>
      <c r="C181" s="338" t="s">
        <v>9944</v>
      </c>
      <c r="D181" s="338" t="s">
        <v>9775</v>
      </c>
      <c r="E181" s="338" t="s">
        <v>141</v>
      </c>
      <c r="F181" s="338" t="s">
        <v>21</v>
      </c>
      <c r="G181" s="338" t="s">
        <v>70</v>
      </c>
      <c r="H181" s="338" t="s">
        <v>26</v>
      </c>
      <c r="I181" s="338" t="s">
        <v>167</v>
      </c>
      <c r="J181" s="338" t="s">
        <v>1435</v>
      </c>
      <c r="K181" s="343">
        <v>120000</v>
      </c>
      <c r="L181" s="339" t="s">
        <v>2057</v>
      </c>
      <c r="M181" s="340" t="s">
        <v>14</v>
      </c>
    </row>
    <row r="182" spans="1:13" ht="56">
      <c r="A182" s="338" t="s">
        <v>9942</v>
      </c>
      <c r="B182" s="338" t="s">
        <v>9984</v>
      </c>
      <c r="C182" s="338" t="s">
        <v>9944</v>
      </c>
      <c r="D182" s="338" t="s">
        <v>9775</v>
      </c>
      <c r="E182" s="338" t="s">
        <v>141</v>
      </c>
      <c r="F182" s="338" t="s">
        <v>21</v>
      </c>
      <c r="G182" s="338" t="s">
        <v>70</v>
      </c>
      <c r="H182" s="338" t="s">
        <v>42</v>
      </c>
      <c r="I182" s="338" t="s">
        <v>167</v>
      </c>
      <c r="J182" s="338" t="s">
        <v>1435</v>
      </c>
      <c r="K182" s="343">
        <v>150000</v>
      </c>
      <c r="L182" s="339" t="s">
        <v>2057</v>
      </c>
      <c r="M182" s="340" t="s">
        <v>14</v>
      </c>
    </row>
    <row r="183" spans="1:13" ht="56">
      <c r="A183" s="338" t="s">
        <v>9942</v>
      </c>
      <c r="B183" s="338" t="s">
        <v>9985</v>
      </c>
      <c r="C183" s="338" t="s">
        <v>9944</v>
      </c>
      <c r="D183" s="338" t="s">
        <v>9775</v>
      </c>
      <c r="E183" s="338" t="s">
        <v>141</v>
      </c>
      <c r="F183" s="338" t="s">
        <v>21</v>
      </c>
      <c r="G183" s="338" t="s">
        <v>74</v>
      </c>
      <c r="H183" s="338" t="s">
        <v>26</v>
      </c>
      <c r="I183" s="338" t="s">
        <v>167</v>
      </c>
      <c r="J183" s="338" t="s">
        <v>1435</v>
      </c>
      <c r="K183" s="343">
        <v>130000</v>
      </c>
      <c r="L183" s="339" t="s">
        <v>2057</v>
      </c>
      <c r="M183" s="340" t="s">
        <v>14</v>
      </c>
    </row>
    <row r="184" spans="1:13" ht="56">
      <c r="A184" s="338" t="s">
        <v>9942</v>
      </c>
      <c r="B184" s="338" t="s">
        <v>9986</v>
      </c>
      <c r="C184" s="338" t="s">
        <v>9944</v>
      </c>
      <c r="D184" s="338" t="s">
        <v>9775</v>
      </c>
      <c r="E184" s="338" t="s">
        <v>141</v>
      </c>
      <c r="F184" s="338" t="s">
        <v>21</v>
      </c>
      <c r="G184" s="338" t="s">
        <v>74</v>
      </c>
      <c r="H184" s="338" t="s">
        <v>42</v>
      </c>
      <c r="I184" s="338" t="s">
        <v>167</v>
      </c>
      <c r="J184" s="338" t="s">
        <v>1435</v>
      </c>
      <c r="K184" s="343">
        <v>160000</v>
      </c>
      <c r="L184" s="339" t="s">
        <v>2057</v>
      </c>
      <c r="M184" s="340" t="s">
        <v>14</v>
      </c>
    </row>
    <row r="185" spans="1:13" ht="56">
      <c r="A185" s="338" t="s">
        <v>9942</v>
      </c>
      <c r="B185" s="338" t="s">
        <v>9987</v>
      </c>
      <c r="C185" s="338" t="s">
        <v>9944</v>
      </c>
      <c r="D185" s="338" t="s">
        <v>9775</v>
      </c>
      <c r="E185" s="338" t="s">
        <v>141</v>
      </c>
      <c r="F185" s="338" t="s">
        <v>21</v>
      </c>
      <c r="G185" s="338" t="s">
        <v>72</v>
      </c>
      <c r="H185" s="338" t="s">
        <v>26</v>
      </c>
      <c r="I185" s="338" t="s">
        <v>167</v>
      </c>
      <c r="J185" s="338" t="s">
        <v>1435</v>
      </c>
      <c r="K185" s="343">
        <v>140000</v>
      </c>
      <c r="L185" s="339" t="s">
        <v>2057</v>
      </c>
      <c r="M185" s="340" t="s">
        <v>14</v>
      </c>
    </row>
    <row r="186" spans="1:13" ht="56">
      <c r="A186" s="338" t="s">
        <v>9942</v>
      </c>
      <c r="B186" s="338" t="s">
        <v>9988</v>
      </c>
      <c r="C186" s="338" t="s">
        <v>9944</v>
      </c>
      <c r="D186" s="338" t="s">
        <v>9775</v>
      </c>
      <c r="E186" s="338" t="s">
        <v>141</v>
      </c>
      <c r="F186" s="338" t="s">
        <v>21</v>
      </c>
      <c r="G186" s="338" t="s">
        <v>72</v>
      </c>
      <c r="H186" s="338" t="s">
        <v>42</v>
      </c>
      <c r="I186" s="338" t="s">
        <v>167</v>
      </c>
      <c r="J186" s="338" t="s">
        <v>1435</v>
      </c>
      <c r="K186" s="343">
        <v>170000</v>
      </c>
      <c r="L186" s="339" t="s">
        <v>2057</v>
      </c>
      <c r="M186" s="340" t="s">
        <v>14</v>
      </c>
    </row>
    <row r="187" spans="1:13" ht="56">
      <c r="A187" s="338" t="s">
        <v>9942</v>
      </c>
      <c r="B187" s="338" t="s">
        <v>9989</v>
      </c>
      <c r="C187" s="338" t="s">
        <v>9944</v>
      </c>
      <c r="D187" s="338" t="s">
        <v>148</v>
      </c>
      <c r="E187" s="338" t="s">
        <v>128</v>
      </c>
      <c r="F187" s="338" t="s">
        <v>21</v>
      </c>
      <c r="G187" s="338" t="s">
        <v>70</v>
      </c>
      <c r="H187" s="338" t="s">
        <v>42</v>
      </c>
      <c r="I187" s="338" t="s">
        <v>11271</v>
      </c>
      <c r="J187" s="338" t="s">
        <v>1435</v>
      </c>
      <c r="K187" s="343">
        <v>20000000</v>
      </c>
      <c r="L187" s="339" t="s">
        <v>2057</v>
      </c>
      <c r="M187" s="340" t="s">
        <v>14</v>
      </c>
    </row>
    <row r="188" spans="1:13" ht="56">
      <c r="A188" s="338" t="s">
        <v>9942</v>
      </c>
      <c r="B188" s="338" t="s">
        <v>9990</v>
      </c>
      <c r="C188" s="338" t="s">
        <v>9944</v>
      </c>
      <c r="D188" s="338" t="s">
        <v>148</v>
      </c>
      <c r="E188" s="338" t="s">
        <v>128</v>
      </c>
      <c r="F188" s="338" t="s">
        <v>21</v>
      </c>
      <c r="G188" s="338" t="s">
        <v>74</v>
      </c>
      <c r="H188" s="338" t="s">
        <v>42</v>
      </c>
      <c r="I188" s="338" t="s">
        <v>11271</v>
      </c>
      <c r="J188" s="338" t="s">
        <v>1435</v>
      </c>
      <c r="K188" s="343">
        <v>24000000</v>
      </c>
      <c r="L188" s="339" t="s">
        <v>2057</v>
      </c>
      <c r="M188" s="340" t="s">
        <v>14</v>
      </c>
    </row>
    <row r="189" spans="1:13" ht="56">
      <c r="A189" s="338" t="s">
        <v>9942</v>
      </c>
      <c r="B189" s="338" t="s">
        <v>9991</v>
      </c>
      <c r="C189" s="338" t="s">
        <v>9944</v>
      </c>
      <c r="D189" s="338" t="s">
        <v>148</v>
      </c>
      <c r="E189" s="338" t="s">
        <v>128</v>
      </c>
      <c r="F189" s="338" t="s">
        <v>21</v>
      </c>
      <c r="G189" s="338" t="s">
        <v>72</v>
      </c>
      <c r="H189" s="338" t="s">
        <v>42</v>
      </c>
      <c r="I189" s="338" t="s">
        <v>11271</v>
      </c>
      <c r="J189" s="338" t="s">
        <v>1435</v>
      </c>
      <c r="K189" s="343">
        <v>28000000</v>
      </c>
      <c r="L189" s="339" t="s">
        <v>2057</v>
      </c>
      <c r="M189" s="340" t="s">
        <v>14</v>
      </c>
    </row>
    <row r="190" spans="1:13" ht="56">
      <c r="A190" s="338" t="s">
        <v>9942</v>
      </c>
      <c r="B190" s="338" t="s">
        <v>9992</v>
      </c>
      <c r="C190" s="338" t="s">
        <v>9944</v>
      </c>
      <c r="D190" s="338" t="s">
        <v>152</v>
      </c>
      <c r="E190" s="338" t="s">
        <v>29</v>
      </c>
      <c r="F190" s="338" t="s">
        <v>21</v>
      </c>
      <c r="G190" s="338" t="s">
        <v>74</v>
      </c>
      <c r="H190" s="338" t="s">
        <v>26</v>
      </c>
      <c r="I190" s="338" t="s">
        <v>11271</v>
      </c>
      <c r="J190" s="338" t="s">
        <v>1435</v>
      </c>
      <c r="K190" s="343">
        <v>150000</v>
      </c>
      <c r="L190" s="339" t="s">
        <v>2057</v>
      </c>
      <c r="M190" s="340" t="s">
        <v>14</v>
      </c>
    </row>
    <row r="191" spans="1:13" ht="56">
      <c r="A191" s="338" t="s">
        <v>9942</v>
      </c>
      <c r="B191" s="338" t="s">
        <v>9993</v>
      </c>
      <c r="C191" s="338" t="s">
        <v>9944</v>
      </c>
      <c r="D191" s="338" t="s">
        <v>152</v>
      </c>
      <c r="E191" s="338" t="s">
        <v>29</v>
      </c>
      <c r="F191" s="338" t="s">
        <v>21</v>
      </c>
      <c r="G191" s="338" t="s">
        <v>74</v>
      </c>
      <c r="H191" s="338" t="s">
        <v>42</v>
      </c>
      <c r="I191" s="338" t="s">
        <v>11271</v>
      </c>
      <c r="J191" s="338" t="s">
        <v>1435</v>
      </c>
      <c r="K191" s="343">
        <v>190000</v>
      </c>
      <c r="L191" s="339" t="s">
        <v>2057</v>
      </c>
      <c r="M191" s="340" t="s">
        <v>14</v>
      </c>
    </row>
    <row r="192" spans="1:13" ht="56">
      <c r="A192" s="338" t="s">
        <v>9942</v>
      </c>
      <c r="B192" s="338" t="s">
        <v>9994</v>
      </c>
      <c r="C192" s="338" t="s">
        <v>9944</v>
      </c>
      <c r="D192" s="338" t="s">
        <v>152</v>
      </c>
      <c r="E192" s="338" t="s">
        <v>29</v>
      </c>
      <c r="F192" s="338" t="s">
        <v>21</v>
      </c>
      <c r="G192" s="338" t="s">
        <v>70</v>
      </c>
      <c r="H192" s="338" t="s">
        <v>26</v>
      </c>
      <c r="I192" s="338" t="s">
        <v>11271</v>
      </c>
      <c r="J192" s="338" t="s">
        <v>1435</v>
      </c>
      <c r="K192" s="343">
        <v>250000</v>
      </c>
      <c r="L192" s="339" t="s">
        <v>2057</v>
      </c>
      <c r="M192" s="340" t="s">
        <v>14</v>
      </c>
    </row>
    <row r="193" spans="1:13" ht="56">
      <c r="A193" s="338" t="s">
        <v>9942</v>
      </c>
      <c r="B193" s="338" t="s">
        <v>9995</v>
      </c>
      <c r="C193" s="338" t="s">
        <v>9944</v>
      </c>
      <c r="D193" s="338" t="s">
        <v>152</v>
      </c>
      <c r="E193" s="338" t="s">
        <v>29</v>
      </c>
      <c r="F193" s="338" t="s">
        <v>21</v>
      </c>
      <c r="G193" s="338" t="s">
        <v>72</v>
      </c>
      <c r="H193" s="338" t="s">
        <v>26</v>
      </c>
      <c r="I193" s="338" t="s">
        <v>11271</v>
      </c>
      <c r="J193" s="338" t="s">
        <v>1435</v>
      </c>
      <c r="K193" s="343">
        <v>150000</v>
      </c>
      <c r="L193" s="339" t="s">
        <v>2057</v>
      </c>
      <c r="M193" s="340" t="s">
        <v>14</v>
      </c>
    </row>
    <row r="194" spans="1:13" ht="56">
      <c r="A194" s="338" t="s">
        <v>9942</v>
      </c>
      <c r="B194" s="338" t="s">
        <v>9996</v>
      </c>
      <c r="C194" s="338" t="s">
        <v>9944</v>
      </c>
      <c r="D194" s="338" t="s">
        <v>152</v>
      </c>
      <c r="E194" s="338" t="s">
        <v>29</v>
      </c>
      <c r="F194" s="338" t="s">
        <v>21</v>
      </c>
      <c r="G194" s="338" t="s">
        <v>72</v>
      </c>
      <c r="H194" s="338" t="s">
        <v>42</v>
      </c>
      <c r="I194" s="338" t="s">
        <v>11271</v>
      </c>
      <c r="J194" s="338" t="s">
        <v>1435</v>
      </c>
      <c r="K194" s="343">
        <v>250000</v>
      </c>
      <c r="L194" s="339" t="s">
        <v>2057</v>
      </c>
      <c r="M194" s="340" t="s">
        <v>14</v>
      </c>
    </row>
    <row r="195" spans="1:13" ht="56">
      <c r="A195" s="338" t="s">
        <v>9942</v>
      </c>
      <c r="B195" s="338" t="s">
        <v>9997</v>
      </c>
      <c r="C195" s="338" t="s">
        <v>9944</v>
      </c>
      <c r="D195" s="338" t="s">
        <v>152</v>
      </c>
      <c r="E195" s="338" t="s">
        <v>29</v>
      </c>
      <c r="F195" s="338" t="s">
        <v>21</v>
      </c>
      <c r="G195" s="338" t="s">
        <v>70</v>
      </c>
      <c r="H195" s="338" t="s">
        <v>42</v>
      </c>
      <c r="I195" s="338" t="s">
        <v>11271</v>
      </c>
      <c r="J195" s="338" t="s">
        <v>1435</v>
      </c>
      <c r="K195" s="343">
        <v>170000</v>
      </c>
      <c r="L195" s="339" t="s">
        <v>2057</v>
      </c>
      <c r="M195" s="340" t="s">
        <v>14</v>
      </c>
    </row>
    <row r="196" spans="1:13" ht="56">
      <c r="A196" s="338" t="s">
        <v>9942</v>
      </c>
      <c r="B196" s="338" t="s">
        <v>9998</v>
      </c>
      <c r="C196" s="338" t="s">
        <v>9944</v>
      </c>
      <c r="D196" s="338" t="s">
        <v>159</v>
      </c>
      <c r="E196" s="338" t="s">
        <v>29</v>
      </c>
      <c r="F196" s="338" t="s">
        <v>21</v>
      </c>
      <c r="G196" s="338" t="s">
        <v>70</v>
      </c>
      <c r="H196" s="338" t="s">
        <v>42</v>
      </c>
      <c r="I196" s="338" t="s">
        <v>11271</v>
      </c>
      <c r="J196" s="338" t="s">
        <v>1435</v>
      </c>
      <c r="K196" s="343">
        <v>170000</v>
      </c>
      <c r="L196" s="339" t="s">
        <v>2057</v>
      </c>
      <c r="M196" s="340" t="s">
        <v>14</v>
      </c>
    </row>
    <row r="197" spans="1:13" ht="56">
      <c r="A197" s="338" t="s">
        <v>9942</v>
      </c>
      <c r="B197" s="338" t="s">
        <v>9999</v>
      </c>
      <c r="C197" s="338" t="s">
        <v>9944</v>
      </c>
      <c r="D197" s="338" t="s">
        <v>159</v>
      </c>
      <c r="E197" s="338" t="s">
        <v>29</v>
      </c>
      <c r="F197" s="338" t="s">
        <v>21</v>
      </c>
      <c r="G197" s="338" t="s">
        <v>74</v>
      </c>
      <c r="H197" s="338" t="s">
        <v>26</v>
      </c>
      <c r="I197" s="338" t="s">
        <v>11271</v>
      </c>
      <c r="J197" s="338" t="s">
        <v>1435</v>
      </c>
      <c r="K197" s="343">
        <v>150000</v>
      </c>
      <c r="L197" s="339" t="s">
        <v>2057</v>
      </c>
      <c r="M197" s="340" t="s">
        <v>14</v>
      </c>
    </row>
    <row r="198" spans="1:13" ht="56">
      <c r="A198" s="338" t="s">
        <v>9942</v>
      </c>
      <c r="B198" s="338" t="s">
        <v>10000</v>
      </c>
      <c r="C198" s="338" t="s">
        <v>9944</v>
      </c>
      <c r="D198" s="338" t="s">
        <v>159</v>
      </c>
      <c r="E198" s="338" t="s">
        <v>29</v>
      </c>
      <c r="F198" s="338" t="s">
        <v>21</v>
      </c>
      <c r="G198" s="338" t="s">
        <v>74</v>
      </c>
      <c r="H198" s="338" t="s">
        <v>42</v>
      </c>
      <c r="I198" s="338" t="s">
        <v>11271</v>
      </c>
      <c r="J198" s="338" t="s">
        <v>1435</v>
      </c>
      <c r="K198" s="343">
        <v>190000</v>
      </c>
      <c r="L198" s="339" t="s">
        <v>2057</v>
      </c>
      <c r="M198" s="340" t="s">
        <v>14</v>
      </c>
    </row>
    <row r="199" spans="1:13" ht="56">
      <c r="A199" s="338" t="s">
        <v>9942</v>
      </c>
      <c r="B199" s="338" t="s">
        <v>10001</v>
      </c>
      <c r="C199" s="338" t="s">
        <v>9944</v>
      </c>
      <c r="D199" s="338" t="s">
        <v>159</v>
      </c>
      <c r="E199" s="338" t="s">
        <v>29</v>
      </c>
      <c r="F199" s="338" t="s">
        <v>21</v>
      </c>
      <c r="G199" s="338" t="s">
        <v>72</v>
      </c>
      <c r="H199" s="338" t="s">
        <v>26</v>
      </c>
      <c r="I199" s="338" t="s">
        <v>11271</v>
      </c>
      <c r="J199" s="338" t="s">
        <v>1435</v>
      </c>
      <c r="K199" s="343">
        <v>150000</v>
      </c>
      <c r="L199" s="339" t="s">
        <v>2057</v>
      </c>
      <c r="M199" s="340" t="s">
        <v>14</v>
      </c>
    </row>
    <row r="200" spans="1:13" ht="56">
      <c r="A200" s="338" t="s">
        <v>9942</v>
      </c>
      <c r="B200" s="338" t="s">
        <v>10002</v>
      </c>
      <c r="C200" s="338" t="s">
        <v>9944</v>
      </c>
      <c r="D200" s="338" t="s">
        <v>159</v>
      </c>
      <c r="E200" s="338" t="s">
        <v>29</v>
      </c>
      <c r="F200" s="338" t="s">
        <v>21</v>
      </c>
      <c r="G200" s="338" t="s">
        <v>72</v>
      </c>
      <c r="H200" s="338" t="s">
        <v>42</v>
      </c>
      <c r="I200" s="338" t="s">
        <v>11271</v>
      </c>
      <c r="J200" s="338" t="s">
        <v>1435</v>
      </c>
      <c r="K200" s="343">
        <v>250000</v>
      </c>
      <c r="L200" s="339" t="s">
        <v>2057</v>
      </c>
      <c r="M200" s="340" t="s">
        <v>14</v>
      </c>
    </row>
    <row r="201" spans="1:13" ht="56">
      <c r="A201" s="338" t="s">
        <v>9942</v>
      </c>
      <c r="B201" s="338" t="s">
        <v>10003</v>
      </c>
      <c r="C201" s="338" t="s">
        <v>9944</v>
      </c>
      <c r="D201" s="338" t="s">
        <v>159</v>
      </c>
      <c r="E201" s="338" t="s">
        <v>29</v>
      </c>
      <c r="F201" s="338" t="s">
        <v>21</v>
      </c>
      <c r="G201" s="338" t="s">
        <v>70</v>
      </c>
      <c r="H201" s="338" t="s">
        <v>26</v>
      </c>
      <c r="I201" s="338" t="s">
        <v>11271</v>
      </c>
      <c r="J201" s="338" t="s">
        <v>1435</v>
      </c>
      <c r="K201" s="343">
        <v>150000</v>
      </c>
      <c r="L201" s="339" t="s">
        <v>2057</v>
      </c>
      <c r="M201" s="340" t="s">
        <v>14</v>
      </c>
    </row>
    <row r="202" spans="1:13" ht="42">
      <c r="A202" s="338" t="s">
        <v>9942</v>
      </c>
      <c r="B202" s="338" t="s">
        <v>10004</v>
      </c>
      <c r="C202" s="338" t="s">
        <v>9944</v>
      </c>
      <c r="D202" s="338" t="s">
        <v>11295</v>
      </c>
      <c r="E202" s="338" t="s">
        <v>9798</v>
      </c>
      <c r="F202" s="338" t="s">
        <v>168</v>
      </c>
      <c r="G202" s="338" t="s">
        <v>251</v>
      </c>
      <c r="H202" s="338" t="s">
        <v>251</v>
      </c>
      <c r="I202" s="338" t="s">
        <v>251</v>
      </c>
      <c r="J202" s="338" t="s">
        <v>516</v>
      </c>
      <c r="K202" s="343">
        <v>80000</v>
      </c>
      <c r="L202" s="339" t="s">
        <v>2057</v>
      </c>
      <c r="M202" s="340" t="s">
        <v>14</v>
      </c>
    </row>
    <row r="203" spans="1:13" ht="42">
      <c r="A203" s="338" t="s">
        <v>9942</v>
      </c>
      <c r="B203" s="338" t="s">
        <v>10006</v>
      </c>
      <c r="C203" s="338" t="s">
        <v>9944</v>
      </c>
      <c r="D203" s="338" t="s">
        <v>11296</v>
      </c>
      <c r="E203" s="338" t="s">
        <v>9798</v>
      </c>
      <c r="F203" s="338" t="s">
        <v>168</v>
      </c>
      <c r="G203" s="338" t="s">
        <v>251</v>
      </c>
      <c r="H203" s="338" t="s">
        <v>251</v>
      </c>
      <c r="I203" s="338" t="s">
        <v>251</v>
      </c>
      <c r="J203" s="338" t="s">
        <v>516</v>
      </c>
      <c r="K203" s="343">
        <v>60000</v>
      </c>
      <c r="L203" s="339" t="s">
        <v>2057</v>
      </c>
      <c r="M203" s="340" t="s">
        <v>14</v>
      </c>
    </row>
    <row r="204" spans="1:13" ht="42">
      <c r="A204" s="338" t="s">
        <v>9942</v>
      </c>
      <c r="B204" s="338" t="s">
        <v>10008</v>
      </c>
      <c r="C204" s="338" t="s">
        <v>9944</v>
      </c>
      <c r="D204" s="338" t="s">
        <v>11297</v>
      </c>
      <c r="E204" s="338" t="s">
        <v>9798</v>
      </c>
      <c r="F204" s="338" t="s">
        <v>168</v>
      </c>
      <c r="G204" s="338" t="s">
        <v>251</v>
      </c>
      <c r="H204" s="338" t="s">
        <v>251</v>
      </c>
      <c r="I204" s="338" t="s">
        <v>251</v>
      </c>
      <c r="J204" s="338" t="s">
        <v>516</v>
      </c>
      <c r="K204" s="343">
        <v>45000</v>
      </c>
      <c r="L204" s="339" t="s">
        <v>2057</v>
      </c>
      <c r="M204" s="340" t="s">
        <v>14</v>
      </c>
    </row>
    <row r="205" spans="1:13" ht="42">
      <c r="A205" s="338" t="s">
        <v>9942</v>
      </c>
      <c r="B205" s="338" t="s">
        <v>10010</v>
      </c>
      <c r="C205" s="338" t="s">
        <v>9944</v>
      </c>
      <c r="D205" s="338" t="s">
        <v>11298</v>
      </c>
      <c r="E205" s="338" t="s">
        <v>9798</v>
      </c>
      <c r="F205" s="338" t="s">
        <v>168</v>
      </c>
      <c r="G205" s="338" t="s">
        <v>251</v>
      </c>
      <c r="H205" s="338" t="s">
        <v>251</v>
      </c>
      <c r="I205" s="338" t="s">
        <v>251</v>
      </c>
      <c r="J205" s="338" t="s">
        <v>516</v>
      </c>
      <c r="K205" s="343">
        <v>35000</v>
      </c>
      <c r="L205" s="339" t="s">
        <v>2057</v>
      </c>
      <c r="M205" s="340" t="s">
        <v>14</v>
      </c>
    </row>
    <row r="206" spans="1:13" ht="28">
      <c r="A206" s="338" t="s">
        <v>9942</v>
      </c>
      <c r="B206" s="338" t="s">
        <v>10012</v>
      </c>
      <c r="C206" s="338" t="s">
        <v>9944</v>
      </c>
      <c r="D206" s="338" t="s">
        <v>11299</v>
      </c>
      <c r="E206" s="338" t="s">
        <v>9798</v>
      </c>
      <c r="F206" s="338" t="s">
        <v>168</v>
      </c>
      <c r="G206" s="338" t="s">
        <v>251</v>
      </c>
      <c r="H206" s="338" t="s">
        <v>251</v>
      </c>
      <c r="I206" s="338" t="s">
        <v>251</v>
      </c>
      <c r="J206" s="338" t="s">
        <v>516</v>
      </c>
      <c r="K206" s="343">
        <v>500000</v>
      </c>
      <c r="L206" s="339" t="s">
        <v>2057</v>
      </c>
      <c r="M206" s="340" t="s">
        <v>14</v>
      </c>
    </row>
    <row r="207" spans="1:13" ht="28">
      <c r="A207" s="338" t="s">
        <v>9942</v>
      </c>
      <c r="B207" s="338" t="s">
        <v>10014</v>
      </c>
      <c r="C207" s="338" t="s">
        <v>9944</v>
      </c>
      <c r="D207" s="338" t="s">
        <v>11300</v>
      </c>
      <c r="E207" s="338" t="s">
        <v>76</v>
      </c>
      <c r="F207" s="338" t="s">
        <v>25</v>
      </c>
      <c r="G207" s="338" t="s">
        <v>251</v>
      </c>
      <c r="H207" s="338" t="s">
        <v>251</v>
      </c>
      <c r="I207" s="338" t="s">
        <v>251</v>
      </c>
      <c r="J207" s="338" t="s">
        <v>516</v>
      </c>
      <c r="K207" s="343">
        <v>50000</v>
      </c>
      <c r="L207" s="339" t="s">
        <v>2057</v>
      </c>
      <c r="M207" s="340" t="s">
        <v>14</v>
      </c>
    </row>
    <row r="208" spans="1:13" ht="28">
      <c r="A208" s="338" t="s">
        <v>9942</v>
      </c>
      <c r="B208" s="338" t="s">
        <v>10016</v>
      </c>
      <c r="C208" s="338" t="s">
        <v>9944</v>
      </c>
      <c r="D208" s="338" t="s">
        <v>11301</v>
      </c>
      <c r="E208" s="338" t="s">
        <v>76</v>
      </c>
      <c r="F208" s="338" t="s">
        <v>25</v>
      </c>
      <c r="G208" s="338" t="s">
        <v>251</v>
      </c>
      <c r="H208" s="338" t="s">
        <v>251</v>
      </c>
      <c r="I208" s="338" t="s">
        <v>251</v>
      </c>
      <c r="J208" s="338" t="s">
        <v>516</v>
      </c>
      <c r="K208" s="343">
        <v>300000</v>
      </c>
      <c r="L208" s="339" t="s">
        <v>2057</v>
      </c>
      <c r="M208" s="340" t="s">
        <v>14</v>
      </c>
    </row>
    <row r="209" spans="1:13" ht="28">
      <c r="A209" s="338" t="s">
        <v>9942</v>
      </c>
      <c r="B209" s="338" t="s">
        <v>10018</v>
      </c>
      <c r="C209" s="338" t="s">
        <v>9944</v>
      </c>
      <c r="D209" s="338" t="s">
        <v>11302</v>
      </c>
      <c r="E209" s="338" t="s">
        <v>76</v>
      </c>
      <c r="F209" s="338" t="s">
        <v>25</v>
      </c>
      <c r="G209" s="338" t="s">
        <v>70</v>
      </c>
      <c r="H209" s="338" t="s">
        <v>26</v>
      </c>
      <c r="I209" s="338" t="s">
        <v>251</v>
      </c>
      <c r="J209" s="338" t="s">
        <v>516</v>
      </c>
      <c r="K209" s="343">
        <v>52000</v>
      </c>
      <c r="L209" s="339" t="s">
        <v>2057</v>
      </c>
      <c r="M209" s="340" t="s">
        <v>14</v>
      </c>
    </row>
    <row r="210" spans="1:13" ht="28">
      <c r="A210" s="338" t="s">
        <v>9942</v>
      </c>
      <c r="B210" s="338" t="s">
        <v>10020</v>
      </c>
      <c r="C210" s="338" t="s">
        <v>9944</v>
      </c>
      <c r="D210" s="338" t="s">
        <v>11303</v>
      </c>
      <c r="E210" s="338" t="s">
        <v>76</v>
      </c>
      <c r="F210" s="338" t="s">
        <v>25</v>
      </c>
      <c r="G210" s="338" t="s">
        <v>70</v>
      </c>
      <c r="H210" s="338" t="s">
        <v>26</v>
      </c>
      <c r="I210" s="338" t="s">
        <v>251</v>
      </c>
      <c r="J210" s="338" t="s">
        <v>516</v>
      </c>
      <c r="K210" s="343">
        <v>36000</v>
      </c>
      <c r="L210" s="339" t="s">
        <v>2057</v>
      </c>
      <c r="M210" s="340" t="s">
        <v>14</v>
      </c>
    </row>
    <row r="211" spans="1:13" ht="28">
      <c r="A211" s="338" t="s">
        <v>9942</v>
      </c>
      <c r="B211" s="338" t="s">
        <v>10022</v>
      </c>
      <c r="C211" s="338" t="s">
        <v>9944</v>
      </c>
      <c r="D211" s="338" t="s">
        <v>11304</v>
      </c>
      <c r="E211" s="338" t="s">
        <v>76</v>
      </c>
      <c r="F211" s="338" t="s">
        <v>25</v>
      </c>
      <c r="G211" s="338" t="s">
        <v>70</v>
      </c>
      <c r="H211" s="338" t="s">
        <v>26</v>
      </c>
      <c r="I211" s="338" t="s">
        <v>251</v>
      </c>
      <c r="J211" s="338" t="s">
        <v>516</v>
      </c>
      <c r="K211" s="343">
        <v>27600</v>
      </c>
      <c r="L211" s="339" t="s">
        <v>2057</v>
      </c>
      <c r="M211" s="340" t="s">
        <v>14</v>
      </c>
    </row>
    <row r="212" spans="1:13" ht="28">
      <c r="A212" s="338" t="s">
        <v>9942</v>
      </c>
      <c r="B212" s="338" t="s">
        <v>10024</v>
      </c>
      <c r="C212" s="338" t="s">
        <v>9944</v>
      </c>
      <c r="D212" s="338" t="s">
        <v>11305</v>
      </c>
      <c r="E212" s="338" t="s">
        <v>76</v>
      </c>
      <c r="F212" s="338" t="s">
        <v>25</v>
      </c>
      <c r="G212" s="338" t="s">
        <v>70</v>
      </c>
      <c r="H212" s="338" t="s">
        <v>26</v>
      </c>
      <c r="I212" s="338" t="s">
        <v>251</v>
      </c>
      <c r="J212" s="338" t="s">
        <v>516</v>
      </c>
      <c r="K212" s="343">
        <v>19200</v>
      </c>
      <c r="L212" s="339" t="s">
        <v>2057</v>
      </c>
      <c r="M212" s="340" t="s">
        <v>14</v>
      </c>
    </row>
    <row r="213" spans="1:13" ht="28">
      <c r="A213" s="338" t="s">
        <v>9942</v>
      </c>
      <c r="B213" s="338" t="s">
        <v>10026</v>
      </c>
      <c r="C213" s="338" t="s">
        <v>9944</v>
      </c>
      <c r="D213" s="338" t="s">
        <v>11306</v>
      </c>
      <c r="E213" s="338" t="s">
        <v>76</v>
      </c>
      <c r="F213" s="338" t="s">
        <v>25</v>
      </c>
      <c r="G213" s="338" t="s">
        <v>70</v>
      </c>
      <c r="H213" s="338" t="s">
        <v>26</v>
      </c>
      <c r="I213" s="338" t="s">
        <v>251</v>
      </c>
      <c r="J213" s="338" t="s">
        <v>516</v>
      </c>
      <c r="K213" s="343">
        <v>360000</v>
      </c>
      <c r="L213" s="339" t="s">
        <v>2057</v>
      </c>
      <c r="M213" s="340" t="s">
        <v>14</v>
      </c>
    </row>
    <row r="214" spans="1:13" ht="56">
      <c r="A214" s="338" t="s">
        <v>9942</v>
      </c>
      <c r="B214" s="338" t="s">
        <v>10028</v>
      </c>
      <c r="C214" s="338" t="s">
        <v>9944</v>
      </c>
      <c r="D214" s="338" t="s">
        <v>11307</v>
      </c>
      <c r="E214" s="338" t="s">
        <v>10030</v>
      </c>
      <c r="F214" s="338" t="s">
        <v>21</v>
      </c>
      <c r="G214" s="338" t="s">
        <v>70</v>
      </c>
      <c r="H214" s="338" t="s">
        <v>26</v>
      </c>
      <c r="I214" s="338" t="s">
        <v>251</v>
      </c>
      <c r="J214" s="338" t="s">
        <v>1435</v>
      </c>
      <c r="K214" s="343">
        <v>5500</v>
      </c>
      <c r="L214" s="339" t="s">
        <v>173</v>
      </c>
      <c r="M214" s="340" t="s">
        <v>14</v>
      </c>
    </row>
    <row r="215" spans="1:13" ht="56">
      <c r="A215" s="338" t="s">
        <v>9942</v>
      </c>
      <c r="B215" s="338" t="s">
        <v>10031</v>
      </c>
      <c r="C215" s="338" t="s">
        <v>9944</v>
      </c>
      <c r="D215" s="338" t="s">
        <v>11308</v>
      </c>
      <c r="E215" s="338" t="s">
        <v>10030</v>
      </c>
      <c r="F215" s="338" t="s">
        <v>21</v>
      </c>
      <c r="G215" s="338" t="s">
        <v>70</v>
      </c>
      <c r="H215" s="338" t="s">
        <v>26</v>
      </c>
      <c r="I215" s="338" t="s">
        <v>251</v>
      </c>
      <c r="J215" s="338" t="s">
        <v>1435</v>
      </c>
      <c r="K215" s="343">
        <v>4000</v>
      </c>
      <c r="L215" s="339" t="s">
        <v>173</v>
      </c>
      <c r="M215" s="340" t="s">
        <v>14</v>
      </c>
    </row>
    <row r="216" spans="1:13" ht="56">
      <c r="A216" s="338" t="s">
        <v>9942</v>
      </c>
      <c r="B216" s="338" t="s">
        <v>10033</v>
      </c>
      <c r="C216" s="338" t="s">
        <v>9944</v>
      </c>
      <c r="D216" s="338" t="s">
        <v>11309</v>
      </c>
      <c r="E216" s="338" t="s">
        <v>10030</v>
      </c>
      <c r="F216" s="338" t="s">
        <v>21</v>
      </c>
      <c r="G216" s="338" t="s">
        <v>70</v>
      </c>
      <c r="H216" s="338" t="s">
        <v>26</v>
      </c>
      <c r="I216" s="338" t="s">
        <v>251</v>
      </c>
      <c r="J216" s="338" t="s">
        <v>1435</v>
      </c>
      <c r="K216" s="343">
        <v>3000</v>
      </c>
      <c r="L216" s="339" t="s">
        <v>173</v>
      </c>
      <c r="M216" s="340" t="s">
        <v>14</v>
      </c>
    </row>
    <row r="217" spans="1:13" ht="56">
      <c r="A217" s="338" t="s">
        <v>9942</v>
      </c>
      <c r="B217" s="338" t="s">
        <v>10035</v>
      </c>
      <c r="C217" s="338" t="s">
        <v>9944</v>
      </c>
      <c r="D217" s="338" t="s">
        <v>11310</v>
      </c>
      <c r="E217" s="338" t="s">
        <v>10030</v>
      </c>
      <c r="F217" s="338" t="s">
        <v>21</v>
      </c>
      <c r="G217" s="338" t="s">
        <v>70</v>
      </c>
      <c r="H217" s="338" t="s">
        <v>26</v>
      </c>
      <c r="I217" s="338" t="s">
        <v>251</v>
      </c>
      <c r="J217" s="338" t="s">
        <v>1435</v>
      </c>
      <c r="K217" s="343">
        <v>2500</v>
      </c>
      <c r="L217" s="339" t="s">
        <v>173</v>
      </c>
      <c r="M217" s="340" t="s">
        <v>14</v>
      </c>
    </row>
    <row r="218" spans="1:13" ht="28">
      <c r="A218" s="338" t="s">
        <v>9942</v>
      </c>
      <c r="B218" s="338" t="s">
        <v>10037</v>
      </c>
      <c r="C218" s="338" t="s">
        <v>9944</v>
      </c>
      <c r="D218" s="338" t="s">
        <v>11302</v>
      </c>
      <c r="E218" s="338" t="s">
        <v>76</v>
      </c>
      <c r="F218" s="338" t="s">
        <v>25</v>
      </c>
      <c r="G218" s="338" t="s">
        <v>74</v>
      </c>
      <c r="H218" s="338" t="s">
        <v>26</v>
      </c>
      <c r="I218" s="338" t="s">
        <v>251</v>
      </c>
      <c r="J218" s="338" t="s">
        <v>516</v>
      </c>
      <c r="K218" s="343">
        <v>52000</v>
      </c>
      <c r="L218" s="339" t="s">
        <v>2057</v>
      </c>
      <c r="M218" s="340" t="s">
        <v>14</v>
      </c>
    </row>
    <row r="219" spans="1:13" ht="28">
      <c r="A219" s="338" t="s">
        <v>9942</v>
      </c>
      <c r="B219" s="338" t="s">
        <v>10038</v>
      </c>
      <c r="C219" s="338" t="s">
        <v>9944</v>
      </c>
      <c r="D219" s="338" t="s">
        <v>11303</v>
      </c>
      <c r="E219" s="338" t="s">
        <v>76</v>
      </c>
      <c r="F219" s="338" t="s">
        <v>25</v>
      </c>
      <c r="G219" s="338" t="s">
        <v>74</v>
      </c>
      <c r="H219" s="338" t="s">
        <v>26</v>
      </c>
      <c r="I219" s="338" t="s">
        <v>251</v>
      </c>
      <c r="J219" s="338" t="s">
        <v>516</v>
      </c>
      <c r="K219" s="343">
        <v>36000</v>
      </c>
      <c r="L219" s="339" t="s">
        <v>2057</v>
      </c>
      <c r="M219" s="340" t="s">
        <v>14</v>
      </c>
    </row>
    <row r="220" spans="1:13" ht="28">
      <c r="A220" s="338" t="s">
        <v>9942</v>
      </c>
      <c r="B220" s="338" t="s">
        <v>10039</v>
      </c>
      <c r="C220" s="338" t="s">
        <v>9944</v>
      </c>
      <c r="D220" s="338" t="s">
        <v>11304</v>
      </c>
      <c r="E220" s="338" t="s">
        <v>76</v>
      </c>
      <c r="F220" s="338" t="s">
        <v>25</v>
      </c>
      <c r="G220" s="338" t="s">
        <v>74</v>
      </c>
      <c r="H220" s="338" t="s">
        <v>26</v>
      </c>
      <c r="I220" s="338" t="s">
        <v>251</v>
      </c>
      <c r="J220" s="338" t="s">
        <v>516</v>
      </c>
      <c r="K220" s="343">
        <v>27600</v>
      </c>
      <c r="L220" s="339" t="s">
        <v>2057</v>
      </c>
      <c r="M220" s="340" t="s">
        <v>14</v>
      </c>
    </row>
    <row r="221" spans="1:13" ht="28">
      <c r="A221" s="338" t="s">
        <v>9942</v>
      </c>
      <c r="B221" s="338" t="s">
        <v>10040</v>
      </c>
      <c r="C221" s="338" t="s">
        <v>9944</v>
      </c>
      <c r="D221" s="338" t="s">
        <v>11305</v>
      </c>
      <c r="E221" s="338" t="s">
        <v>76</v>
      </c>
      <c r="F221" s="338" t="s">
        <v>25</v>
      </c>
      <c r="G221" s="338" t="s">
        <v>74</v>
      </c>
      <c r="H221" s="338" t="s">
        <v>26</v>
      </c>
      <c r="I221" s="338" t="s">
        <v>251</v>
      </c>
      <c r="J221" s="338" t="s">
        <v>516</v>
      </c>
      <c r="K221" s="343">
        <v>19200</v>
      </c>
      <c r="L221" s="339" t="s">
        <v>2057</v>
      </c>
      <c r="M221" s="340" t="s">
        <v>14</v>
      </c>
    </row>
    <row r="222" spans="1:13" ht="28">
      <c r="A222" s="338" t="s">
        <v>9942</v>
      </c>
      <c r="B222" s="338" t="s">
        <v>10041</v>
      </c>
      <c r="C222" s="338" t="s">
        <v>9944</v>
      </c>
      <c r="D222" s="338" t="s">
        <v>11306</v>
      </c>
      <c r="E222" s="338" t="s">
        <v>76</v>
      </c>
      <c r="F222" s="338" t="s">
        <v>25</v>
      </c>
      <c r="G222" s="338" t="s">
        <v>74</v>
      </c>
      <c r="H222" s="338" t="s">
        <v>26</v>
      </c>
      <c r="I222" s="338" t="s">
        <v>251</v>
      </c>
      <c r="J222" s="338" t="s">
        <v>516</v>
      </c>
      <c r="K222" s="343">
        <v>360000</v>
      </c>
      <c r="L222" s="339" t="s">
        <v>2057</v>
      </c>
      <c r="M222" s="340" t="s">
        <v>14</v>
      </c>
    </row>
    <row r="223" spans="1:13" ht="56">
      <c r="A223" s="338" t="s">
        <v>9942</v>
      </c>
      <c r="B223" s="338" t="s">
        <v>10042</v>
      </c>
      <c r="C223" s="338" t="s">
        <v>9944</v>
      </c>
      <c r="D223" s="338" t="s">
        <v>11307</v>
      </c>
      <c r="E223" s="338" t="s">
        <v>10030</v>
      </c>
      <c r="F223" s="338" t="s">
        <v>21</v>
      </c>
      <c r="G223" s="338" t="s">
        <v>74</v>
      </c>
      <c r="H223" s="338" t="s">
        <v>26</v>
      </c>
      <c r="I223" s="338" t="s">
        <v>251</v>
      </c>
      <c r="J223" s="338" t="s">
        <v>1435</v>
      </c>
      <c r="K223" s="343">
        <v>5500</v>
      </c>
      <c r="L223" s="339" t="s">
        <v>173</v>
      </c>
      <c r="M223" s="340" t="s">
        <v>14</v>
      </c>
    </row>
    <row r="224" spans="1:13" ht="56">
      <c r="A224" s="338" t="s">
        <v>9942</v>
      </c>
      <c r="B224" s="338" t="s">
        <v>10043</v>
      </c>
      <c r="C224" s="338" t="s">
        <v>9944</v>
      </c>
      <c r="D224" s="338" t="s">
        <v>11308</v>
      </c>
      <c r="E224" s="338" t="s">
        <v>10030</v>
      </c>
      <c r="F224" s="338" t="s">
        <v>21</v>
      </c>
      <c r="G224" s="338" t="s">
        <v>74</v>
      </c>
      <c r="H224" s="338" t="s">
        <v>26</v>
      </c>
      <c r="I224" s="338" t="s">
        <v>251</v>
      </c>
      <c r="J224" s="338" t="s">
        <v>1435</v>
      </c>
      <c r="K224" s="343">
        <v>4000</v>
      </c>
      <c r="L224" s="339" t="s">
        <v>173</v>
      </c>
      <c r="M224" s="340" t="s">
        <v>14</v>
      </c>
    </row>
    <row r="225" spans="1:13" ht="56">
      <c r="A225" s="338" t="s">
        <v>9942</v>
      </c>
      <c r="B225" s="338" t="s">
        <v>10044</v>
      </c>
      <c r="C225" s="338" t="s">
        <v>9944</v>
      </c>
      <c r="D225" s="338" t="s">
        <v>11309</v>
      </c>
      <c r="E225" s="338" t="s">
        <v>10030</v>
      </c>
      <c r="F225" s="338" t="s">
        <v>21</v>
      </c>
      <c r="G225" s="338" t="s">
        <v>74</v>
      </c>
      <c r="H225" s="338" t="s">
        <v>26</v>
      </c>
      <c r="I225" s="338" t="s">
        <v>251</v>
      </c>
      <c r="J225" s="338" t="s">
        <v>1435</v>
      </c>
      <c r="K225" s="343">
        <v>3000</v>
      </c>
      <c r="L225" s="339" t="s">
        <v>173</v>
      </c>
      <c r="M225" s="340" t="s">
        <v>14</v>
      </c>
    </row>
    <row r="226" spans="1:13" ht="56">
      <c r="A226" s="338" t="s">
        <v>9942</v>
      </c>
      <c r="B226" s="338" t="s">
        <v>10045</v>
      </c>
      <c r="C226" s="338" t="s">
        <v>9944</v>
      </c>
      <c r="D226" s="338" t="s">
        <v>11310</v>
      </c>
      <c r="E226" s="338" t="s">
        <v>10030</v>
      </c>
      <c r="F226" s="338" t="s">
        <v>21</v>
      </c>
      <c r="G226" s="338" t="s">
        <v>74</v>
      </c>
      <c r="H226" s="338" t="s">
        <v>26</v>
      </c>
      <c r="I226" s="338" t="s">
        <v>251</v>
      </c>
      <c r="J226" s="338" t="s">
        <v>1435</v>
      </c>
      <c r="K226" s="343">
        <v>2500</v>
      </c>
      <c r="L226" s="339" t="s">
        <v>173</v>
      </c>
      <c r="M226" s="340" t="s">
        <v>14</v>
      </c>
    </row>
    <row r="227" spans="1:13" ht="28">
      <c r="A227" s="338" t="s">
        <v>9942</v>
      </c>
      <c r="B227" s="338" t="s">
        <v>10046</v>
      </c>
      <c r="C227" s="338" t="s">
        <v>9944</v>
      </c>
      <c r="D227" s="338" t="s">
        <v>11302</v>
      </c>
      <c r="E227" s="338" t="s">
        <v>76</v>
      </c>
      <c r="F227" s="338" t="s">
        <v>25</v>
      </c>
      <c r="G227" s="338" t="s">
        <v>72</v>
      </c>
      <c r="H227" s="338" t="s">
        <v>26</v>
      </c>
      <c r="I227" s="338" t="s">
        <v>251</v>
      </c>
      <c r="J227" s="338" t="s">
        <v>516</v>
      </c>
      <c r="K227" s="343">
        <v>52000</v>
      </c>
      <c r="L227" s="339" t="s">
        <v>2057</v>
      </c>
      <c r="M227" s="340" t="s">
        <v>14</v>
      </c>
    </row>
    <row r="228" spans="1:13" ht="28">
      <c r="A228" s="338" t="s">
        <v>9942</v>
      </c>
      <c r="B228" s="338" t="s">
        <v>10047</v>
      </c>
      <c r="C228" s="338" t="s">
        <v>9944</v>
      </c>
      <c r="D228" s="338" t="s">
        <v>11303</v>
      </c>
      <c r="E228" s="338" t="s">
        <v>76</v>
      </c>
      <c r="F228" s="338" t="s">
        <v>25</v>
      </c>
      <c r="G228" s="338" t="s">
        <v>72</v>
      </c>
      <c r="H228" s="338" t="s">
        <v>26</v>
      </c>
      <c r="I228" s="338" t="s">
        <v>251</v>
      </c>
      <c r="J228" s="338" t="s">
        <v>516</v>
      </c>
      <c r="K228" s="343">
        <v>36000</v>
      </c>
      <c r="L228" s="339" t="s">
        <v>2057</v>
      </c>
      <c r="M228" s="340" t="s">
        <v>14</v>
      </c>
    </row>
    <row r="229" spans="1:13" ht="28">
      <c r="A229" s="338" t="s">
        <v>9942</v>
      </c>
      <c r="B229" s="338" t="s">
        <v>10048</v>
      </c>
      <c r="C229" s="338" t="s">
        <v>9944</v>
      </c>
      <c r="D229" s="338" t="s">
        <v>11304</v>
      </c>
      <c r="E229" s="338" t="s">
        <v>76</v>
      </c>
      <c r="F229" s="338" t="s">
        <v>25</v>
      </c>
      <c r="G229" s="338" t="s">
        <v>72</v>
      </c>
      <c r="H229" s="338" t="s">
        <v>26</v>
      </c>
      <c r="I229" s="338" t="s">
        <v>251</v>
      </c>
      <c r="J229" s="338" t="s">
        <v>516</v>
      </c>
      <c r="K229" s="343">
        <v>27600</v>
      </c>
      <c r="L229" s="339" t="s">
        <v>2057</v>
      </c>
      <c r="M229" s="340" t="s">
        <v>14</v>
      </c>
    </row>
    <row r="230" spans="1:13" ht="28">
      <c r="A230" s="338" t="s">
        <v>9942</v>
      </c>
      <c r="B230" s="338" t="s">
        <v>10049</v>
      </c>
      <c r="C230" s="338" t="s">
        <v>9944</v>
      </c>
      <c r="D230" s="338" t="s">
        <v>11305</v>
      </c>
      <c r="E230" s="338" t="s">
        <v>76</v>
      </c>
      <c r="F230" s="338" t="s">
        <v>25</v>
      </c>
      <c r="G230" s="338" t="s">
        <v>72</v>
      </c>
      <c r="H230" s="338" t="s">
        <v>26</v>
      </c>
      <c r="I230" s="338" t="s">
        <v>251</v>
      </c>
      <c r="J230" s="338" t="s">
        <v>516</v>
      </c>
      <c r="K230" s="343">
        <v>19200</v>
      </c>
      <c r="L230" s="339" t="s">
        <v>2057</v>
      </c>
      <c r="M230" s="340" t="s">
        <v>14</v>
      </c>
    </row>
    <row r="231" spans="1:13" ht="28">
      <c r="A231" s="338" t="s">
        <v>9942</v>
      </c>
      <c r="B231" s="338" t="s">
        <v>10050</v>
      </c>
      <c r="C231" s="338" t="s">
        <v>9944</v>
      </c>
      <c r="D231" s="338" t="s">
        <v>11306</v>
      </c>
      <c r="E231" s="338" t="s">
        <v>76</v>
      </c>
      <c r="F231" s="338" t="s">
        <v>25</v>
      </c>
      <c r="G231" s="338" t="s">
        <v>72</v>
      </c>
      <c r="H231" s="338" t="s">
        <v>26</v>
      </c>
      <c r="I231" s="338" t="s">
        <v>251</v>
      </c>
      <c r="J231" s="338" t="s">
        <v>516</v>
      </c>
      <c r="K231" s="343">
        <v>360000</v>
      </c>
      <c r="L231" s="339" t="s">
        <v>2057</v>
      </c>
      <c r="M231" s="340" t="s">
        <v>14</v>
      </c>
    </row>
    <row r="232" spans="1:13" ht="56">
      <c r="A232" s="338" t="s">
        <v>9942</v>
      </c>
      <c r="B232" s="338" t="s">
        <v>10051</v>
      </c>
      <c r="C232" s="338" t="s">
        <v>9944</v>
      </c>
      <c r="D232" s="338" t="s">
        <v>11307</v>
      </c>
      <c r="E232" s="338" t="s">
        <v>10030</v>
      </c>
      <c r="F232" s="338" t="s">
        <v>21</v>
      </c>
      <c r="G232" s="338" t="s">
        <v>72</v>
      </c>
      <c r="H232" s="338" t="s">
        <v>26</v>
      </c>
      <c r="I232" s="338" t="s">
        <v>251</v>
      </c>
      <c r="J232" s="338" t="s">
        <v>1435</v>
      </c>
      <c r="K232" s="343">
        <v>5500</v>
      </c>
      <c r="L232" s="339" t="s">
        <v>173</v>
      </c>
      <c r="M232" s="340" t="s">
        <v>14</v>
      </c>
    </row>
    <row r="233" spans="1:13" ht="56">
      <c r="A233" s="338" t="s">
        <v>9942</v>
      </c>
      <c r="B233" s="338" t="s">
        <v>10052</v>
      </c>
      <c r="C233" s="338" t="s">
        <v>9944</v>
      </c>
      <c r="D233" s="338" t="s">
        <v>11308</v>
      </c>
      <c r="E233" s="338" t="s">
        <v>10030</v>
      </c>
      <c r="F233" s="338" t="s">
        <v>21</v>
      </c>
      <c r="G233" s="338" t="s">
        <v>72</v>
      </c>
      <c r="H233" s="338" t="s">
        <v>26</v>
      </c>
      <c r="I233" s="338" t="s">
        <v>251</v>
      </c>
      <c r="J233" s="338" t="s">
        <v>1435</v>
      </c>
      <c r="K233" s="343">
        <v>4000</v>
      </c>
      <c r="L233" s="339" t="s">
        <v>173</v>
      </c>
      <c r="M233" s="340" t="s">
        <v>14</v>
      </c>
    </row>
    <row r="234" spans="1:13" ht="56">
      <c r="A234" s="338" t="s">
        <v>9942</v>
      </c>
      <c r="B234" s="338" t="s">
        <v>10053</v>
      </c>
      <c r="C234" s="338" t="s">
        <v>9944</v>
      </c>
      <c r="D234" s="338" t="s">
        <v>11309</v>
      </c>
      <c r="E234" s="338" t="s">
        <v>10030</v>
      </c>
      <c r="F234" s="338" t="s">
        <v>21</v>
      </c>
      <c r="G234" s="338" t="s">
        <v>72</v>
      </c>
      <c r="H234" s="338" t="s">
        <v>26</v>
      </c>
      <c r="I234" s="338" t="s">
        <v>251</v>
      </c>
      <c r="J234" s="338" t="s">
        <v>1435</v>
      </c>
      <c r="K234" s="343">
        <v>3000</v>
      </c>
      <c r="L234" s="339" t="s">
        <v>173</v>
      </c>
      <c r="M234" s="340" t="s">
        <v>14</v>
      </c>
    </row>
    <row r="235" spans="1:13" ht="56">
      <c r="A235" s="338" t="s">
        <v>9942</v>
      </c>
      <c r="B235" s="338" t="s">
        <v>10054</v>
      </c>
      <c r="C235" s="338" t="s">
        <v>9944</v>
      </c>
      <c r="D235" s="338" t="s">
        <v>11310</v>
      </c>
      <c r="E235" s="338" t="s">
        <v>10030</v>
      </c>
      <c r="F235" s="338" t="s">
        <v>21</v>
      </c>
      <c r="G235" s="338" t="s">
        <v>72</v>
      </c>
      <c r="H235" s="338" t="s">
        <v>26</v>
      </c>
      <c r="I235" s="338" t="s">
        <v>251</v>
      </c>
      <c r="J235" s="338" t="s">
        <v>1435</v>
      </c>
      <c r="K235" s="343">
        <v>2500</v>
      </c>
      <c r="L235" s="339" t="s">
        <v>173</v>
      </c>
      <c r="M235" s="340" t="s">
        <v>14</v>
      </c>
    </row>
    <row r="236" spans="1:13" ht="56">
      <c r="A236" s="338" t="s">
        <v>9942</v>
      </c>
      <c r="B236" s="338" t="s">
        <v>10055</v>
      </c>
      <c r="C236" s="338" t="s">
        <v>9944</v>
      </c>
      <c r="D236" s="338" t="s">
        <v>11311</v>
      </c>
      <c r="E236" s="338" t="s">
        <v>29</v>
      </c>
      <c r="F236" s="338" t="s">
        <v>21</v>
      </c>
      <c r="G236" s="338" t="s">
        <v>70</v>
      </c>
      <c r="H236" s="338" t="s">
        <v>26</v>
      </c>
      <c r="I236" s="338" t="s">
        <v>167</v>
      </c>
      <c r="J236" s="338" t="s">
        <v>1435</v>
      </c>
      <c r="K236" s="343">
        <v>150000</v>
      </c>
      <c r="L236" s="339" t="s">
        <v>2057</v>
      </c>
      <c r="M236" s="340" t="s">
        <v>14</v>
      </c>
    </row>
    <row r="237" spans="1:13" ht="56">
      <c r="A237" s="338" t="s">
        <v>9942</v>
      </c>
      <c r="B237" s="338" t="s">
        <v>10057</v>
      </c>
      <c r="C237" s="338" t="s">
        <v>9944</v>
      </c>
      <c r="D237" s="338" t="s">
        <v>11311</v>
      </c>
      <c r="E237" s="338" t="s">
        <v>29</v>
      </c>
      <c r="F237" s="338" t="s">
        <v>21</v>
      </c>
      <c r="G237" s="338" t="s">
        <v>74</v>
      </c>
      <c r="H237" s="338" t="s">
        <v>26</v>
      </c>
      <c r="I237" s="338" t="s">
        <v>167</v>
      </c>
      <c r="J237" s="338" t="s">
        <v>1435</v>
      </c>
      <c r="K237" s="343">
        <v>150000</v>
      </c>
      <c r="L237" s="339" t="s">
        <v>2057</v>
      </c>
      <c r="M237" s="340" t="s">
        <v>14</v>
      </c>
    </row>
    <row r="238" spans="1:13" ht="56">
      <c r="A238" s="338" t="s">
        <v>9942</v>
      </c>
      <c r="B238" s="338" t="s">
        <v>10058</v>
      </c>
      <c r="C238" s="338" t="s">
        <v>9944</v>
      </c>
      <c r="D238" s="338" t="s">
        <v>11311</v>
      </c>
      <c r="E238" s="338" t="s">
        <v>29</v>
      </c>
      <c r="F238" s="338" t="s">
        <v>21</v>
      </c>
      <c r="G238" s="338" t="s">
        <v>72</v>
      </c>
      <c r="H238" s="338" t="s">
        <v>26</v>
      </c>
      <c r="I238" s="338" t="s">
        <v>167</v>
      </c>
      <c r="J238" s="338" t="s">
        <v>1435</v>
      </c>
      <c r="K238" s="343">
        <v>150000</v>
      </c>
      <c r="L238" s="339" t="s">
        <v>2057</v>
      </c>
      <c r="M238" s="340" t="s">
        <v>14</v>
      </c>
    </row>
    <row r="239" spans="1:13" ht="56">
      <c r="A239" s="338" t="s">
        <v>9942</v>
      </c>
      <c r="B239" s="338" t="s">
        <v>10059</v>
      </c>
      <c r="C239" s="338" t="s">
        <v>9944</v>
      </c>
      <c r="D239" s="338" t="s">
        <v>11311</v>
      </c>
      <c r="E239" s="338" t="s">
        <v>29</v>
      </c>
      <c r="F239" s="338" t="s">
        <v>21</v>
      </c>
      <c r="G239" s="338" t="s">
        <v>70</v>
      </c>
      <c r="H239" s="338" t="s">
        <v>42</v>
      </c>
      <c r="I239" s="338" t="s">
        <v>167</v>
      </c>
      <c r="J239" s="338" t="s">
        <v>1435</v>
      </c>
      <c r="K239" s="343">
        <v>190000</v>
      </c>
      <c r="L239" s="339" t="s">
        <v>2057</v>
      </c>
      <c r="M239" s="340" t="s">
        <v>14</v>
      </c>
    </row>
    <row r="240" spans="1:13" ht="56">
      <c r="A240" s="338" t="s">
        <v>9942</v>
      </c>
      <c r="B240" s="338" t="s">
        <v>10060</v>
      </c>
      <c r="C240" s="338" t="s">
        <v>9944</v>
      </c>
      <c r="D240" s="338" t="s">
        <v>11312</v>
      </c>
      <c r="E240" s="338" t="s">
        <v>29</v>
      </c>
      <c r="F240" s="338" t="s">
        <v>21</v>
      </c>
      <c r="G240" s="338" t="s">
        <v>70</v>
      </c>
      <c r="H240" s="338" t="s">
        <v>26</v>
      </c>
      <c r="I240" s="338" t="s">
        <v>167</v>
      </c>
      <c r="J240" s="338" t="s">
        <v>1435</v>
      </c>
      <c r="K240" s="343">
        <v>150000</v>
      </c>
      <c r="L240" s="339" t="s">
        <v>2057</v>
      </c>
      <c r="M240" s="340" t="s">
        <v>14</v>
      </c>
    </row>
    <row r="241" spans="1:13" ht="56">
      <c r="A241" s="338" t="s">
        <v>9942</v>
      </c>
      <c r="B241" s="338" t="s">
        <v>10062</v>
      </c>
      <c r="C241" s="338" t="s">
        <v>9944</v>
      </c>
      <c r="D241" s="338" t="s">
        <v>11312</v>
      </c>
      <c r="E241" s="338" t="s">
        <v>29</v>
      </c>
      <c r="F241" s="338" t="s">
        <v>21</v>
      </c>
      <c r="G241" s="338" t="s">
        <v>74</v>
      </c>
      <c r="H241" s="338" t="s">
        <v>26</v>
      </c>
      <c r="I241" s="338" t="s">
        <v>167</v>
      </c>
      <c r="J241" s="338" t="s">
        <v>1435</v>
      </c>
      <c r="K241" s="343">
        <v>150000</v>
      </c>
      <c r="L241" s="339" t="s">
        <v>2057</v>
      </c>
      <c r="M241" s="340" t="s">
        <v>14</v>
      </c>
    </row>
    <row r="242" spans="1:13" ht="56">
      <c r="A242" s="338" t="s">
        <v>9942</v>
      </c>
      <c r="B242" s="338" t="s">
        <v>10063</v>
      </c>
      <c r="C242" s="338" t="s">
        <v>9944</v>
      </c>
      <c r="D242" s="338" t="s">
        <v>11312</v>
      </c>
      <c r="E242" s="338" t="s">
        <v>29</v>
      </c>
      <c r="F242" s="338" t="s">
        <v>21</v>
      </c>
      <c r="G242" s="338" t="s">
        <v>72</v>
      </c>
      <c r="H242" s="338" t="s">
        <v>26</v>
      </c>
      <c r="I242" s="338" t="s">
        <v>167</v>
      </c>
      <c r="J242" s="338" t="s">
        <v>1435</v>
      </c>
      <c r="K242" s="343">
        <v>150000</v>
      </c>
      <c r="L242" s="339" t="s">
        <v>2057</v>
      </c>
      <c r="M242" s="340" t="s">
        <v>14</v>
      </c>
    </row>
    <row r="243" spans="1:13" ht="56">
      <c r="A243" s="338" t="s">
        <v>9942</v>
      </c>
      <c r="B243" s="338" t="s">
        <v>10064</v>
      </c>
      <c r="C243" s="338" t="s">
        <v>9944</v>
      </c>
      <c r="D243" s="338" t="s">
        <v>11312</v>
      </c>
      <c r="E243" s="338" t="s">
        <v>29</v>
      </c>
      <c r="F243" s="338" t="s">
        <v>21</v>
      </c>
      <c r="G243" s="338" t="s">
        <v>70</v>
      </c>
      <c r="H243" s="338" t="s">
        <v>42</v>
      </c>
      <c r="I243" s="338" t="s">
        <v>167</v>
      </c>
      <c r="J243" s="338" t="s">
        <v>1435</v>
      </c>
      <c r="K243" s="343">
        <v>190000</v>
      </c>
      <c r="L243" s="339" t="s">
        <v>2057</v>
      </c>
      <c r="M243" s="340" t="s">
        <v>14</v>
      </c>
    </row>
    <row r="244" spans="1:13" ht="56">
      <c r="A244" s="338" t="s">
        <v>9942</v>
      </c>
      <c r="B244" s="338" t="s">
        <v>10065</v>
      </c>
      <c r="C244" s="338" t="s">
        <v>9944</v>
      </c>
      <c r="D244" s="338" t="s">
        <v>11313</v>
      </c>
      <c r="E244" s="338" t="s">
        <v>29</v>
      </c>
      <c r="F244" s="338" t="s">
        <v>21</v>
      </c>
      <c r="G244" s="338" t="s">
        <v>70</v>
      </c>
      <c r="H244" s="338" t="s">
        <v>26</v>
      </c>
      <c r="I244" s="338" t="s">
        <v>167</v>
      </c>
      <c r="J244" s="338" t="s">
        <v>1435</v>
      </c>
      <c r="K244" s="343">
        <v>150000</v>
      </c>
      <c r="L244" s="339" t="s">
        <v>2057</v>
      </c>
      <c r="M244" s="340" t="s">
        <v>14</v>
      </c>
    </row>
    <row r="245" spans="1:13" ht="56">
      <c r="A245" s="338" t="s">
        <v>9942</v>
      </c>
      <c r="B245" s="338" t="s">
        <v>10067</v>
      </c>
      <c r="C245" s="338" t="s">
        <v>9944</v>
      </c>
      <c r="D245" s="338" t="s">
        <v>11313</v>
      </c>
      <c r="E245" s="338" t="s">
        <v>29</v>
      </c>
      <c r="F245" s="338" t="s">
        <v>21</v>
      </c>
      <c r="G245" s="338" t="s">
        <v>74</v>
      </c>
      <c r="H245" s="338" t="s">
        <v>26</v>
      </c>
      <c r="I245" s="338" t="s">
        <v>167</v>
      </c>
      <c r="J245" s="338" t="s">
        <v>1435</v>
      </c>
      <c r="K245" s="343">
        <v>150000</v>
      </c>
      <c r="L245" s="339" t="s">
        <v>2057</v>
      </c>
      <c r="M245" s="340" t="s">
        <v>14</v>
      </c>
    </row>
    <row r="246" spans="1:13" ht="56">
      <c r="A246" s="338" t="s">
        <v>9942</v>
      </c>
      <c r="B246" s="338" t="s">
        <v>10068</v>
      </c>
      <c r="C246" s="338" t="s">
        <v>9944</v>
      </c>
      <c r="D246" s="338" t="s">
        <v>11313</v>
      </c>
      <c r="E246" s="338" t="s">
        <v>29</v>
      </c>
      <c r="F246" s="338" t="s">
        <v>21</v>
      </c>
      <c r="G246" s="338" t="s">
        <v>72</v>
      </c>
      <c r="H246" s="338" t="s">
        <v>26</v>
      </c>
      <c r="I246" s="338" t="s">
        <v>167</v>
      </c>
      <c r="J246" s="338" t="s">
        <v>1435</v>
      </c>
      <c r="K246" s="343">
        <v>150000</v>
      </c>
      <c r="L246" s="339" t="s">
        <v>2057</v>
      </c>
      <c r="M246" s="340" t="s">
        <v>14</v>
      </c>
    </row>
    <row r="247" spans="1:13" ht="56">
      <c r="A247" s="338" t="s">
        <v>9942</v>
      </c>
      <c r="B247" s="338" t="s">
        <v>10069</v>
      </c>
      <c r="C247" s="338" t="s">
        <v>9944</v>
      </c>
      <c r="D247" s="338" t="s">
        <v>11313</v>
      </c>
      <c r="E247" s="338" t="s">
        <v>29</v>
      </c>
      <c r="F247" s="338" t="s">
        <v>21</v>
      </c>
      <c r="G247" s="338" t="s">
        <v>70</v>
      </c>
      <c r="H247" s="338" t="s">
        <v>42</v>
      </c>
      <c r="I247" s="338" t="s">
        <v>167</v>
      </c>
      <c r="J247" s="338" t="s">
        <v>1435</v>
      </c>
      <c r="K247" s="343">
        <v>190000</v>
      </c>
      <c r="L247" s="339" t="s">
        <v>2057</v>
      </c>
      <c r="M247" s="340" t="s">
        <v>14</v>
      </c>
    </row>
    <row r="248" spans="1:13" ht="56">
      <c r="A248" s="338" t="s">
        <v>9942</v>
      </c>
      <c r="B248" s="338" t="s">
        <v>10070</v>
      </c>
      <c r="C248" s="338" t="s">
        <v>9944</v>
      </c>
      <c r="D248" s="338" t="s">
        <v>11314</v>
      </c>
      <c r="E248" s="338" t="s">
        <v>29</v>
      </c>
      <c r="F248" s="338" t="s">
        <v>21</v>
      </c>
      <c r="G248" s="338" t="s">
        <v>70</v>
      </c>
      <c r="H248" s="338" t="s">
        <v>26</v>
      </c>
      <c r="I248" s="338" t="s">
        <v>167</v>
      </c>
      <c r="J248" s="338" t="s">
        <v>1435</v>
      </c>
      <c r="K248" s="343">
        <v>150000</v>
      </c>
      <c r="L248" s="339" t="s">
        <v>2057</v>
      </c>
      <c r="M248" s="340" t="s">
        <v>14</v>
      </c>
    </row>
    <row r="249" spans="1:13" ht="56">
      <c r="A249" s="338" t="s">
        <v>9942</v>
      </c>
      <c r="B249" s="338" t="s">
        <v>10072</v>
      </c>
      <c r="C249" s="338" t="s">
        <v>9944</v>
      </c>
      <c r="D249" s="338" t="s">
        <v>11314</v>
      </c>
      <c r="E249" s="338" t="s">
        <v>29</v>
      </c>
      <c r="F249" s="338" t="s">
        <v>21</v>
      </c>
      <c r="G249" s="338" t="s">
        <v>74</v>
      </c>
      <c r="H249" s="338" t="s">
        <v>26</v>
      </c>
      <c r="I249" s="338" t="s">
        <v>167</v>
      </c>
      <c r="J249" s="338" t="s">
        <v>1435</v>
      </c>
      <c r="K249" s="343">
        <v>150000</v>
      </c>
      <c r="L249" s="339" t="s">
        <v>2057</v>
      </c>
      <c r="M249" s="340" t="s">
        <v>14</v>
      </c>
    </row>
    <row r="250" spans="1:13" ht="56">
      <c r="A250" s="338" t="s">
        <v>9942</v>
      </c>
      <c r="B250" s="338" t="s">
        <v>10073</v>
      </c>
      <c r="C250" s="338" t="s">
        <v>9944</v>
      </c>
      <c r="D250" s="338" t="s">
        <v>11314</v>
      </c>
      <c r="E250" s="338" t="s">
        <v>29</v>
      </c>
      <c r="F250" s="338" t="s">
        <v>21</v>
      </c>
      <c r="G250" s="338" t="s">
        <v>72</v>
      </c>
      <c r="H250" s="338" t="s">
        <v>26</v>
      </c>
      <c r="I250" s="338" t="s">
        <v>167</v>
      </c>
      <c r="J250" s="338" t="s">
        <v>1435</v>
      </c>
      <c r="K250" s="343">
        <v>150000</v>
      </c>
      <c r="L250" s="339" t="s">
        <v>2057</v>
      </c>
      <c r="M250" s="340" t="s">
        <v>14</v>
      </c>
    </row>
    <row r="251" spans="1:13" ht="56">
      <c r="A251" s="338" t="s">
        <v>9942</v>
      </c>
      <c r="B251" s="338" t="s">
        <v>10074</v>
      </c>
      <c r="C251" s="338" t="s">
        <v>9944</v>
      </c>
      <c r="D251" s="338" t="s">
        <v>11314</v>
      </c>
      <c r="E251" s="338" t="s">
        <v>29</v>
      </c>
      <c r="F251" s="338" t="s">
        <v>21</v>
      </c>
      <c r="G251" s="338" t="s">
        <v>70</v>
      </c>
      <c r="H251" s="338" t="s">
        <v>42</v>
      </c>
      <c r="I251" s="338" t="s">
        <v>167</v>
      </c>
      <c r="J251" s="338" t="s">
        <v>1435</v>
      </c>
      <c r="K251" s="343">
        <v>190000</v>
      </c>
      <c r="L251" s="339" t="s">
        <v>2057</v>
      </c>
      <c r="M251" s="340" t="s">
        <v>14</v>
      </c>
    </row>
    <row r="252" spans="1:13" ht="56">
      <c r="A252" s="338" t="s">
        <v>9942</v>
      </c>
      <c r="B252" s="338" t="s">
        <v>10075</v>
      </c>
      <c r="C252" s="338" t="s">
        <v>9944</v>
      </c>
      <c r="D252" s="338" t="s">
        <v>11315</v>
      </c>
      <c r="E252" s="338" t="s">
        <v>29</v>
      </c>
      <c r="F252" s="338" t="s">
        <v>21</v>
      </c>
      <c r="G252" s="338" t="s">
        <v>70</v>
      </c>
      <c r="H252" s="338" t="s">
        <v>26</v>
      </c>
      <c r="I252" s="338" t="s">
        <v>11271</v>
      </c>
      <c r="J252" s="338" t="s">
        <v>1435</v>
      </c>
      <c r="K252" s="343">
        <v>150000</v>
      </c>
      <c r="L252" s="339" t="s">
        <v>2057</v>
      </c>
      <c r="M252" s="340" t="s">
        <v>14</v>
      </c>
    </row>
    <row r="253" spans="1:13" ht="56">
      <c r="A253" s="338" t="s">
        <v>9942</v>
      </c>
      <c r="B253" s="338" t="s">
        <v>10077</v>
      </c>
      <c r="C253" s="338" t="s">
        <v>9944</v>
      </c>
      <c r="D253" s="338" t="s">
        <v>11315</v>
      </c>
      <c r="E253" s="338" t="s">
        <v>29</v>
      </c>
      <c r="F253" s="338" t="s">
        <v>21</v>
      </c>
      <c r="G253" s="338" t="s">
        <v>74</v>
      </c>
      <c r="H253" s="338" t="s">
        <v>26</v>
      </c>
      <c r="I253" s="338" t="s">
        <v>11271</v>
      </c>
      <c r="J253" s="338" t="s">
        <v>1435</v>
      </c>
      <c r="K253" s="343">
        <v>150000</v>
      </c>
      <c r="L253" s="339" t="s">
        <v>2057</v>
      </c>
      <c r="M253" s="340" t="s">
        <v>14</v>
      </c>
    </row>
    <row r="254" spans="1:13" ht="56">
      <c r="A254" s="338" t="s">
        <v>9942</v>
      </c>
      <c r="B254" s="338" t="s">
        <v>10078</v>
      </c>
      <c r="C254" s="338" t="s">
        <v>9944</v>
      </c>
      <c r="D254" s="338" t="s">
        <v>11315</v>
      </c>
      <c r="E254" s="338" t="s">
        <v>29</v>
      </c>
      <c r="F254" s="338" t="s">
        <v>21</v>
      </c>
      <c r="G254" s="338" t="s">
        <v>72</v>
      </c>
      <c r="H254" s="338" t="s">
        <v>26</v>
      </c>
      <c r="I254" s="338" t="s">
        <v>11271</v>
      </c>
      <c r="J254" s="338" t="s">
        <v>1435</v>
      </c>
      <c r="K254" s="343">
        <v>150000</v>
      </c>
      <c r="L254" s="339" t="s">
        <v>2057</v>
      </c>
      <c r="M254" s="340" t="s">
        <v>14</v>
      </c>
    </row>
    <row r="255" spans="1:13" ht="56">
      <c r="A255" s="338" t="s">
        <v>9942</v>
      </c>
      <c r="B255" s="338" t="s">
        <v>10079</v>
      </c>
      <c r="C255" s="338" t="s">
        <v>9944</v>
      </c>
      <c r="D255" s="338" t="s">
        <v>11315</v>
      </c>
      <c r="E255" s="338" t="s">
        <v>29</v>
      </c>
      <c r="F255" s="338" t="s">
        <v>21</v>
      </c>
      <c r="G255" s="338" t="s">
        <v>70</v>
      </c>
      <c r="H255" s="338" t="s">
        <v>42</v>
      </c>
      <c r="I255" s="338" t="s">
        <v>11271</v>
      </c>
      <c r="J255" s="338" t="s">
        <v>1435</v>
      </c>
      <c r="K255" s="343">
        <v>190000</v>
      </c>
      <c r="L255" s="339" t="s">
        <v>2057</v>
      </c>
      <c r="M255" s="340" t="s">
        <v>14</v>
      </c>
    </row>
    <row r="256" spans="1:13" ht="56">
      <c r="A256" s="338" t="s">
        <v>9942</v>
      </c>
      <c r="B256" s="338" t="s">
        <v>10080</v>
      </c>
      <c r="C256" s="338" t="s">
        <v>9944</v>
      </c>
      <c r="D256" s="338" t="s">
        <v>11316</v>
      </c>
      <c r="E256" s="338" t="s">
        <v>29</v>
      </c>
      <c r="F256" s="338" t="s">
        <v>21</v>
      </c>
      <c r="G256" s="338" t="s">
        <v>70</v>
      </c>
      <c r="H256" s="338" t="s">
        <v>26</v>
      </c>
      <c r="I256" s="338" t="s">
        <v>11271</v>
      </c>
      <c r="J256" s="338" t="s">
        <v>1435</v>
      </c>
      <c r="K256" s="343">
        <v>150000</v>
      </c>
      <c r="L256" s="339" t="s">
        <v>2057</v>
      </c>
      <c r="M256" s="340" t="s">
        <v>14</v>
      </c>
    </row>
    <row r="257" spans="1:13" ht="56">
      <c r="A257" s="338" t="s">
        <v>9942</v>
      </c>
      <c r="B257" s="338" t="s">
        <v>10082</v>
      </c>
      <c r="C257" s="338" t="s">
        <v>9944</v>
      </c>
      <c r="D257" s="338" t="s">
        <v>11316</v>
      </c>
      <c r="E257" s="338" t="s">
        <v>29</v>
      </c>
      <c r="F257" s="338" t="s">
        <v>21</v>
      </c>
      <c r="G257" s="338" t="s">
        <v>74</v>
      </c>
      <c r="H257" s="338" t="s">
        <v>26</v>
      </c>
      <c r="I257" s="338" t="s">
        <v>11271</v>
      </c>
      <c r="J257" s="338" t="s">
        <v>1435</v>
      </c>
      <c r="K257" s="343">
        <v>150000</v>
      </c>
      <c r="L257" s="339" t="s">
        <v>2057</v>
      </c>
      <c r="M257" s="340" t="s">
        <v>14</v>
      </c>
    </row>
    <row r="258" spans="1:13" ht="56">
      <c r="A258" s="338" t="s">
        <v>9942</v>
      </c>
      <c r="B258" s="338" t="s">
        <v>10083</v>
      </c>
      <c r="C258" s="338" t="s">
        <v>9944</v>
      </c>
      <c r="D258" s="338" t="s">
        <v>11316</v>
      </c>
      <c r="E258" s="338" t="s">
        <v>29</v>
      </c>
      <c r="F258" s="338" t="s">
        <v>21</v>
      </c>
      <c r="G258" s="338" t="s">
        <v>72</v>
      </c>
      <c r="H258" s="338" t="s">
        <v>26</v>
      </c>
      <c r="I258" s="338" t="s">
        <v>11271</v>
      </c>
      <c r="J258" s="338" t="s">
        <v>1435</v>
      </c>
      <c r="K258" s="343">
        <v>150000</v>
      </c>
      <c r="L258" s="339" t="s">
        <v>2057</v>
      </c>
      <c r="M258" s="340" t="s">
        <v>14</v>
      </c>
    </row>
    <row r="259" spans="1:13" ht="56">
      <c r="A259" s="338" t="s">
        <v>9942</v>
      </c>
      <c r="B259" s="338" t="s">
        <v>10084</v>
      </c>
      <c r="C259" s="338" t="s">
        <v>9944</v>
      </c>
      <c r="D259" s="338" t="s">
        <v>11316</v>
      </c>
      <c r="E259" s="338" t="s">
        <v>29</v>
      </c>
      <c r="F259" s="338" t="s">
        <v>21</v>
      </c>
      <c r="G259" s="338" t="s">
        <v>70</v>
      </c>
      <c r="H259" s="338" t="s">
        <v>42</v>
      </c>
      <c r="I259" s="338" t="s">
        <v>11271</v>
      </c>
      <c r="J259" s="338" t="s">
        <v>1435</v>
      </c>
      <c r="K259" s="343">
        <v>190000</v>
      </c>
      <c r="L259" s="339" t="s">
        <v>2057</v>
      </c>
      <c r="M259" s="340" t="s">
        <v>14</v>
      </c>
    </row>
    <row r="260" spans="1:13" ht="56">
      <c r="A260" s="338" t="s">
        <v>9942</v>
      </c>
      <c r="B260" s="338" t="s">
        <v>10085</v>
      </c>
      <c r="C260" s="338" t="s">
        <v>9944</v>
      </c>
      <c r="D260" s="338" t="s">
        <v>11317</v>
      </c>
      <c r="E260" s="338" t="s">
        <v>29</v>
      </c>
      <c r="F260" s="338" t="s">
        <v>21</v>
      </c>
      <c r="G260" s="338" t="s">
        <v>70</v>
      </c>
      <c r="H260" s="338" t="s">
        <v>26</v>
      </c>
      <c r="I260" s="338" t="s">
        <v>11271</v>
      </c>
      <c r="J260" s="338" t="s">
        <v>1435</v>
      </c>
      <c r="K260" s="343">
        <v>150000</v>
      </c>
      <c r="L260" s="339" t="s">
        <v>2057</v>
      </c>
      <c r="M260" s="340" t="s">
        <v>14</v>
      </c>
    </row>
    <row r="261" spans="1:13" ht="56">
      <c r="A261" s="338" t="s">
        <v>9942</v>
      </c>
      <c r="B261" s="338" t="s">
        <v>10087</v>
      </c>
      <c r="C261" s="338" t="s">
        <v>9944</v>
      </c>
      <c r="D261" s="338" t="s">
        <v>11317</v>
      </c>
      <c r="E261" s="338" t="s">
        <v>29</v>
      </c>
      <c r="F261" s="338" t="s">
        <v>21</v>
      </c>
      <c r="G261" s="338" t="s">
        <v>74</v>
      </c>
      <c r="H261" s="338" t="s">
        <v>26</v>
      </c>
      <c r="I261" s="338" t="s">
        <v>11271</v>
      </c>
      <c r="J261" s="338" t="s">
        <v>1435</v>
      </c>
      <c r="K261" s="343">
        <v>150000</v>
      </c>
      <c r="L261" s="339" t="s">
        <v>2057</v>
      </c>
      <c r="M261" s="340" t="s">
        <v>14</v>
      </c>
    </row>
    <row r="262" spans="1:13" ht="56">
      <c r="A262" s="338" t="s">
        <v>9942</v>
      </c>
      <c r="B262" s="338" t="s">
        <v>10088</v>
      </c>
      <c r="C262" s="338" t="s">
        <v>9944</v>
      </c>
      <c r="D262" s="338" t="s">
        <v>11317</v>
      </c>
      <c r="E262" s="338" t="s">
        <v>29</v>
      </c>
      <c r="F262" s="338" t="s">
        <v>21</v>
      </c>
      <c r="G262" s="338" t="s">
        <v>72</v>
      </c>
      <c r="H262" s="338" t="s">
        <v>26</v>
      </c>
      <c r="I262" s="338" t="s">
        <v>11271</v>
      </c>
      <c r="J262" s="338" t="s">
        <v>1435</v>
      </c>
      <c r="K262" s="343">
        <v>150000</v>
      </c>
      <c r="L262" s="339" t="s">
        <v>2057</v>
      </c>
      <c r="M262" s="340" t="s">
        <v>14</v>
      </c>
    </row>
    <row r="263" spans="1:13" ht="56">
      <c r="A263" s="338" t="s">
        <v>9942</v>
      </c>
      <c r="B263" s="338" t="s">
        <v>10089</v>
      </c>
      <c r="C263" s="338" t="s">
        <v>9944</v>
      </c>
      <c r="D263" s="338" t="s">
        <v>11317</v>
      </c>
      <c r="E263" s="338" t="s">
        <v>29</v>
      </c>
      <c r="F263" s="338" t="s">
        <v>21</v>
      </c>
      <c r="G263" s="338" t="s">
        <v>70</v>
      </c>
      <c r="H263" s="338" t="s">
        <v>42</v>
      </c>
      <c r="I263" s="338" t="s">
        <v>11271</v>
      </c>
      <c r="J263" s="338" t="s">
        <v>1435</v>
      </c>
      <c r="K263" s="343">
        <v>190000</v>
      </c>
      <c r="L263" s="339" t="s">
        <v>2057</v>
      </c>
      <c r="M263" s="340" t="s">
        <v>14</v>
      </c>
    </row>
    <row r="264" spans="1:13" ht="56">
      <c r="A264" s="338" t="s">
        <v>9942</v>
      </c>
      <c r="B264" s="338" t="s">
        <v>10090</v>
      </c>
      <c r="C264" s="338" t="s">
        <v>9944</v>
      </c>
      <c r="D264" s="338" t="s">
        <v>11318</v>
      </c>
      <c r="E264" s="338" t="s">
        <v>29</v>
      </c>
      <c r="F264" s="338" t="s">
        <v>21</v>
      </c>
      <c r="G264" s="338" t="s">
        <v>70</v>
      </c>
      <c r="H264" s="338" t="s">
        <v>26</v>
      </c>
      <c r="I264" s="338" t="s">
        <v>11271</v>
      </c>
      <c r="J264" s="338" t="s">
        <v>1435</v>
      </c>
      <c r="K264" s="343">
        <v>150000</v>
      </c>
      <c r="L264" s="339" t="s">
        <v>2057</v>
      </c>
      <c r="M264" s="340" t="s">
        <v>14</v>
      </c>
    </row>
    <row r="265" spans="1:13" ht="56">
      <c r="A265" s="338" t="s">
        <v>9942</v>
      </c>
      <c r="B265" s="338" t="s">
        <v>10092</v>
      </c>
      <c r="C265" s="338" t="s">
        <v>9944</v>
      </c>
      <c r="D265" s="338" t="s">
        <v>11318</v>
      </c>
      <c r="E265" s="338" t="s">
        <v>29</v>
      </c>
      <c r="F265" s="338" t="s">
        <v>21</v>
      </c>
      <c r="G265" s="338" t="s">
        <v>74</v>
      </c>
      <c r="H265" s="338" t="s">
        <v>26</v>
      </c>
      <c r="I265" s="338" t="s">
        <v>11271</v>
      </c>
      <c r="J265" s="338" t="s">
        <v>1435</v>
      </c>
      <c r="K265" s="343">
        <v>150000</v>
      </c>
      <c r="L265" s="339" t="s">
        <v>2057</v>
      </c>
      <c r="M265" s="340" t="s">
        <v>14</v>
      </c>
    </row>
    <row r="266" spans="1:13" ht="56">
      <c r="A266" s="338" t="s">
        <v>9942</v>
      </c>
      <c r="B266" s="338" t="s">
        <v>10093</v>
      </c>
      <c r="C266" s="338" t="s">
        <v>9944</v>
      </c>
      <c r="D266" s="338" t="s">
        <v>11318</v>
      </c>
      <c r="E266" s="338" t="s">
        <v>29</v>
      </c>
      <c r="F266" s="338" t="s">
        <v>21</v>
      </c>
      <c r="G266" s="338" t="s">
        <v>72</v>
      </c>
      <c r="H266" s="338" t="s">
        <v>26</v>
      </c>
      <c r="I266" s="338" t="s">
        <v>11271</v>
      </c>
      <c r="J266" s="338" t="s">
        <v>1435</v>
      </c>
      <c r="K266" s="343">
        <v>150000</v>
      </c>
      <c r="L266" s="339" t="s">
        <v>2057</v>
      </c>
      <c r="M266" s="340" t="s">
        <v>14</v>
      </c>
    </row>
    <row r="267" spans="1:13" ht="56">
      <c r="A267" s="338" t="s">
        <v>9942</v>
      </c>
      <c r="B267" s="338" t="s">
        <v>10094</v>
      </c>
      <c r="C267" s="338" t="s">
        <v>9944</v>
      </c>
      <c r="D267" s="338" t="s">
        <v>11319</v>
      </c>
      <c r="E267" s="338" t="s">
        <v>29</v>
      </c>
      <c r="F267" s="338" t="s">
        <v>21</v>
      </c>
      <c r="G267" s="338" t="s">
        <v>70</v>
      </c>
      <c r="H267" s="338" t="s">
        <v>26</v>
      </c>
      <c r="I267" s="338" t="s">
        <v>11271</v>
      </c>
      <c r="J267" s="338" t="s">
        <v>1435</v>
      </c>
      <c r="K267" s="343">
        <v>150000</v>
      </c>
      <c r="L267" s="339" t="s">
        <v>2057</v>
      </c>
      <c r="M267" s="340" t="s">
        <v>14</v>
      </c>
    </row>
    <row r="268" spans="1:13" ht="56">
      <c r="A268" s="338" t="s">
        <v>9942</v>
      </c>
      <c r="B268" s="338" t="s">
        <v>10096</v>
      </c>
      <c r="C268" s="338" t="s">
        <v>9944</v>
      </c>
      <c r="D268" s="338" t="s">
        <v>11319</v>
      </c>
      <c r="E268" s="338" t="s">
        <v>29</v>
      </c>
      <c r="F268" s="338" t="s">
        <v>21</v>
      </c>
      <c r="G268" s="338" t="s">
        <v>74</v>
      </c>
      <c r="H268" s="338" t="s">
        <v>26</v>
      </c>
      <c r="I268" s="338" t="s">
        <v>11271</v>
      </c>
      <c r="J268" s="338" t="s">
        <v>1435</v>
      </c>
      <c r="K268" s="343">
        <v>150000</v>
      </c>
      <c r="L268" s="339" t="s">
        <v>2057</v>
      </c>
      <c r="M268" s="340" t="s">
        <v>14</v>
      </c>
    </row>
    <row r="269" spans="1:13" ht="56">
      <c r="A269" s="338" t="s">
        <v>9942</v>
      </c>
      <c r="B269" s="338" t="s">
        <v>10097</v>
      </c>
      <c r="C269" s="338" t="s">
        <v>9944</v>
      </c>
      <c r="D269" s="338" t="s">
        <v>11319</v>
      </c>
      <c r="E269" s="338" t="s">
        <v>29</v>
      </c>
      <c r="F269" s="338" t="s">
        <v>21</v>
      </c>
      <c r="G269" s="338" t="s">
        <v>72</v>
      </c>
      <c r="H269" s="338" t="s">
        <v>26</v>
      </c>
      <c r="I269" s="338" t="s">
        <v>11271</v>
      </c>
      <c r="J269" s="338" t="s">
        <v>1435</v>
      </c>
      <c r="K269" s="343">
        <v>150000</v>
      </c>
      <c r="L269" s="339" t="s">
        <v>2057</v>
      </c>
      <c r="M269" s="340" t="s">
        <v>14</v>
      </c>
    </row>
    <row r="270" spans="1:13" ht="56">
      <c r="A270" s="338" t="s">
        <v>9942</v>
      </c>
      <c r="B270" s="338" t="s">
        <v>10098</v>
      </c>
      <c r="C270" s="338" t="s">
        <v>9944</v>
      </c>
      <c r="D270" s="338" t="s">
        <v>11318</v>
      </c>
      <c r="E270" s="338" t="s">
        <v>29</v>
      </c>
      <c r="F270" s="338" t="s">
        <v>21</v>
      </c>
      <c r="G270" s="338" t="s">
        <v>70</v>
      </c>
      <c r="H270" s="338" t="s">
        <v>42</v>
      </c>
      <c r="I270" s="338" t="s">
        <v>11271</v>
      </c>
      <c r="J270" s="338" t="s">
        <v>1435</v>
      </c>
      <c r="K270" s="343">
        <v>190000</v>
      </c>
      <c r="L270" s="339" t="s">
        <v>2057</v>
      </c>
      <c r="M270" s="340" t="s">
        <v>14</v>
      </c>
    </row>
    <row r="271" spans="1:13" ht="56">
      <c r="A271" s="338" t="s">
        <v>9942</v>
      </c>
      <c r="B271" s="338" t="s">
        <v>10099</v>
      </c>
      <c r="C271" s="338" t="s">
        <v>9944</v>
      </c>
      <c r="D271" s="338" t="s">
        <v>11320</v>
      </c>
      <c r="E271" s="338" t="s">
        <v>29</v>
      </c>
      <c r="F271" s="338" t="s">
        <v>21</v>
      </c>
      <c r="G271" s="338" t="s">
        <v>70</v>
      </c>
      <c r="H271" s="338" t="s">
        <v>26</v>
      </c>
      <c r="I271" s="338" t="s">
        <v>11271</v>
      </c>
      <c r="J271" s="338" t="s">
        <v>1435</v>
      </c>
      <c r="K271" s="343">
        <v>150000</v>
      </c>
      <c r="L271" s="339" t="s">
        <v>2057</v>
      </c>
      <c r="M271" s="340" t="s">
        <v>14</v>
      </c>
    </row>
    <row r="272" spans="1:13" ht="56">
      <c r="A272" s="338" t="s">
        <v>9942</v>
      </c>
      <c r="B272" s="338" t="s">
        <v>10101</v>
      </c>
      <c r="C272" s="338" t="s">
        <v>9944</v>
      </c>
      <c r="D272" s="338" t="s">
        <v>11320</v>
      </c>
      <c r="E272" s="338" t="s">
        <v>29</v>
      </c>
      <c r="F272" s="338" t="s">
        <v>21</v>
      </c>
      <c r="G272" s="338" t="s">
        <v>74</v>
      </c>
      <c r="H272" s="338" t="s">
        <v>26</v>
      </c>
      <c r="I272" s="338" t="s">
        <v>11271</v>
      </c>
      <c r="J272" s="338" t="s">
        <v>1435</v>
      </c>
      <c r="K272" s="343">
        <v>150000</v>
      </c>
      <c r="L272" s="339" t="s">
        <v>2057</v>
      </c>
      <c r="M272" s="340" t="s">
        <v>14</v>
      </c>
    </row>
    <row r="273" spans="1:13" ht="56">
      <c r="A273" s="338" t="s">
        <v>9942</v>
      </c>
      <c r="B273" s="338" t="s">
        <v>10102</v>
      </c>
      <c r="C273" s="338" t="s">
        <v>9944</v>
      </c>
      <c r="D273" s="338" t="s">
        <v>11320</v>
      </c>
      <c r="E273" s="338" t="s">
        <v>29</v>
      </c>
      <c r="F273" s="338" t="s">
        <v>21</v>
      </c>
      <c r="G273" s="338" t="s">
        <v>72</v>
      </c>
      <c r="H273" s="338" t="s">
        <v>26</v>
      </c>
      <c r="I273" s="338" t="s">
        <v>11271</v>
      </c>
      <c r="J273" s="338" t="s">
        <v>1435</v>
      </c>
      <c r="K273" s="343">
        <v>150000</v>
      </c>
      <c r="L273" s="339" t="s">
        <v>2057</v>
      </c>
      <c r="M273" s="340" t="s">
        <v>14</v>
      </c>
    </row>
    <row r="274" spans="1:13" ht="56">
      <c r="A274" s="338" t="s">
        <v>9942</v>
      </c>
      <c r="B274" s="338" t="s">
        <v>10103</v>
      </c>
      <c r="C274" s="338" t="s">
        <v>9944</v>
      </c>
      <c r="D274" s="338" t="s">
        <v>11320</v>
      </c>
      <c r="E274" s="338" t="s">
        <v>29</v>
      </c>
      <c r="F274" s="338" t="s">
        <v>21</v>
      </c>
      <c r="G274" s="338" t="s">
        <v>70</v>
      </c>
      <c r="H274" s="338" t="s">
        <v>42</v>
      </c>
      <c r="I274" s="338" t="s">
        <v>11271</v>
      </c>
      <c r="J274" s="338" t="s">
        <v>1435</v>
      </c>
      <c r="K274" s="343">
        <v>190000</v>
      </c>
      <c r="L274" s="339" t="s">
        <v>2057</v>
      </c>
      <c r="M274" s="340" t="s">
        <v>14</v>
      </c>
    </row>
    <row r="275" spans="1:13" ht="56">
      <c r="A275" s="338" t="s">
        <v>9942</v>
      </c>
      <c r="B275" s="338" t="s">
        <v>10104</v>
      </c>
      <c r="C275" s="338" t="s">
        <v>9944</v>
      </c>
      <c r="D275" s="338" t="s">
        <v>11311</v>
      </c>
      <c r="E275" s="338" t="s">
        <v>128</v>
      </c>
      <c r="F275" s="338" t="s">
        <v>21</v>
      </c>
      <c r="G275" s="338" t="s">
        <v>70</v>
      </c>
      <c r="H275" s="338" t="s">
        <v>42</v>
      </c>
      <c r="I275" s="338" t="s">
        <v>167</v>
      </c>
      <c r="J275" s="338" t="s">
        <v>1435</v>
      </c>
      <c r="K275" s="343">
        <v>20000000</v>
      </c>
      <c r="L275" s="339" t="s">
        <v>2057</v>
      </c>
      <c r="M275" s="340" t="s">
        <v>14</v>
      </c>
    </row>
    <row r="276" spans="1:13" ht="56">
      <c r="A276" s="338" t="s">
        <v>9942</v>
      </c>
      <c r="B276" s="338" t="s">
        <v>10105</v>
      </c>
      <c r="C276" s="338" t="s">
        <v>9944</v>
      </c>
      <c r="D276" s="338" t="s">
        <v>11311</v>
      </c>
      <c r="E276" s="338" t="s">
        <v>128</v>
      </c>
      <c r="F276" s="338" t="s">
        <v>21</v>
      </c>
      <c r="G276" s="338" t="s">
        <v>74</v>
      </c>
      <c r="H276" s="338" t="s">
        <v>42</v>
      </c>
      <c r="I276" s="338" t="s">
        <v>167</v>
      </c>
      <c r="J276" s="338" t="s">
        <v>1435</v>
      </c>
      <c r="K276" s="343">
        <v>24000000</v>
      </c>
      <c r="L276" s="339" t="s">
        <v>2057</v>
      </c>
      <c r="M276" s="340" t="s">
        <v>14</v>
      </c>
    </row>
    <row r="277" spans="1:13" ht="56">
      <c r="A277" s="338" t="s">
        <v>9942</v>
      </c>
      <c r="B277" s="338" t="s">
        <v>10106</v>
      </c>
      <c r="C277" s="338" t="s">
        <v>9944</v>
      </c>
      <c r="D277" s="338" t="s">
        <v>11312</v>
      </c>
      <c r="E277" s="338" t="s">
        <v>128</v>
      </c>
      <c r="F277" s="338" t="s">
        <v>21</v>
      </c>
      <c r="G277" s="338" t="s">
        <v>70</v>
      </c>
      <c r="H277" s="338" t="s">
        <v>42</v>
      </c>
      <c r="I277" s="338" t="s">
        <v>167</v>
      </c>
      <c r="J277" s="338" t="s">
        <v>1435</v>
      </c>
      <c r="K277" s="343">
        <v>20000000</v>
      </c>
      <c r="L277" s="339" t="s">
        <v>2057</v>
      </c>
      <c r="M277" s="340" t="s">
        <v>14</v>
      </c>
    </row>
    <row r="278" spans="1:13" ht="56">
      <c r="A278" s="338" t="s">
        <v>9942</v>
      </c>
      <c r="B278" s="338" t="s">
        <v>10107</v>
      </c>
      <c r="C278" s="338" t="s">
        <v>9944</v>
      </c>
      <c r="D278" s="338" t="s">
        <v>11312</v>
      </c>
      <c r="E278" s="338" t="s">
        <v>128</v>
      </c>
      <c r="F278" s="338" t="s">
        <v>21</v>
      </c>
      <c r="G278" s="338" t="s">
        <v>74</v>
      </c>
      <c r="H278" s="338" t="s">
        <v>42</v>
      </c>
      <c r="I278" s="338" t="s">
        <v>167</v>
      </c>
      <c r="J278" s="338" t="s">
        <v>1435</v>
      </c>
      <c r="K278" s="343">
        <v>24000000</v>
      </c>
      <c r="L278" s="339" t="s">
        <v>2057</v>
      </c>
      <c r="M278" s="340" t="s">
        <v>14</v>
      </c>
    </row>
    <row r="279" spans="1:13" ht="56">
      <c r="A279" s="338" t="s">
        <v>9942</v>
      </c>
      <c r="B279" s="338" t="s">
        <v>10108</v>
      </c>
      <c r="C279" s="338" t="s">
        <v>9944</v>
      </c>
      <c r="D279" s="338" t="s">
        <v>11313</v>
      </c>
      <c r="E279" s="338" t="s">
        <v>128</v>
      </c>
      <c r="F279" s="338" t="s">
        <v>21</v>
      </c>
      <c r="G279" s="338" t="s">
        <v>70</v>
      </c>
      <c r="H279" s="338" t="s">
        <v>42</v>
      </c>
      <c r="I279" s="338" t="s">
        <v>167</v>
      </c>
      <c r="J279" s="338" t="s">
        <v>1435</v>
      </c>
      <c r="K279" s="343">
        <v>20000000</v>
      </c>
      <c r="L279" s="339" t="s">
        <v>2057</v>
      </c>
      <c r="M279" s="340" t="s">
        <v>14</v>
      </c>
    </row>
    <row r="280" spans="1:13" ht="56">
      <c r="A280" s="338" t="s">
        <v>9942</v>
      </c>
      <c r="B280" s="338" t="s">
        <v>10109</v>
      </c>
      <c r="C280" s="338" t="s">
        <v>9944</v>
      </c>
      <c r="D280" s="338" t="s">
        <v>11313</v>
      </c>
      <c r="E280" s="338" t="s">
        <v>128</v>
      </c>
      <c r="F280" s="338" t="s">
        <v>21</v>
      </c>
      <c r="G280" s="338" t="s">
        <v>74</v>
      </c>
      <c r="H280" s="338" t="s">
        <v>42</v>
      </c>
      <c r="I280" s="338" t="s">
        <v>167</v>
      </c>
      <c r="J280" s="338" t="s">
        <v>1435</v>
      </c>
      <c r="K280" s="343">
        <v>24000000</v>
      </c>
      <c r="L280" s="339" t="s">
        <v>2057</v>
      </c>
      <c r="M280" s="340" t="s">
        <v>14</v>
      </c>
    </row>
    <row r="281" spans="1:13" ht="56">
      <c r="A281" s="338" t="s">
        <v>9942</v>
      </c>
      <c r="B281" s="338" t="s">
        <v>10110</v>
      </c>
      <c r="C281" s="338" t="s">
        <v>9944</v>
      </c>
      <c r="D281" s="338" t="s">
        <v>11314</v>
      </c>
      <c r="E281" s="338" t="s">
        <v>128</v>
      </c>
      <c r="F281" s="338" t="s">
        <v>21</v>
      </c>
      <c r="G281" s="338" t="s">
        <v>70</v>
      </c>
      <c r="H281" s="338" t="s">
        <v>42</v>
      </c>
      <c r="I281" s="338" t="s">
        <v>167</v>
      </c>
      <c r="J281" s="338" t="s">
        <v>1435</v>
      </c>
      <c r="K281" s="343">
        <v>20000000</v>
      </c>
      <c r="L281" s="339" t="s">
        <v>2057</v>
      </c>
      <c r="M281" s="340" t="s">
        <v>14</v>
      </c>
    </row>
    <row r="282" spans="1:13" ht="56">
      <c r="A282" s="338" t="s">
        <v>9942</v>
      </c>
      <c r="B282" s="338" t="s">
        <v>10111</v>
      </c>
      <c r="C282" s="338" t="s">
        <v>9944</v>
      </c>
      <c r="D282" s="338" t="s">
        <v>11314</v>
      </c>
      <c r="E282" s="338" t="s">
        <v>128</v>
      </c>
      <c r="F282" s="338" t="s">
        <v>21</v>
      </c>
      <c r="G282" s="338" t="s">
        <v>74</v>
      </c>
      <c r="H282" s="338" t="s">
        <v>42</v>
      </c>
      <c r="I282" s="338" t="s">
        <v>167</v>
      </c>
      <c r="J282" s="338" t="s">
        <v>1435</v>
      </c>
      <c r="K282" s="343">
        <v>24000000</v>
      </c>
      <c r="L282" s="339" t="s">
        <v>2057</v>
      </c>
      <c r="M282" s="340" t="s">
        <v>14</v>
      </c>
    </row>
    <row r="283" spans="1:13" ht="56">
      <c r="A283" s="338" t="s">
        <v>9942</v>
      </c>
      <c r="B283" s="338" t="s">
        <v>10112</v>
      </c>
      <c r="C283" s="338" t="s">
        <v>9944</v>
      </c>
      <c r="D283" s="338" t="s">
        <v>11315</v>
      </c>
      <c r="E283" s="338" t="s">
        <v>128</v>
      </c>
      <c r="F283" s="338" t="s">
        <v>21</v>
      </c>
      <c r="G283" s="338" t="s">
        <v>70</v>
      </c>
      <c r="H283" s="338" t="s">
        <v>42</v>
      </c>
      <c r="I283" s="338" t="s">
        <v>11271</v>
      </c>
      <c r="J283" s="338" t="s">
        <v>1435</v>
      </c>
      <c r="K283" s="343">
        <v>20000000</v>
      </c>
      <c r="L283" s="339" t="s">
        <v>2057</v>
      </c>
      <c r="M283" s="340" t="s">
        <v>14</v>
      </c>
    </row>
    <row r="284" spans="1:13" ht="56">
      <c r="A284" s="338" t="s">
        <v>9942</v>
      </c>
      <c r="B284" s="338" t="s">
        <v>10113</v>
      </c>
      <c r="C284" s="338" t="s">
        <v>9944</v>
      </c>
      <c r="D284" s="338" t="s">
        <v>11315</v>
      </c>
      <c r="E284" s="338" t="s">
        <v>128</v>
      </c>
      <c r="F284" s="338" t="s">
        <v>21</v>
      </c>
      <c r="G284" s="338" t="s">
        <v>74</v>
      </c>
      <c r="H284" s="338" t="s">
        <v>42</v>
      </c>
      <c r="I284" s="338" t="s">
        <v>11271</v>
      </c>
      <c r="J284" s="338" t="s">
        <v>1435</v>
      </c>
      <c r="K284" s="343">
        <v>24000000</v>
      </c>
      <c r="L284" s="339" t="s">
        <v>2057</v>
      </c>
      <c r="M284" s="340" t="s">
        <v>14</v>
      </c>
    </row>
    <row r="285" spans="1:13" ht="56">
      <c r="A285" s="338" t="s">
        <v>9942</v>
      </c>
      <c r="B285" s="338" t="s">
        <v>10114</v>
      </c>
      <c r="C285" s="338" t="s">
        <v>9944</v>
      </c>
      <c r="D285" s="338" t="s">
        <v>11316</v>
      </c>
      <c r="E285" s="338" t="s">
        <v>128</v>
      </c>
      <c r="F285" s="338" t="s">
        <v>21</v>
      </c>
      <c r="G285" s="338" t="s">
        <v>70</v>
      </c>
      <c r="H285" s="338" t="s">
        <v>42</v>
      </c>
      <c r="I285" s="338" t="s">
        <v>11271</v>
      </c>
      <c r="J285" s="338" t="s">
        <v>1435</v>
      </c>
      <c r="K285" s="343">
        <v>20000000</v>
      </c>
      <c r="L285" s="339" t="s">
        <v>2057</v>
      </c>
      <c r="M285" s="340" t="s">
        <v>14</v>
      </c>
    </row>
    <row r="286" spans="1:13" ht="56">
      <c r="A286" s="338" t="s">
        <v>9942</v>
      </c>
      <c r="B286" s="338" t="s">
        <v>10115</v>
      </c>
      <c r="C286" s="338" t="s">
        <v>9944</v>
      </c>
      <c r="D286" s="338" t="s">
        <v>11316</v>
      </c>
      <c r="E286" s="338" t="s">
        <v>128</v>
      </c>
      <c r="F286" s="338" t="s">
        <v>21</v>
      </c>
      <c r="G286" s="338" t="s">
        <v>74</v>
      </c>
      <c r="H286" s="338" t="s">
        <v>42</v>
      </c>
      <c r="I286" s="338" t="s">
        <v>11271</v>
      </c>
      <c r="J286" s="338" t="s">
        <v>1435</v>
      </c>
      <c r="K286" s="343">
        <v>24000000</v>
      </c>
      <c r="L286" s="339" t="s">
        <v>2057</v>
      </c>
      <c r="M286" s="340" t="s">
        <v>14</v>
      </c>
    </row>
    <row r="287" spans="1:13" ht="56">
      <c r="A287" s="338" t="s">
        <v>9942</v>
      </c>
      <c r="B287" s="338" t="s">
        <v>10116</v>
      </c>
      <c r="C287" s="338" t="s">
        <v>9944</v>
      </c>
      <c r="D287" s="338" t="s">
        <v>11317</v>
      </c>
      <c r="E287" s="338" t="s">
        <v>128</v>
      </c>
      <c r="F287" s="338" t="s">
        <v>21</v>
      </c>
      <c r="G287" s="338" t="s">
        <v>70</v>
      </c>
      <c r="H287" s="338" t="s">
        <v>42</v>
      </c>
      <c r="I287" s="338" t="s">
        <v>11271</v>
      </c>
      <c r="J287" s="338" t="s">
        <v>1435</v>
      </c>
      <c r="K287" s="343">
        <v>20000000</v>
      </c>
      <c r="L287" s="339" t="s">
        <v>2057</v>
      </c>
      <c r="M287" s="340" t="s">
        <v>14</v>
      </c>
    </row>
    <row r="288" spans="1:13" ht="56">
      <c r="A288" s="338" t="s">
        <v>9942</v>
      </c>
      <c r="B288" s="338" t="s">
        <v>10117</v>
      </c>
      <c r="C288" s="338" t="s">
        <v>9944</v>
      </c>
      <c r="D288" s="338" t="s">
        <v>11317</v>
      </c>
      <c r="E288" s="338" t="s">
        <v>128</v>
      </c>
      <c r="F288" s="338" t="s">
        <v>21</v>
      </c>
      <c r="G288" s="338" t="s">
        <v>74</v>
      </c>
      <c r="H288" s="338" t="s">
        <v>42</v>
      </c>
      <c r="I288" s="338" t="s">
        <v>11271</v>
      </c>
      <c r="J288" s="338" t="s">
        <v>1435</v>
      </c>
      <c r="K288" s="343">
        <v>24000000</v>
      </c>
      <c r="L288" s="339" t="s">
        <v>2057</v>
      </c>
      <c r="M288" s="340" t="s">
        <v>14</v>
      </c>
    </row>
    <row r="289" spans="1:13" ht="56">
      <c r="A289" s="338" t="s">
        <v>9942</v>
      </c>
      <c r="B289" s="338" t="s">
        <v>10118</v>
      </c>
      <c r="C289" s="338" t="s">
        <v>9944</v>
      </c>
      <c r="D289" s="338" t="s">
        <v>11318</v>
      </c>
      <c r="E289" s="338" t="s">
        <v>128</v>
      </c>
      <c r="F289" s="338" t="s">
        <v>21</v>
      </c>
      <c r="G289" s="338" t="s">
        <v>70</v>
      </c>
      <c r="H289" s="338" t="s">
        <v>42</v>
      </c>
      <c r="I289" s="338" t="s">
        <v>11271</v>
      </c>
      <c r="J289" s="338" t="s">
        <v>1435</v>
      </c>
      <c r="K289" s="343">
        <v>20000000</v>
      </c>
      <c r="L289" s="339" t="s">
        <v>2057</v>
      </c>
      <c r="M289" s="340" t="s">
        <v>14</v>
      </c>
    </row>
    <row r="290" spans="1:13" ht="56">
      <c r="A290" s="338" t="s">
        <v>9942</v>
      </c>
      <c r="B290" s="338" t="s">
        <v>10119</v>
      </c>
      <c r="C290" s="338" t="s">
        <v>9944</v>
      </c>
      <c r="D290" s="338" t="s">
        <v>11318</v>
      </c>
      <c r="E290" s="338" t="s">
        <v>128</v>
      </c>
      <c r="F290" s="338" t="s">
        <v>21</v>
      </c>
      <c r="G290" s="338" t="s">
        <v>74</v>
      </c>
      <c r="H290" s="338" t="s">
        <v>42</v>
      </c>
      <c r="I290" s="338" t="s">
        <v>11271</v>
      </c>
      <c r="J290" s="338" t="s">
        <v>1435</v>
      </c>
      <c r="K290" s="343">
        <v>24000000</v>
      </c>
      <c r="L290" s="339" t="s">
        <v>2057</v>
      </c>
      <c r="M290" s="340" t="s">
        <v>14</v>
      </c>
    </row>
    <row r="291" spans="1:13" ht="56">
      <c r="A291" s="338" t="s">
        <v>9942</v>
      </c>
      <c r="B291" s="338" t="s">
        <v>10120</v>
      </c>
      <c r="C291" s="338" t="s">
        <v>9944</v>
      </c>
      <c r="D291" s="338" t="s">
        <v>11320</v>
      </c>
      <c r="E291" s="338" t="s">
        <v>128</v>
      </c>
      <c r="F291" s="338" t="s">
        <v>21</v>
      </c>
      <c r="G291" s="338" t="s">
        <v>70</v>
      </c>
      <c r="H291" s="338" t="s">
        <v>42</v>
      </c>
      <c r="I291" s="338" t="s">
        <v>11271</v>
      </c>
      <c r="J291" s="338" t="s">
        <v>1435</v>
      </c>
      <c r="K291" s="343">
        <v>20000000</v>
      </c>
      <c r="L291" s="339" t="s">
        <v>2057</v>
      </c>
      <c r="M291" s="340" t="s">
        <v>14</v>
      </c>
    </row>
    <row r="292" spans="1:13" ht="56">
      <c r="A292" s="338" t="s">
        <v>9942</v>
      </c>
      <c r="B292" s="338" t="s">
        <v>10121</v>
      </c>
      <c r="C292" s="338" t="s">
        <v>9944</v>
      </c>
      <c r="D292" s="338" t="s">
        <v>11320</v>
      </c>
      <c r="E292" s="338" t="s">
        <v>128</v>
      </c>
      <c r="F292" s="338" t="s">
        <v>21</v>
      </c>
      <c r="G292" s="338" t="s">
        <v>74</v>
      </c>
      <c r="H292" s="338" t="s">
        <v>42</v>
      </c>
      <c r="I292" s="338" t="s">
        <v>11271</v>
      </c>
      <c r="J292" s="338" t="s">
        <v>1435</v>
      </c>
      <c r="K292" s="343">
        <v>24000000</v>
      </c>
      <c r="L292" s="339" t="s">
        <v>2057</v>
      </c>
      <c r="M292" s="340" t="s">
        <v>14</v>
      </c>
    </row>
    <row r="293" spans="1:13" ht="56">
      <c r="A293" s="338" t="s">
        <v>9942</v>
      </c>
      <c r="B293" s="338" t="s">
        <v>10122</v>
      </c>
      <c r="C293" s="338" t="s">
        <v>9944</v>
      </c>
      <c r="D293" s="338" t="s">
        <v>10123</v>
      </c>
      <c r="E293" s="338" t="s">
        <v>6660</v>
      </c>
      <c r="F293" s="338" t="s">
        <v>21</v>
      </c>
      <c r="G293" s="338" t="s">
        <v>70</v>
      </c>
      <c r="H293" s="338" t="s">
        <v>251</v>
      </c>
      <c r="I293" s="338" t="s">
        <v>251</v>
      </c>
      <c r="J293" s="338" t="s">
        <v>1435</v>
      </c>
      <c r="K293" s="343">
        <v>0.2</v>
      </c>
      <c r="L293" s="339" t="s">
        <v>173</v>
      </c>
      <c r="M293" s="340" t="s">
        <v>175</v>
      </c>
    </row>
    <row r="294" spans="1:13" ht="56">
      <c r="A294" s="338" t="s">
        <v>9942</v>
      </c>
      <c r="B294" s="338" t="s">
        <v>10124</v>
      </c>
      <c r="C294" s="338" t="s">
        <v>9944</v>
      </c>
      <c r="D294" s="338" t="s">
        <v>10125</v>
      </c>
      <c r="E294" s="338" t="s">
        <v>6666</v>
      </c>
      <c r="F294" s="338" t="s">
        <v>21</v>
      </c>
      <c r="G294" s="338" t="s">
        <v>74</v>
      </c>
      <c r="H294" s="338" t="s">
        <v>251</v>
      </c>
      <c r="I294" s="338" t="s">
        <v>251</v>
      </c>
      <c r="J294" s="338" t="s">
        <v>1435</v>
      </c>
      <c r="K294" s="343">
        <v>0.2</v>
      </c>
      <c r="L294" s="339" t="s">
        <v>173</v>
      </c>
      <c r="M294" s="340" t="s">
        <v>175</v>
      </c>
    </row>
    <row r="295" spans="1:13" ht="56">
      <c r="A295" s="338" t="s">
        <v>9942</v>
      </c>
      <c r="B295" s="338" t="s">
        <v>10126</v>
      </c>
      <c r="C295" s="338" t="s">
        <v>9944</v>
      </c>
      <c r="D295" s="338" t="s">
        <v>10127</v>
      </c>
      <c r="E295" s="338" t="s">
        <v>6666</v>
      </c>
      <c r="F295" s="338" t="s">
        <v>21</v>
      </c>
      <c r="G295" s="338" t="s">
        <v>72</v>
      </c>
      <c r="H295" s="338" t="s">
        <v>251</v>
      </c>
      <c r="I295" s="338" t="s">
        <v>251</v>
      </c>
      <c r="J295" s="338" t="s">
        <v>1435</v>
      </c>
      <c r="K295" s="343">
        <v>0.2</v>
      </c>
      <c r="L295" s="339" t="s">
        <v>173</v>
      </c>
      <c r="M295" s="340" t="s">
        <v>175</v>
      </c>
    </row>
    <row r="296" spans="1:13" ht="56">
      <c r="A296" s="338" t="s">
        <v>9942</v>
      </c>
      <c r="B296" s="338" t="s">
        <v>10128</v>
      </c>
      <c r="C296" s="338" t="s">
        <v>9944</v>
      </c>
      <c r="D296" s="338" t="s">
        <v>10123</v>
      </c>
      <c r="E296" s="338" t="s">
        <v>6660</v>
      </c>
      <c r="F296" s="338" t="s">
        <v>21</v>
      </c>
      <c r="G296" s="338" t="s">
        <v>70</v>
      </c>
      <c r="H296" s="338" t="s">
        <v>251</v>
      </c>
      <c r="I296" s="338" t="s">
        <v>251</v>
      </c>
      <c r="J296" s="338" t="s">
        <v>1435</v>
      </c>
      <c r="K296" s="343">
        <v>0.2</v>
      </c>
      <c r="L296" s="339" t="s">
        <v>173</v>
      </c>
      <c r="M296" s="340" t="s">
        <v>175</v>
      </c>
    </row>
    <row r="297" spans="1:13" ht="56">
      <c r="A297" s="338" t="s">
        <v>9942</v>
      </c>
      <c r="B297" s="338" t="s">
        <v>10129</v>
      </c>
      <c r="C297" s="338" t="s">
        <v>9944</v>
      </c>
      <c r="D297" s="338" t="s">
        <v>10125</v>
      </c>
      <c r="E297" s="338" t="s">
        <v>6666</v>
      </c>
      <c r="F297" s="338" t="s">
        <v>21</v>
      </c>
      <c r="G297" s="338" t="s">
        <v>74</v>
      </c>
      <c r="H297" s="338" t="s">
        <v>251</v>
      </c>
      <c r="I297" s="338" t="s">
        <v>251</v>
      </c>
      <c r="J297" s="338" t="s">
        <v>1435</v>
      </c>
      <c r="K297" s="343">
        <v>0.2</v>
      </c>
      <c r="L297" s="339" t="s">
        <v>173</v>
      </c>
      <c r="M297" s="340" t="s">
        <v>175</v>
      </c>
    </row>
    <row r="298" spans="1:13" ht="56">
      <c r="A298" s="338" t="s">
        <v>9942</v>
      </c>
      <c r="B298" s="338" t="s">
        <v>10130</v>
      </c>
      <c r="C298" s="338" t="s">
        <v>9944</v>
      </c>
      <c r="D298" s="338" t="s">
        <v>10127</v>
      </c>
      <c r="E298" s="338" t="s">
        <v>6666</v>
      </c>
      <c r="F298" s="338" t="s">
        <v>21</v>
      </c>
      <c r="G298" s="338" t="s">
        <v>72</v>
      </c>
      <c r="H298" s="338" t="s">
        <v>251</v>
      </c>
      <c r="I298" s="338" t="s">
        <v>251</v>
      </c>
      <c r="J298" s="338" t="s">
        <v>1435</v>
      </c>
      <c r="K298" s="343">
        <v>0.2</v>
      </c>
      <c r="L298" s="339" t="s">
        <v>173</v>
      </c>
      <c r="M298" s="340" t="s">
        <v>175</v>
      </c>
    </row>
    <row r="299" spans="1:13" ht="56">
      <c r="A299" s="338" t="s">
        <v>9942</v>
      </c>
      <c r="B299" s="338" t="s">
        <v>10131</v>
      </c>
      <c r="C299" s="338" t="s">
        <v>9944</v>
      </c>
      <c r="D299" s="338" t="s">
        <v>10123</v>
      </c>
      <c r="E299" s="338" t="s">
        <v>6660</v>
      </c>
      <c r="F299" s="338" t="s">
        <v>21</v>
      </c>
      <c r="G299" s="338" t="s">
        <v>70</v>
      </c>
      <c r="H299" s="338" t="s">
        <v>251</v>
      </c>
      <c r="I299" s="338" t="s">
        <v>251</v>
      </c>
      <c r="J299" s="338" t="s">
        <v>1435</v>
      </c>
      <c r="K299" s="343">
        <v>0.2</v>
      </c>
      <c r="L299" s="339" t="s">
        <v>173</v>
      </c>
      <c r="M299" s="340" t="s">
        <v>175</v>
      </c>
    </row>
    <row r="300" spans="1:13" ht="56">
      <c r="A300" s="338" t="s">
        <v>9942</v>
      </c>
      <c r="B300" s="338" t="s">
        <v>10132</v>
      </c>
      <c r="C300" s="338" t="s">
        <v>9944</v>
      </c>
      <c r="D300" s="338" t="s">
        <v>10125</v>
      </c>
      <c r="E300" s="338" t="s">
        <v>6666</v>
      </c>
      <c r="F300" s="338" t="s">
        <v>21</v>
      </c>
      <c r="G300" s="338" t="s">
        <v>74</v>
      </c>
      <c r="H300" s="338" t="s">
        <v>251</v>
      </c>
      <c r="I300" s="338" t="s">
        <v>251</v>
      </c>
      <c r="J300" s="338" t="s">
        <v>1435</v>
      </c>
      <c r="K300" s="343">
        <v>0.2</v>
      </c>
      <c r="L300" s="339" t="s">
        <v>173</v>
      </c>
      <c r="M300" s="340" t="s">
        <v>175</v>
      </c>
    </row>
    <row r="301" spans="1:13" ht="56">
      <c r="A301" s="338" t="s">
        <v>9942</v>
      </c>
      <c r="B301" s="338" t="s">
        <v>10133</v>
      </c>
      <c r="C301" s="338" t="s">
        <v>9944</v>
      </c>
      <c r="D301" s="338" t="s">
        <v>10127</v>
      </c>
      <c r="E301" s="338" t="s">
        <v>6666</v>
      </c>
      <c r="F301" s="338" t="s">
        <v>21</v>
      </c>
      <c r="G301" s="338" t="s">
        <v>72</v>
      </c>
      <c r="H301" s="338" t="s">
        <v>251</v>
      </c>
      <c r="I301" s="338" t="s">
        <v>251</v>
      </c>
      <c r="J301" s="338" t="s">
        <v>1435</v>
      </c>
      <c r="K301" s="343">
        <v>0.2</v>
      </c>
      <c r="L301" s="339" t="s">
        <v>173</v>
      </c>
      <c r="M301" s="340" t="s">
        <v>175</v>
      </c>
    </row>
    <row r="302" spans="1:13">
      <c r="A302" s="198"/>
      <c r="B302" s="198"/>
      <c r="C302" s="198"/>
      <c r="D302" s="247"/>
      <c r="E302" s="198"/>
      <c r="F302" s="198"/>
      <c r="G302" s="198"/>
      <c r="H302" s="198"/>
      <c r="I302" s="198"/>
      <c r="J302" s="200"/>
      <c r="K302" s="245"/>
      <c r="L302" s="201"/>
      <c r="M302" s="201"/>
    </row>
    <row r="303" spans="1:13">
      <c r="A303" s="198"/>
      <c r="B303" s="198"/>
      <c r="C303" s="198"/>
      <c r="D303" s="247"/>
      <c r="E303" s="198"/>
      <c r="F303" s="198"/>
      <c r="G303" s="198"/>
      <c r="H303" s="198"/>
      <c r="I303" s="198"/>
      <c r="J303" s="200"/>
      <c r="K303" s="245"/>
      <c r="L303" s="201"/>
      <c r="M303" s="201"/>
    </row>
    <row r="304" spans="1:13">
      <c r="A304" s="198"/>
      <c r="B304" s="198"/>
      <c r="C304" s="198"/>
      <c r="D304" s="247"/>
      <c r="E304" s="198"/>
      <c r="F304" s="198"/>
      <c r="G304" s="198"/>
      <c r="H304" s="198"/>
      <c r="I304" s="198"/>
      <c r="J304" s="200"/>
      <c r="K304" s="248"/>
      <c r="L304" s="201"/>
      <c r="M304" s="201"/>
    </row>
    <row r="305" spans="1:13">
      <c r="A305" s="198"/>
      <c r="B305" s="198"/>
      <c r="C305" s="198"/>
      <c r="D305" s="247"/>
      <c r="E305" s="198"/>
      <c r="F305" s="198"/>
      <c r="G305" s="198"/>
      <c r="H305" s="198"/>
      <c r="I305" s="198"/>
      <c r="J305" s="200"/>
      <c r="K305" s="245"/>
      <c r="L305" s="201"/>
      <c r="M305" s="201"/>
    </row>
    <row r="306" spans="1:13">
      <c r="A306" s="198"/>
      <c r="B306" s="198"/>
      <c r="C306" s="198"/>
      <c r="D306" s="247"/>
      <c r="E306" s="198"/>
      <c r="F306" s="198"/>
      <c r="G306" s="198"/>
      <c r="H306" s="198"/>
      <c r="I306" s="198"/>
      <c r="J306" s="200"/>
      <c r="K306" s="245"/>
      <c r="L306" s="201"/>
      <c r="M306" s="201"/>
    </row>
    <row r="307" spans="1:13">
      <c r="A307" s="198"/>
      <c r="B307" s="198"/>
      <c r="C307" s="198"/>
      <c r="D307" s="247"/>
      <c r="E307" s="198"/>
      <c r="F307" s="198"/>
      <c r="G307" s="198"/>
      <c r="H307" s="198"/>
      <c r="I307" s="198"/>
      <c r="J307" s="200"/>
      <c r="K307" s="245"/>
      <c r="L307" s="201"/>
      <c r="M307" s="201"/>
    </row>
    <row r="308" spans="1:13">
      <c r="A308" s="198"/>
      <c r="B308" s="198"/>
      <c r="C308" s="198"/>
      <c r="D308" s="247"/>
      <c r="E308" s="198"/>
      <c r="F308" s="198"/>
      <c r="G308" s="198"/>
      <c r="H308" s="198"/>
      <c r="I308" s="198"/>
      <c r="J308" s="200"/>
      <c r="K308" s="248"/>
      <c r="L308" s="201"/>
      <c r="M308" s="201"/>
    </row>
    <row r="309" spans="1:13">
      <c r="A309" s="198"/>
      <c r="B309" s="198"/>
      <c r="C309" s="198"/>
      <c r="D309" s="247"/>
      <c r="E309" s="198"/>
      <c r="F309" s="198"/>
      <c r="G309" s="198"/>
      <c r="H309" s="198"/>
      <c r="I309" s="198"/>
      <c r="J309" s="200"/>
      <c r="K309" s="245"/>
      <c r="L309" s="201"/>
      <c r="M309" s="201"/>
    </row>
    <row r="310" spans="1:13">
      <c r="A310" s="198"/>
      <c r="B310" s="198"/>
      <c r="C310" s="198"/>
      <c r="D310" s="247"/>
      <c r="E310" s="198"/>
      <c r="F310" s="198"/>
      <c r="G310" s="198"/>
      <c r="H310" s="198"/>
      <c r="I310" s="198"/>
      <c r="J310" s="200"/>
      <c r="K310" s="245"/>
      <c r="L310" s="201"/>
      <c r="M310" s="201"/>
    </row>
    <row r="311" spans="1:13">
      <c r="A311" s="198"/>
      <c r="B311" s="198"/>
      <c r="C311" s="198"/>
      <c r="D311" s="247"/>
      <c r="E311" s="198"/>
      <c r="F311" s="198"/>
      <c r="G311" s="198"/>
      <c r="H311" s="198"/>
      <c r="I311" s="198"/>
      <c r="J311" s="200"/>
      <c r="K311" s="245"/>
      <c r="L311" s="201"/>
      <c r="M311" s="201"/>
    </row>
    <row r="312" spans="1:13">
      <c r="A312" s="198"/>
      <c r="B312" s="198"/>
      <c r="C312" s="198"/>
      <c r="D312" s="247"/>
      <c r="E312" s="198"/>
      <c r="F312" s="198"/>
      <c r="G312" s="198"/>
      <c r="H312" s="198"/>
      <c r="I312" s="198"/>
      <c r="J312" s="200"/>
      <c r="K312" s="248"/>
      <c r="L312" s="201"/>
      <c r="M312" s="201"/>
    </row>
    <row r="313" spans="1:13">
      <c r="A313" s="198"/>
      <c r="B313" s="198"/>
      <c r="C313" s="198"/>
      <c r="D313" s="247"/>
      <c r="E313" s="198"/>
      <c r="F313" s="198"/>
      <c r="G313" s="198"/>
      <c r="H313" s="198"/>
      <c r="I313" s="198"/>
      <c r="J313" s="200"/>
      <c r="K313" s="245"/>
      <c r="L313" s="201"/>
      <c r="M313" s="201"/>
    </row>
    <row r="314" spans="1:13">
      <c r="A314" s="198"/>
      <c r="B314" s="198"/>
      <c r="C314" s="198"/>
      <c r="D314" s="247"/>
      <c r="E314" s="198"/>
      <c r="F314" s="198"/>
      <c r="G314" s="198"/>
      <c r="H314" s="198"/>
      <c r="I314" s="198"/>
      <c r="J314" s="200"/>
      <c r="K314" s="245"/>
      <c r="L314" s="201"/>
      <c r="M314" s="201"/>
    </row>
    <row r="315" spans="1:13">
      <c r="A315" s="198"/>
      <c r="B315" s="198"/>
      <c r="C315" s="198"/>
      <c r="D315" s="247"/>
      <c r="E315" s="198"/>
      <c r="F315" s="198"/>
      <c r="G315" s="198"/>
      <c r="H315" s="198"/>
      <c r="I315" s="198"/>
      <c r="J315" s="200"/>
      <c r="K315" s="245"/>
      <c r="L315" s="201"/>
      <c r="M315" s="201"/>
    </row>
    <row r="316" spans="1:13">
      <c r="A316" s="198"/>
      <c r="B316" s="198"/>
      <c r="C316" s="198"/>
      <c r="D316" s="247"/>
      <c r="E316" s="198"/>
      <c r="F316" s="198"/>
      <c r="G316" s="198"/>
      <c r="H316" s="198"/>
      <c r="I316" s="198"/>
      <c r="J316" s="200"/>
      <c r="K316" s="245"/>
      <c r="L316" s="201"/>
      <c r="M316" s="201"/>
    </row>
    <row r="317" spans="1:13">
      <c r="A317" s="198"/>
      <c r="B317" s="198"/>
      <c r="C317" s="198"/>
      <c r="D317" s="247"/>
      <c r="E317" s="198"/>
      <c r="F317" s="198"/>
      <c r="G317" s="198"/>
      <c r="H317" s="198"/>
      <c r="I317" s="198"/>
      <c r="J317" s="200"/>
      <c r="K317" s="245"/>
      <c r="L317" s="201"/>
      <c r="M317" s="201"/>
    </row>
    <row r="318" spans="1:13">
      <c r="A318" s="198"/>
      <c r="B318" s="198"/>
      <c r="C318" s="198"/>
      <c r="D318" s="247"/>
      <c r="E318" s="198"/>
      <c r="F318" s="198"/>
      <c r="G318" s="198"/>
      <c r="H318" s="198"/>
      <c r="I318" s="198"/>
      <c r="J318" s="200"/>
      <c r="K318" s="245"/>
      <c r="L318" s="201"/>
      <c r="M318" s="201"/>
    </row>
    <row r="319" spans="1:13">
      <c r="A319" s="198"/>
      <c r="B319" s="198"/>
      <c r="C319" s="198"/>
      <c r="D319" s="247"/>
      <c r="E319" s="198"/>
      <c r="F319" s="198"/>
      <c r="G319" s="198"/>
      <c r="H319" s="198"/>
      <c r="I319" s="198"/>
      <c r="J319" s="200"/>
      <c r="K319" s="248"/>
      <c r="L319" s="201"/>
      <c r="M319" s="201"/>
    </row>
    <row r="320" spans="1:13">
      <c r="A320" s="198"/>
      <c r="B320" s="198"/>
      <c r="C320" s="198"/>
      <c r="D320" s="247"/>
      <c r="E320" s="198"/>
      <c r="F320" s="198"/>
      <c r="G320" s="198"/>
      <c r="H320" s="198"/>
      <c r="I320" s="198"/>
      <c r="J320" s="200"/>
      <c r="K320" s="245"/>
      <c r="L320" s="201"/>
      <c r="M320" s="201"/>
    </row>
    <row r="321" spans="1:13">
      <c r="A321" s="198"/>
      <c r="B321" s="198"/>
      <c r="C321" s="198"/>
      <c r="D321" s="247"/>
      <c r="E321" s="198"/>
      <c r="F321" s="198"/>
      <c r="G321" s="198"/>
      <c r="H321" s="198"/>
      <c r="I321" s="198"/>
      <c r="J321" s="200"/>
      <c r="K321" s="245"/>
      <c r="L321" s="201"/>
      <c r="M321" s="201"/>
    </row>
    <row r="322" spans="1:13">
      <c r="A322" s="198"/>
      <c r="B322" s="198"/>
      <c r="C322" s="198"/>
      <c r="D322" s="247"/>
      <c r="E322" s="198"/>
      <c r="F322" s="198"/>
      <c r="G322" s="198"/>
      <c r="H322" s="198"/>
      <c r="I322" s="198"/>
      <c r="J322" s="200"/>
      <c r="K322" s="245"/>
      <c r="L322" s="201"/>
      <c r="M322" s="201"/>
    </row>
    <row r="323" spans="1:13">
      <c r="A323" s="198"/>
      <c r="B323" s="198"/>
      <c r="C323" s="198"/>
      <c r="D323" s="247"/>
      <c r="E323" s="198"/>
      <c r="F323" s="198"/>
      <c r="G323" s="198"/>
      <c r="H323" s="198"/>
      <c r="I323" s="198"/>
      <c r="J323" s="200"/>
      <c r="K323" s="248"/>
      <c r="L323" s="201"/>
      <c r="M323" s="201"/>
    </row>
    <row r="324" spans="1:13">
      <c r="A324" s="198"/>
      <c r="B324" s="198"/>
      <c r="C324" s="198"/>
      <c r="D324" s="247"/>
      <c r="E324" s="198"/>
      <c r="F324" s="198"/>
      <c r="G324" s="198"/>
      <c r="H324" s="198"/>
      <c r="I324" s="198"/>
      <c r="J324" s="200"/>
      <c r="K324" s="248"/>
      <c r="L324" s="201"/>
      <c r="M324" s="201"/>
    </row>
    <row r="325" spans="1:13">
      <c r="A325" s="198"/>
      <c r="B325" s="198"/>
      <c r="C325" s="198"/>
      <c r="D325" s="247"/>
      <c r="E325" s="198"/>
      <c r="F325" s="198"/>
      <c r="G325" s="198"/>
      <c r="H325" s="198"/>
      <c r="I325" s="198"/>
      <c r="J325" s="200"/>
      <c r="K325" s="248"/>
      <c r="L325" s="201"/>
      <c r="M325" s="201"/>
    </row>
    <row r="326" spans="1:13">
      <c r="A326" s="198"/>
      <c r="B326" s="198"/>
      <c r="C326" s="198"/>
      <c r="D326" s="247"/>
      <c r="E326" s="198"/>
      <c r="F326" s="198"/>
      <c r="G326" s="198"/>
      <c r="H326" s="198"/>
      <c r="I326" s="198"/>
      <c r="J326" s="200"/>
      <c r="K326" s="248"/>
      <c r="L326" s="201"/>
      <c r="M326" s="201"/>
    </row>
    <row r="327" spans="1:13">
      <c r="A327" s="198"/>
      <c r="B327" s="198"/>
      <c r="C327" s="198"/>
      <c r="D327" s="247"/>
      <c r="E327" s="198"/>
      <c r="F327" s="198"/>
      <c r="G327" s="198"/>
      <c r="H327" s="198"/>
      <c r="I327" s="198"/>
      <c r="J327" s="200"/>
      <c r="K327" s="248"/>
      <c r="L327" s="201"/>
      <c r="M327" s="201"/>
    </row>
    <row r="328" spans="1:13">
      <c r="A328" s="198"/>
      <c r="B328" s="198"/>
      <c r="C328" s="198"/>
      <c r="D328" s="247"/>
      <c r="E328" s="198"/>
      <c r="F328" s="198"/>
      <c r="G328" s="198"/>
      <c r="H328" s="198"/>
      <c r="I328" s="198"/>
      <c r="J328" s="200"/>
      <c r="K328" s="248"/>
      <c r="L328" s="249"/>
      <c r="M328" s="201"/>
    </row>
    <row r="329" spans="1:13">
      <c r="A329" s="198"/>
      <c r="B329" s="198"/>
      <c r="C329" s="198"/>
      <c r="D329" s="247"/>
      <c r="E329" s="198"/>
      <c r="F329" s="198"/>
      <c r="G329" s="198"/>
      <c r="H329" s="198"/>
      <c r="I329" s="198"/>
      <c r="J329" s="200"/>
      <c r="K329" s="248"/>
      <c r="L329" s="249"/>
      <c r="M329" s="201"/>
    </row>
    <row r="330" spans="1:13">
      <c r="A330" s="198"/>
      <c r="B330" s="198"/>
      <c r="C330" s="198"/>
      <c r="D330" s="247"/>
      <c r="E330" s="198"/>
      <c r="F330" s="198"/>
      <c r="G330" s="198"/>
      <c r="H330" s="198"/>
      <c r="I330" s="198"/>
      <c r="J330" s="200"/>
      <c r="K330" s="248"/>
      <c r="L330" s="249"/>
      <c r="M330" s="201"/>
    </row>
    <row r="331" spans="1:13">
      <c r="A331" s="198"/>
      <c r="B331" s="198"/>
      <c r="C331" s="198"/>
      <c r="D331" s="247"/>
      <c r="E331" s="198"/>
      <c r="F331" s="198"/>
      <c r="G331" s="198"/>
      <c r="H331" s="198"/>
      <c r="I331" s="198"/>
      <c r="J331" s="200"/>
      <c r="K331" s="248"/>
      <c r="L331" s="249"/>
      <c r="M331" s="201"/>
    </row>
    <row r="332" spans="1:13">
      <c r="A332" s="198"/>
      <c r="B332" s="198"/>
      <c r="C332" s="198"/>
      <c r="D332" s="247"/>
      <c r="E332" s="198"/>
      <c r="F332" s="198"/>
      <c r="G332" s="198"/>
      <c r="H332" s="198"/>
      <c r="I332" s="198"/>
      <c r="J332" s="200"/>
      <c r="K332" s="248"/>
      <c r="L332" s="249"/>
      <c r="M332" s="201"/>
    </row>
    <row r="333" spans="1:13">
      <c r="A333" s="198"/>
      <c r="B333" s="198"/>
      <c r="C333" s="198"/>
      <c r="D333" s="247"/>
      <c r="E333" s="198"/>
      <c r="F333" s="198"/>
      <c r="G333" s="198"/>
      <c r="H333" s="198"/>
      <c r="I333" s="198"/>
      <c r="J333" s="200"/>
      <c r="K333" s="248"/>
      <c r="L333" s="249"/>
      <c r="M333" s="201"/>
    </row>
    <row r="334" spans="1:13">
      <c r="A334" s="198"/>
      <c r="B334" s="198"/>
      <c r="C334" s="198"/>
      <c r="D334" s="247"/>
      <c r="E334" s="198"/>
      <c r="F334" s="198"/>
      <c r="G334" s="198"/>
      <c r="H334" s="198"/>
      <c r="I334" s="198"/>
      <c r="J334" s="200"/>
      <c r="K334" s="248"/>
      <c r="L334" s="249"/>
      <c r="M334" s="201"/>
    </row>
    <row r="335" spans="1:13">
      <c r="A335" s="198"/>
      <c r="B335" s="198"/>
      <c r="C335" s="198"/>
      <c r="D335" s="247"/>
      <c r="E335" s="198"/>
      <c r="F335" s="198"/>
      <c r="G335" s="198"/>
      <c r="H335" s="198"/>
      <c r="I335" s="198"/>
      <c r="J335" s="200"/>
      <c r="K335" s="248"/>
      <c r="L335" s="249"/>
      <c r="M335" s="201"/>
    </row>
    <row r="336" spans="1:13">
      <c r="A336" s="198"/>
      <c r="B336" s="198"/>
      <c r="C336" s="198"/>
      <c r="D336" s="247"/>
      <c r="E336" s="198"/>
      <c r="F336" s="198"/>
      <c r="G336" s="198"/>
      <c r="H336" s="198"/>
      <c r="I336" s="198"/>
      <c r="J336" s="200"/>
      <c r="K336" s="248"/>
      <c r="L336" s="249"/>
      <c r="M336" s="201"/>
    </row>
  </sheetData>
  <mergeCells count="1">
    <mergeCell ref="A1:M1"/>
  </mergeCells>
  <conditionalFormatting sqref="B302:B336">
    <cfRule type="duplicateValues" dxfId="5" priority="3"/>
  </conditionalFormatting>
  <conditionalFormatting sqref="A3:K301">
    <cfRule type="expression" dxfId="1" priority="2">
      <formula>ISERROR(A3)</formula>
    </cfRule>
  </conditionalFormatting>
  <conditionalFormatting sqref="B3:B301">
    <cfRule type="duplicateValues" dxfId="0" priority="1"/>
  </conditionalFormatting>
  <dataValidations count="3">
    <dataValidation type="list" allowBlank="1" showInputMessage="1" showErrorMessage="1" sqref="L302:L327">
      <formula1>"Sí,No"</formula1>
    </dataValidation>
    <dataValidation type="list" allowBlank="1" showInputMessage="1" showErrorMessage="1" error="Solo se admite COP/USD" sqref="M3:M301">
      <formula1>"COP,USD"</formula1>
    </dataValidation>
    <dataValidation type="list" allowBlank="1" showInputMessage="1" showErrorMessage="1" error="Solo se admite Sí/No" sqref="L3:L301">
      <formula1>"Sí,No"</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6"/>
  <sheetViews>
    <sheetView workbookViewId="0">
      <selection activeCell="A2" sqref="A2"/>
    </sheetView>
  </sheetViews>
  <sheetFormatPr baseColWidth="10" defaultColWidth="11.54296875" defaultRowHeight="15.5"/>
  <cols>
    <col min="1" max="1" width="23.453125" style="202" bestFit="1" customWidth="1"/>
    <col min="2" max="2" width="20.08984375" style="202" bestFit="1" customWidth="1"/>
    <col min="3" max="3" width="14" style="202" bestFit="1" customWidth="1"/>
    <col min="4" max="4" width="121.81640625" style="202" bestFit="1" customWidth="1"/>
    <col min="5" max="9" width="11.54296875" style="202"/>
    <col min="10" max="10" width="12.90625" style="202" bestFit="1" customWidth="1"/>
    <col min="11" max="11" width="22.6328125" style="202" bestFit="1" customWidth="1"/>
    <col min="12" max="12" width="11.54296875" style="227"/>
    <col min="13" max="13" width="11.54296875" style="228"/>
    <col min="14" max="16384" width="11.54296875" style="202"/>
  </cols>
  <sheetData>
    <row r="1" spans="1:13" ht="25">
      <c r="A1" s="329" t="s">
        <v>10134</v>
      </c>
      <c r="B1" s="329"/>
      <c r="C1" s="329"/>
      <c r="D1" s="329"/>
      <c r="E1" s="329"/>
      <c r="F1" s="329"/>
      <c r="G1" s="329"/>
      <c r="H1" s="329"/>
      <c r="I1" s="329"/>
      <c r="J1" s="329"/>
      <c r="K1" s="329"/>
      <c r="L1" s="329"/>
      <c r="M1" s="329"/>
    </row>
    <row r="2" spans="1:13" ht="46.5">
      <c r="A2" s="205" t="s">
        <v>1445</v>
      </c>
      <c r="B2" s="205" t="s">
        <v>1430</v>
      </c>
      <c r="C2" s="205" t="s">
        <v>1446</v>
      </c>
      <c r="D2" s="205" t="s">
        <v>4</v>
      </c>
      <c r="E2" s="205" t="s">
        <v>5</v>
      </c>
      <c r="F2" s="205" t="s">
        <v>6</v>
      </c>
      <c r="G2" s="205" t="s">
        <v>7</v>
      </c>
      <c r="H2" s="205" t="s">
        <v>8</v>
      </c>
      <c r="I2" s="205" t="s">
        <v>9</v>
      </c>
      <c r="J2" s="205" t="s">
        <v>1434</v>
      </c>
      <c r="K2" s="205" t="s">
        <v>1432</v>
      </c>
      <c r="L2" s="205" t="s">
        <v>1433</v>
      </c>
      <c r="M2" s="205" t="s">
        <v>3</v>
      </c>
    </row>
    <row r="3" spans="1:13">
      <c r="A3" s="198" t="str">
        <f>[1]Información!$A$18</f>
        <v>BEXTECHNOLOGY</v>
      </c>
      <c r="B3" s="198" t="s">
        <v>9733</v>
      </c>
      <c r="C3" s="198" t="s">
        <v>9734</v>
      </c>
      <c r="D3" s="198" t="s">
        <v>90</v>
      </c>
      <c r="E3" s="198" t="s">
        <v>91</v>
      </c>
      <c r="F3" s="198" t="s">
        <v>21</v>
      </c>
      <c r="G3" s="199" t="s">
        <v>70</v>
      </c>
      <c r="H3" s="199" t="s">
        <v>26</v>
      </c>
      <c r="I3" s="199" t="s">
        <v>166</v>
      </c>
      <c r="J3" s="246" t="s">
        <v>8866</v>
      </c>
      <c r="K3" s="245">
        <v>1200000</v>
      </c>
      <c r="L3" s="201" t="s">
        <v>2057</v>
      </c>
      <c r="M3" s="201" t="s">
        <v>14</v>
      </c>
    </row>
    <row r="4" spans="1:13">
      <c r="A4" s="198" t="str">
        <f>[1]Información!$A$18</f>
        <v>BEXTECHNOLOGY</v>
      </c>
      <c r="B4" s="198" t="s">
        <v>9735</v>
      </c>
      <c r="C4" s="198" t="s">
        <v>9734</v>
      </c>
      <c r="D4" s="198" t="s">
        <v>90</v>
      </c>
      <c r="E4" s="198" t="s">
        <v>91</v>
      </c>
      <c r="F4" s="198" t="s">
        <v>21</v>
      </c>
      <c r="G4" s="199" t="s">
        <v>70</v>
      </c>
      <c r="H4" s="199" t="s">
        <v>42</v>
      </c>
      <c r="I4" s="199" t="s">
        <v>166</v>
      </c>
      <c r="J4" s="246" t="s">
        <v>8866</v>
      </c>
      <c r="K4" s="245">
        <v>1500000</v>
      </c>
      <c r="L4" s="201" t="s">
        <v>2057</v>
      </c>
      <c r="M4" s="201" t="s">
        <v>14</v>
      </c>
    </row>
    <row r="5" spans="1:13">
      <c r="A5" s="198" t="str">
        <f>[1]Información!$A$18</f>
        <v>BEXTECHNOLOGY</v>
      </c>
      <c r="B5" s="198" t="s">
        <v>9736</v>
      </c>
      <c r="C5" s="198" t="s">
        <v>9734</v>
      </c>
      <c r="D5" s="198" t="s">
        <v>90</v>
      </c>
      <c r="E5" s="198" t="s">
        <v>91</v>
      </c>
      <c r="F5" s="198" t="s">
        <v>21</v>
      </c>
      <c r="G5" s="199" t="s">
        <v>74</v>
      </c>
      <c r="H5" s="199" t="s">
        <v>26</v>
      </c>
      <c r="I5" s="199" t="s">
        <v>166</v>
      </c>
      <c r="J5" s="246" t="s">
        <v>8866</v>
      </c>
      <c r="K5" s="245">
        <v>1200000</v>
      </c>
      <c r="L5" s="201" t="s">
        <v>2057</v>
      </c>
      <c r="M5" s="201" t="s">
        <v>14</v>
      </c>
    </row>
    <row r="6" spans="1:13">
      <c r="A6" s="198" t="str">
        <f>[1]Información!$A$18</f>
        <v>BEXTECHNOLOGY</v>
      </c>
      <c r="B6" s="198" t="s">
        <v>9737</v>
      </c>
      <c r="C6" s="198" t="s">
        <v>9734</v>
      </c>
      <c r="D6" s="198" t="s">
        <v>90</v>
      </c>
      <c r="E6" s="198" t="s">
        <v>91</v>
      </c>
      <c r="F6" s="198" t="s">
        <v>21</v>
      </c>
      <c r="G6" s="199" t="s">
        <v>74</v>
      </c>
      <c r="H6" s="199" t="s">
        <v>42</v>
      </c>
      <c r="I6" s="199" t="s">
        <v>166</v>
      </c>
      <c r="J6" s="246" t="s">
        <v>8866</v>
      </c>
      <c r="K6" s="245">
        <v>1800000</v>
      </c>
      <c r="L6" s="201" t="s">
        <v>2057</v>
      </c>
      <c r="M6" s="201" t="s">
        <v>14</v>
      </c>
    </row>
    <row r="7" spans="1:13">
      <c r="A7" s="198" t="str">
        <f>[1]Información!$A$18</f>
        <v>BEXTECHNOLOGY</v>
      </c>
      <c r="B7" s="198" t="s">
        <v>9738</v>
      </c>
      <c r="C7" s="198" t="s">
        <v>9734</v>
      </c>
      <c r="D7" s="198" t="s">
        <v>90</v>
      </c>
      <c r="E7" s="198" t="s">
        <v>91</v>
      </c>
      <c r="F7" s="198" t="s">
        <v>21</v>
      </c>
      <c r="G7" s="199" t="s">
        <v>72</v>
      </c>
      <c r="H7" s="199" t="s">
        <v>26</v>
      </c>
      <c r="I7" s="199" t="s">
        <v>166</v>
      </c>
      <c r="J7" s="246" t="s">
        <v>8866</v>
      </c>
      <c r="K7" s="245">
        <v>1200000</v>
      </c>
      <c r="L7" s="201" t="s">
        <v>2057</v>
      </c>
      <c r="M7" s="201" t="s">
        <v>14</v>
      </c>
    </row>
    <row r="8" spans="1:13">
      <c r="A8" s="198" t="str">
        <f>[1]Información!$A$18</f>
        <v>BEXTECHNOLOGY</v>
      </c>
      <c r="B8" s="198" t="s">
        <v>9739</v>
      </c>
      <c r="C8" s="198" t="s">
        <v>9734</v>
      </c>
      <c r="D8" s="198" t="s">
        <v>90</v>
      </c>
      <c r="E8" s="198" t="s">
        <v>91</v>
      </c>
      <c r="F8" s="198" t="s">
        <v>21</v>
      </c>
      <c r="G8" s="199" t="s">
        <v>72</v>
      </c>
      <c r="H8" s="199" t="s">
        <v>42</v>
      </c>
      <c r="I8" s="199" t="s">
        <v>166</v>
      </c>
      <c r="J8" s="246" t="s">
        <v>8866</v>
      </c>
      <c r="K8" s="245">
        <v>2100000</v>
      </c>
      <c r="L8" s="201" t="s">
        <v>2057</v>
      </c>
      <c r="M8" s="201" t="s">
        <v>14</v>
      </c>
    </row>
    <row r="9" spans="1:13">
      <c r="A9" s="198" t="str">
        <f>[1]Información!$A$18</f>
        <v>BEXTECHNOLOGY</v>
      </c>
      <c r="B9" s="198" t="s">
        <v>9740</v>
      </c>
      <c r="C9" s="198" t="s">
        <v>9734</v>
      </c>
      <c r="D9" s="198" t="s">
        <v>98</v>
      </c>
      <c r="E9" s="198" t="s">
        <v>99</v>
      </c>
      <c r="F9" s="198" t="s">
        <v>21</v>
      </c>
      <c r="G9" s="199" t="s">
        <v>70</v>
      </c>
      <c r="H9" s="199" t="s">
        <v>26</v>
      </c>
      <c r="I9" s="199" t="s">
        <v>166</v>
      </c>
      <c r="J9" s="246" t="s">
        <v>8866</v>
      </c>
      <c r="K9" s="245">
        <v>1500000</v>
      </c>
      <c r="L9" s="201" t="s">
        <v>2057</v>
      </c>
      <c r="M9" s="201" t="s">
        <v>14</v>
      </c>
    </row>
    <row r="10" spans="1:13">
      <c r="A10" s="198" t="str">
        <f>[1]Información!$A$18</f>
        <v>BEXTECHNOLOGY</v>
      </c>
      <c r="B10" s="198" t="s">
        <v>9741</v>
      </c>
      <c r="C10" s="198" t="s">
        <v>9734</v>
      </c>
      <c r="D10" s="198" t="s">
        <v>98</v>
      </c>
      <c r="E10" s="198" t="s">
        <v>99</v>
      </c>
      <c r="F10" s="198" t="s">
        <v>21</v>
      </c>
      <c r="G10" s="199" t="s">
        <v>70</v>
      </c>
      <c r="H10" s="199" t="s">
        <v>42</v>
      </c>
      <c r="I10" s="199" t="s">
        <v>166</v>
      </c>
      <c r="J10" s="246" t="s">
        <v>8866</v>
      </c>
      <c r="K10" s="245">
        <v>2400000</v>
      </c>
      <c r="L10" s="201" t="s">
        <v>2057</v>
      </c>
      <c r="M10" s="201" t="s">
        <v>14</v>
      </c>
    </row>
    <row r="11" spans="1:13">
      <c r="A11" s="198" t="str">
        <f>[1]Información!$A$18</f>
        <v>BEXTECHNOLOGY</v>
      </c>
      <c r="B11" s="198" t="s">
        <v>9742</v>
      </c>
      <c r="C11" s="198" t="s">
        <v>9734</v>
      </c>
      <c r="D11" s="198" t="s">
        <v>98</v>
      </c>
      <c r="E11" s="198" t="s">
        <v>99</v>
      </c>
      <c r="F11" s="198" t="s">
        <v>21</v>
      </c>
      <c r="G11" s="199" t="s">
        <v>74</v>
      </c>
      <c r="H11" s="199" t="s">
        <v>26</v>
      </c>
      <c r="I11" s="199" t="s">
        <v>166</v>
      </c>
      <c r="J11" s="246" t="s">
        <v>8866</v>
      </c>
      <c r="K11" s="245">
        <v>1500000</v>
      </c>
      <c r="L11" s="201" t="s">
        <v>2057</v>
      </c>
      <c r="M11" s="201" t="s">
        <v>14</v>
      </c>
    </row>
    <row r="12" spans="1:13">
      <c r="A12" s="198" t="str">
        <f>[1]Información!$A$18</f>
        <v>BEXTECHNOLOGY</v>
      </c>
      <c r="B12" s="198" t="s">
        <v>9743</v>
      </c>
      <c r="C12" s="198" t="s">
        <v>9734</v>
      </c>
      <c r="D12" s="198" t="s">
        <v>98</v>
      </c>
      <c r="E12" s="198" t="s">
        <v>99</v>
      </c>
      <c r="F12" s="198" t="s">
        <v>21</v>
      </c>
      <c r="G12" s="199" t="s">
        <v>74</v>
      </c>
      <c r="H12" s="199" t="s">
        <v>42</v>
      </c>
      <c r="I12" s="199" t="s">
        <v>166</v>
      </c>
      <c r="J12" s="246" t="s">
        <v>8866</v>
      </c>
      <c r="K12" s="245">
        <v>2700000</v>
      </c>
      <c r="L12" s="201" t="s">
        <v>2057</v>
      </c>
      <c r="M12" s="201" t="s">
        <v>14</v>
      </c>
    </row>
    <row r="13" spans="1:13">
      <c r="A13" s="198" t="str">
        <f>[1]Información!$A$18</f>
        <v>BEXTECHNOLOGY</v>
      </c>
      <c r="B13" s="198" t="s">
        <v>9744</v>
      </c>
      <c r="C13" s="198" t="s">
        <v>9734</v>
      </c>
      <c r="D13" s="198" t="s">
        <v>98</v>
      </c>
      <c r="E13" s="198" t="s">
        <v>99</v>
      </c>
      <c r="F13" s="198" t="s">
        <v>21</v>
      </c>
      <c r="G13" s="199" t="s">
        <v>72</v>
      </c>
      <c r="H13" s="199" t="s">
        <v>26</v>
      </c>
      <c r="I13" s="199" t="s">
        <v>166</v>
      </c>
      <c r="J13" s="246" t="s">
        <v>8866</v>
      </c>
      <c r="K13" s="245">
        <v>1500000</v>
      </c>
      <c r="L13" s="201" t="s">
        <v>2057</v>
      </c>
      <c r="M13" s="201" t="s">
        <v>14</v>
      </c>
    </row>
    <row r="14" spans="1:13">
      <c r="A14" s="198" t="str">
        <f>[1]Información!$A$18</f>
        <v>BEXTECHNOLOGY</v>
      </c>
      <c r="B14" s="198" t="s">
        <v>9745</v>
      </c>
      <c r="C14" s="198" t="s">
        <v>9734</v>
      </c>
      <c r="D14" s="198" t="s">
        <v>98</v>
      </c>
      <c r="E14" s="198" t="s">
        <v>99</v>
      </c>
      <c r="F14" s="198" t="s">
        <v>21</v>
      </c>
      <c r="G14" s="199" t="s">
        <v>72</v>
      </c>
      <c r="H14" s="199" t="s">
        <v>42</v>
      </c>
      <c r="I14" s="199" t="s">
        <v>166</v>
      </c>
      <c r="J14" s="246" t="s">
        <v>8866</v>
      </c>
      <c r="K14" s="245">
        <v>3000000</v>
      </c>
      <c r="L14" s="201" t="s">
        <v>2057</v>
      </c>
      <c r="M14" s="201" t="s">
        <v>14</v>
      </c>
    </row>
    <row r="15" spans="1:13">
      <c r="A15" s="198" t="str">
        <f>[1]Información!$A$18</f>
        <v>BEXTECHNOLOGY</v>
      </c>
      <c r="B15" s="198" t="s">
        <v>9746</v>
      </c>
      <c r="C15" s="198" t="s">
        <v>9734</v>
      </c>
      <c r="D15" s="198" t="s">
        <v>106</v>
      </c>
      <c r="E15" s="198" t="s">
        <v>91</v>
      </c>
      <c r="F15" s="198" t="s">
        <v>21</v>
      </c>
      <c r="G15" s="199" t="s">
        <v>70</v>
      </c>
      <c r="H15" s="199" t="s">
        <v>26</v>
      </c>
      <c r="I15" s="199" t="s">
        <v>166</v>
      </c>
      <c r="J15" s="246" t="s">
        <v>8866</v>
      </c>
      <c r="K15" s="245">
        <v>1200000</v>
      </c>
      <c r="L15" s="201" t="s">
        <v>2057</v>
      </c>
      <c r="M15" s="201" t="s">
        <v>14</v>
      </c>
    </row>
    <row r="16" spans="1:13">
      <c r="A16" s="198" t="str">
        <f>[1]Información!$A$18</f>
        <v>BEXTECHNOLOGY</v>
      </c>
      <c r="B16" s="198" t="s">
        <v>9747</v>
      </c>
      <c r="C16" s="198" t="s">
        <v>9734</v>
      </c>
      <c r="D16" s="198" t="s">
        <v>106</v>
      </c>
      <c r="E16" s="198" t="s">
        <v>91</v>
      </c>
      <c r="F16" s="198" t="s">
        <v>21</v>
      </c>
      <c r="G16" s="199" t="s">
        <v>70</v>
      </c>
      <c r="H16" s="199" t="s">
        <v>42</v>
      </c>
      <c r="I16" s="199" t="s">
        <v>166</v>
      </c>
      <c r="J16" s="246" t="s">
        <v>8866</v>
      </c>
      <c r="K16" s="245">
        <v>1500000</v>
      </c>
      <c r="L16" s="201" t="s">
        <v>2057</v>
      </c>
      <c r="M16" s="201" t="s">
        <v>14</v>
      </c>
    </row>
    <row r="17" spans="1:13">
      <c r="A17" s="198" t="str">
        <f>[1]Información!$A$18</f>
        <v>BEXTECHNOLOGY</v>
      </c>
      <c r="B17" s="198" t="s">
        <v>9748</v>
      </c>
      <c r="C17" s="198" t="s">
        <v>9734</v>
      </c>
      <c r="D17" s="198" t="s">
        <v>106</v>
      </c>
      <c r="E17" s="198" t="s">
        <v>91</v>
      </c>
      <c r="F17" s="198" t="s">
        <v>21</v>
      </c>
      <c r="G17" s="199" t="s">
        <v>74</v>
      </c>
      <c r="H17" s="199" t="s">
        <v>26</v>
      </c>
      <c r="I17" s="199" t="s">
        <v>166</v>
      </c>
      <c r="J17" s="246" t="s">
        <v>8866</v>
      </c>
      <c r="K17" s="245">
        <v>1200000</v>
      </c>
      <c r="L17" s="201" t="s">
        <v>2057</v>
      </c>
      <c r="M17" s="201" t="s">
        <v>14</v>
      </c>
    </row>
    <row r="18" spans="1:13">
      <c r="A18" s="198" t="str">
        <f>[1]Información!$A$18</f>
        <v>BEXTECHNOLOGY</v>
      </c>
      <c r="B18" s="198" t="s">
        <v>9749</v>
      </c>
      <c r="C18" s="198" t="s">
        <v>9734</v>
      </c>
      <c r="D18" s="198" t="s">
        <v>106</v>
      </c>
      <c r="E18" s="198" t="s">
        <v>91</v>
      </c>
      <c r="F18" s="198" t="s">
        <v>21</v>
      </c>
      <c r="G18" s="199" t="s">
        <v>74</v>
      </c>
      <c r="H18" s="199" t="s">
        <v>42</v>
      </c>
      <c r="I18" s="199" t="s">
        <v>166</v>
      </c>
      <c r="J18" s="246" t="s">
        <v>8866</v>
      </c>
      <c r="K18" s="245">
        <v>1800000</v>
      </c>
      <c r="L18" s="201" t="s">
        <v>2057</v>
      </c>
      <c r="M18" s="201" t="s">
        <v>14</v>
      </c>
    </row>
    <row r="19" spans="1:13">
      <c r="A19" s="198" t="str">
        <f>[1]Información!$A$18</f>
        <v>BEXTECHNOLOGY</v>
      </c>
      <c r="B19" s="198" t="s">
        <v>9750</v>
      </c>
      <c r="C19" s="198" t="s">
        <v>9734</v>
      </c>
      <c r="D19" s="198" t="s">
        <v>106</v>
      </c>
      <c r="E19" s="198" t="s">
        <v>91</v>
      </c>
      <c r="F19" s="198" t="s">
        <v>21</v>
      </c>
      <c r="G19" s="199" t="s">
        <v>72</v>
      </c>
      <c r="H19" s="199" t="s">
        <v>26</v>
      </c>
      <c r="I19" s="199" t="s">
        <v>166</v>
      </c>
      <c r="J19" s="246" t="s">
        <v>8866</v>
      </c>
      <c r="K19" s="245">
        <v>1200000</v>
      </c>
      <c r="L19" s="201" t="s">
        <v>2057</v>
      </c>
      <c r="M19" s="201" t="s">
        <v>14</v>
      </c>
    </row>
    <row r="20" spans="1:13">
      <c r="A20" s="198" t="str">
        <f>[1]Información!$A$18</f>
        <v>BEXTECHNOLOGY</v>
      </c>
      <c r="B20" s="198" t="s">
        <v>9751</v>
      </c>
      <c r="C20" s="198" t="s">
        <v>9734</v>
      </c>
      <c r="D20" s="198" t="s">
        <v>106</v>
      </c>
      <c r="E20" s="198" t="s">
        <v>91</v>
      </c>
      <c r="F20" s="198" t="s">
        <v>21</v>
      </c>
      <c r="G20" s="199" t="s">
        <v>72</v>
      </c>
      <c r="H20" s="199" t="s">
        <v>42</v>
      </c>
      <c r="I20" s="199" t="s">
        <v>166</v>
      </c>
      <c r="J20" s="246" t="s">
        <v>8866</v>
      </c>
      <c r="K20" s="245">
        <v>2100000</v>
      </c>
      <c r="L20" s="201" t="s">
        <v>2057</v>
      </c>
      <c r="M20" s="201" t="s">
        <v>14</v>
      </c>
    </row>
    <row r="21" spans="1:13">
      <c r="A21" s="198" t="str">
        <f>[1]Información!$A$18</f>
        <v>BEXTECHNOLOGY</v>
      </c>
      <c r="B21" s="198" t="s">
        <v>9752</v>
      </c>
      <c r="C21" s="198" t="s">
        <v>9734</v>
      </c>
      <c r="D21" s="198" t="s">
        <v>113</v>
      </c>
      <c r="E21" s="198" t="s">
        <v>99</v>
      </c>
      <c r="F21" s="198" t="s">
        <v>21</v>
      </c>
      <c r="G21" s="199" t="s">
        <v>70</v>
      </c>
      <c r="H21" s="199" t="s">
        <v>26</v>
      </c>
      <c r="I21" s="199" t="s">
        <v>166</v>
      </c>
      <c r="J21" s="246" t="s">
        <v>8866</v>
      </c>
      <c r="K21" s="245">
        <v>1500000</v>
      </c>
      <c r="L21" s="201" t="s">
        <v>2057</v>
      </c>
      <c r="M21" s="201" t="s">
        <v>14</v>
      </c>
    </row>
    <row r="22" spans="1:13">
      <c r="A22" s="198" t="str">
        <f>[1]Información!$A$18</f>
        <v>BEXTECHNOLOGY</v>
      </c>
      <c r="B22" s="198" t="s">
        <v>9753</v>
      </c>
      <c r="C22" s="198" t="s">
        <v>9734</v>
      </c>
      <c r="D22" s="198" t="s">
        <v>113</v>
      </c>
      <c r="E22" s="198" t="s">
        <v>99</v>
      </c>
      <c r="F22" s="198" t="s">
        <v>21</v>
      </c>
      <c r="G22" s="199" t="s">
        <v>70</v>
      </c>
      <c r="H22" s="199" t="s">
        <v>42</v>
      </c>
      <c r="I22" s="199" t="s">
        <v>166</v>
      </c>
      <c r="J22" s="246" t="s">
        <v>8866</v>
      </c>
      <c r="K22" s="245">
        <v>2400000</v>
      </c>
      <c r="L22" s="201" t="s">
        <v>2057</v>
      </c>
      <c r="M22" s="201" t="s">
        <v>14</v>
      </c>
    </row>
    <row r="23" spans="1:13">
      <c r="A23" s="198" t="str">
        <f>[1]Información!$A$18</f>
        <v>BEXTECHNOLOGY</v>
      </c>
      <c r="B23" s="198" t="s">
        <v>9754</v>
      </c>
      <c r="C23" s="198" t="s">
        <v>9734</v>
      </c>
      <c r="D23" s="198" t="s">
        <v>113</v>
      </c>
      <c r="E23" s="198" t="s">
        <v>99</v>
      </c>
      <c r="F23" s="198" t="s">
        <v>21</v>
      </c>
      <c r="G23" s="199" t="s">
        <v>74</v>
      </c>
      <c r="H23" s="199" t="s">
        <v>26</v>
      </c>
      <c r="I23" s="199" t="s">
        <v>166</v>
      </c>
      <c r="J23" s="246" t="s">
        <v>8866</v>
      </c>
      <c r="K23" s="245">
        <v>1500000</v>
      </c>
      <c r="L23" s="201" t="s">
        <v>2057</v>
      </c>
      <c r="M23" s="201" t="s">
        <v>14</v>
      </c>
    </row>
    <row r="24" spans="1:13">
      <c r="A24" s="198" t="str">
        <f>[1]Información!$A$18</f>
        <v>BEXTECHNOLOGY</v>
      </c>
      <c r="B24" s="198" t="s">
        <v>9755</v>
      </c>
      <c r="C24" s="198" t="s">
        <v>9734</v>
      </c>
      <c r="D24" s="198" t="s">
        <v>113</v>
      </c>
      <c r="E24" s="198" t="s">
        <v>99</v>
      </c>
      <c r="F24" s="198" t="s">
        <v>21</v>
      </c>
      <c r="G24" s="199" t="s">
        <v>74</v>
      </c>
      <c r="H24" s="199" t="s">
        <v>42</v>
      </c>
      <c r="I24" s="199" t="s">
        <v>166</v>
      </c>
      <c r="J24" s="246" t="s">
        <v>8866</v>
      </c>
      <c r="K24" s="245">
        <v>2700000</v>
      </c>
      <c r="L24" s="201" t="s">
        <v>2057</v>
      </c>
      <c r="M24" s="201" t="s">
        <v>14</v>
      </c>
    </row>
    <row r="25" spans="1:13">
      <c r="A25" s="198" t="str">
        <f>[1]Información!$A$18</f>
        <v>BEXTECHNOLOGY</v>
      </c>
      <c r="B25" s="198" t="s">
        <v>9756</v>
      </c>
      <c r="C25" s="198" t="s">
        <v>9734</v>
      </c>
      <c r="D25" s="198" t="s">
        <v>113</v>
      </c>
      <c r="E25" s="198" t="s">
        <v>99</v>
      </c>
      <c r="F25" s="198" t="s">
        <v>21</v>
      </c>
      <c r="G25" s="199" t="s">
        <v>72</v>
      </c>
      <c r="H25" s="199" t="s">
        <v>26</v>
      </c>
      <c r="I25" s="199" t="s">
        <v>166</v>
      </c>
      <c r="J25" s="246" t="s">
        <v>8866</v>
      </c>
      <c r="K25" s="245">
        <v>1500000</v>
      </c>
      <c r="L25" s="201" t="s">
        <v>2057</v>
      </c>
      <c r="M25" s="201" t="s">
        <v>14</v>
      </c>
    </row>
    <row r="26" spans="1:13">
      <c r="A26" s="198" t="str">
        <f>[1]Información!$A$18</f>
        <v>BEXTECHNOLOGY</v>
      </c>
      <c r="B26" s="198" t="s">
        <v>9757</v>
      </c>
      <c r="C26" s="198" t="s">
        <v>9734</v>
      </c>
      <c r="D26" s="198" t="s">
        <v>113</v>
      </c>
      <c r="E26" s="198" t="s">
        <v>99</v>
      </c>
      <c r="F26" s="198" t="s">
        <v>21</v>
      </c>
      <c r="G26" s="199" t="s">
        <v>72</v>
      </c>
      <c r="H26" s="199" t="s">
        <v>42</v>
      </c>
      <c r="I26" s="199" t="s">
        <v>166</v>
      </c>
      <c r="J26" s="246" t="s">
        <v>8866</v>
      </c>
      <c r="K26" s="245">
        <v>3000000</v>
      </c>
      <c r="L26" s="201" t="s">
        <v>2057</v>
      </c>
      <c r="M26" s="201" t="s">
        <v>14</v>
      </c>
    </row>
    <row r="27" spans="1:13">
      <c r="A27" s="198" t="str">
        <f>[1]Información!$A$18</f>
        <v>BEXTECHNOLOGY</v>
      </c>
      <c r="B27" s="198" t="s">
        <v>9758</v>
      </c>
      <c r="C27" s="198" t="s">
        <v>9734</v>
      </c>
      <c r="D27" s="198" t="s">
        <v>120</v>
      </c>
      <c r="E27" s="198" t="s">
        <v>29</v>
      </c>
      <c r="F27" s="198" t="s">
        <v>21</v>
      </c>
      <c r="G27" s="199" t="s">
        <v>70</v>
      </c>
      <c r="H27" s="199" t="s">
        <v>26</v>
      </c>
      <c r="I27" s="199" t="s">
        <v>167</v>
      </c>
      <c r="J27" s="200" t="s">
        <v>1435</v>
      </c>
      <c r="K27" s="245">
        <v>150000</v>
      </c>
      <c r="L27" s="201" t="s">
        <v>2057</v>
      </c>
      <c r="M27" s="201" t="s">
        <v>14</v>
      </c>
    </row>
    <row r="28" spans="1:13">
      <c r="A28" s="198" t="str">
        <f>[1]Información!$A$18</f>
        <v>BEXTECHNOLOGY</v>
      </c>
      <c r="B28" s="198" t="s">
        <v>9759</v>
      </c>
      <c r="C28" s="198" t="s">
        <v>9734</v>
      </c>
      <c r="D28" s="198" t="s">
        <v>120</v>
      </c>
      <c r="E28" s="198" t="s">
        <v>29</v>
      </c>
      <c r="F28" s="198" t="s">
        <v>21</v>
      </c>
      <c r="G28" s="199" t="s">
        <v>70</v>
      </c>
      <c r="H28" s="199" t="s">
        <v>42</v>
      </c>
      <c r="I28" s="199" t="s">
        <v>167</v>
      </c>
      <c r="J28" s="200" t="s">
        <v>1435</v>
      </c>
      <c r="K28" s="245">
        <v>170000</v>
      </c>
      <c r="L28" s="201" t="s">
        <v>2057</v>
      </c>
      <c r="M28" s="201" t="s">
        <v>14</v>
      </c>
    </row>
    <row r="29" spans="1:13">
      <c r="A29" s="198" t="str">
        <f>[1]Información!$A$18</f>
        <v>BEXTECHNOLOGY</v>
      </c>
      <c r="B29" s="198" t="s">
        <v>9760</v>
      </c>
      <c r="C29" s="198" t="s">
        <v>9734</v>
      </c>
      <c r="D29" s="198" t="s">
        <v>120</v>
      </c>
      <c r="E29" s="198" t="s">
        <v>29</v>
      </c>
      <c r="F29" s="198" t="s">
        <v>21</v>
      </c>
      <c r="G29" s="199" t="s">
        <v>74</v>
      </c>
      <c r="H29" s="199" t="s">
        <v>26</v>
      </c>
      <c r="I29" s="199" t="s">
        <v>167</v>
      </c>
      <c r="J29" s="200" t="s">
        <v>1435</v>
      </c>
      <c r="K29" s="245">
        <v>150000</v>
      </c>
      <c r="L29" s="201" t="s">
        <v>2057</v>
      </c>
      <c r="M29" s="201" t="s">
        <v>14</v>
      </c>
    </row>
    <row r="30" spans="1:13">
      <c r="A30" s="198" t="str">
        <f>[1]Información!$A$18</f>
        <v>BEXTECHNOLOGY</v>
      </c>
      <c r="B30" s="198" t="s">
        <v>9761</v>
      </c>
      <c r="C30" s="198" t="s">
        <v>9734</v>
      </c>
      <c r="D30" s="198" t="s">
        <v>120</v>
      </c>
      <c r="E30" s="198" t="s">
        <v>29</v>
      </c>
      <c r="F30" s="198" t="s">
        <v>21</v>
      </c>
      <c r="G30" s="199" t="s">
        <v>74</v>
      </c>
      <c r="H30" s="199" t="s">
        <v>42</v>
      </c>
      <c r="I30" s="199" t="s">
        <v>167</v>
      </c>
      <c r="J30" s="200" t="s">
        <v>1435</v>
      </c>
      <c r="K30" s="245">
        <v>190000</v>
      </c>
      <c r="L30" s="201" t="s">
        <v>2057</v>
      </c>
      <c r="M30" s="201" t="s">
        <v>14</v>
      </c>
    </row>
    <row r="31" spans="1:13">
      <c r="A31" s="198" t="str">
        <f>[1]Información!$A$18</f>
        <v>BEXTECHNOLOGY</v>
      </c>
      <c r="B31" s="198" t="s">
        <v>9762</v>
      </c>
      <c r="C31" s="198" t="s">
        <v>9734</v>
      </c>
      <c r="D31" s="198" t="s">
        <v>120</v>
      </c>
      <c r="E31" s="198" t="s">
        <v>29</v>
      </c>
      <c r="F31" s="198" t="s">
        <v>21</v>
      </c>
      <c r="G31" s="199" t="s">
        <v>72</v>
      </c>
      <c r="H31" s="199" t="s">
        <v>26</v>
      </c>
      <c r="I31" s="199" t="s">
        <v>167</v>
      </c>
      <c r="J31" s="200" t="s">
        <v>1435</v>
      </c>
      <c r="K31" s="245">
        <v>150000</v>
      </c>
      <c r="L31" s="201" t="s">
        <v>2057</v>
      </c>
      <c r="M31" s="201" t="s">
        <v>14</v>
      </c>
    </row>
    <row r="32" spans="1:13">
      <c r="A32" s="198" t="str">
        <f>[1]Información!$A$18</f>
        <v>BEXTECHNOLOGY</v>
      </c>
      <c r="B32" s="198" t="s">
        <v>9763</v>
      </c>
      <c r="C32" s="198" t="s">
        <v>9734</v>
      </c>
      <c r="D32" s="198" t="s">
        <v>120</v>
      </c>
      <c r="E32" s="198" t="s">
        <v>29</v>
      </c>
      <c r="F32" s="198" t="s">
        <v>21</v>
      </c>
      <c r="G32" s="199" t="s">
        <v>72</v>
      </c>
      <c r="H32" s="199" t="s">
        <v>42</v>
      </c>
      <c r="I32" s="199" t="s">
        <v>167</v>
      </c>
      <c r="J32" s="200" t="s">
        <v>1435</v>
      </c>
      <c r="K32" s="245">
        <v>250000</v>
      </c>
      <c r="L32" s="201" t="s">
        <v>2057</v>
      </c>
      <c r="M32" s="201" t="s">
        <v>14</v>
      </c>
    </row>
    <row r="33" spans="1:13">
      <c r="A33" s="198" t="str">
        <f>[1]Información!$A$18</f>
        <v>BEXTECHNOLOGY</v>
      </c>
      <c r="B33" s="198" t="s">
        <v>9764</v>
      </c>
      <c r="C33" s="198" t="s">
        <v>9734</v>
      </c>
      <c r="D33" s="198" t="s">
        <v>127</v>
      </c>
      <c r="E33" s="198" t="s">
        <v>128</v>
      </c>
      <c r="F33" s="198" t="s">
        <v>21</v>
      </c>
      <c r="G33" s="199" t="s">
        <v>70</v>
      </c>
      <c r="H33" s="199" t="s">
        <v>42</v>
      </c>
      <c r="I33" s="199" t="s">
        <v>167</v>
      </c>
      <c r="J33" s="200" t="s">
        <v>1435</v>
      </c>
      <c r="K33" s="245">
        <v>20000000</v>
      </c>
      <c r="L33" s="201" t="s">
        <v>2057</v>
      </c>
      <c r="M33" s="201" t="s">
        <v>14</v>
      </c>
    </row>
    <row r="34" spans="1:13">
      <c r="A34" s="198" t="str">
        <f>[1]Información!$A$18</f>
        <v>BEXTECHNOLOGY</v>
      </c>
      <c r="B34" s="198" t="s">
        <v>9765</v>
      </c>
      <c r="C34" s="198" t="s">
        <v>9734</v>
      </c>
      <c r="D34" s="198" t="s">
        <v>127</v>
      </c>
      <c r="E34" s="198" t="s">
        <v>128</v>
      </c>
      <c r="F34" s="198" t="s">
        <v>21</v>
      </c>
      <c r="G34" s="199" t="s">
        <v>74</v>
      </c>
      <c r="H34" s="199" t="s">
        <v>42</v>
      </c>
      <c r="I34" s="199" t="s">
        <v>167</v>
      </c>
      <c r="J34" s="200" t="s">
        <v>1435</v>
      </c>
      <c r="K34" s="245">
        <v>24000000</v>
      </c>
      <c r="L34" s="201" t="s">
        <v>2057</v>
      </c>
      <c r="M34" s="201" t="s">
        <v>14</v>
      </c>
    </row>
    <row r="35" spans="1:13">
      <c r="A35" s="198" t="str">
        <f>[1]Información!$A$18</f>
        <v>BEXTECHNOLOGY</v>
      </c>
      <c r="B35" s="198" t="s">
        <v>9766</v>
      </c>
      <c r="C35" s="198" t="s">
        <v>9734</v>
      </c>
      <c r="D35" s="198" t="s">
        <v>127</v>
      </c>
      <c r="E35" s="198" t="s">
        <v>128</v>
      </c>
      <c r="F35" s="198" t="s">
        <v>21</v>
      </c>
      <c r="G35" s="199" t="s">
        <v>72</v>
      </c>
      <c r="H35" s="199" t="s">
        <v>42</v>
      </c>
      <c r="I35" s="199" t="s">
        <v>167</v>
      </c>
      <c r="J35" s="200" t="s">
        <v>1435</v>
      </c>
      <c r="K35" s="245">
        <v>28000000</v>
      </c>
      <c r="L35" s="201" t="s">
        <v>2057</v>
      </c>
      <c r="M35" s="201" t="s">
        <v>14</v>
      </c>
    </row>
    <row r="36" spans="1:13">
      <c r="A36" s="198" t="str">
        <f>[1]Información!$A$18</f>
        <v>BEXTECHNOLOGY</v>
      </c>
      <c r="B36" s="198" t="s">
        <v>9767</v>
      </c>
      <c r="C36" s="198" t="s">
        <v>9734</v>
      </c>
      <c r="D36" s="198" t="s">
        <v>9768</v>
      </c>
      <c r="E36" s="198" t="s">
        <v>133</v>
      </c>
      <c r="F36" s="198" t="s">
        <v>21</v>
      </c>
      <c r="G36" s="199" t="s">
        <v>70</v>
      </c>
      <c r="H36" s="199" t="s">
        <v>26</v>
      </c>
      <c r="I36" s="199" t="s">
        <v>436</v>
      </c>
      <c r="J36" s="200" t="s">
        <v>8866</v>
      </c>
      <c r="K36" s="245">
        <v>15000000</v>
      </c>
      <c r="L36" s="201" t="s">
        <v>173</v>
      </c>
      <c r="M36" s="201" t="s">
        <v>14</v>
      </c>
    </row>
    <row r="37" spans="1:13">
      <c r="A37" s="198" t="str">
        <f>[1]Información!$A$18</f>
        <v>BEXTECHNOLOGY</v>
      </c>
      <c r="B37" s="198" t="s">
        <v>9769</v>
      </c>
      <c r="C37" s="198" t="s">
        <v>9734</v>
      </c>
      <c r="D37" s="198" t="s">
        <v>9768</v>
      </c>
      <c r="E37" s="198" t="s">
        <v>133</v>
      </c>
      <c r="F37" s="198" t="s">
        <v>21</v>
      </c>
      <c r="G37" s="199" t="s">
        <v>70</v>
      </c>
      <c r="H37" s="199" t="s">
        <v>42</v>
      </c>
      <c r="I37" s="199" t="s">
        <v>436</v>
      </c>
      <c r="J37" s="200" t="s">
        <v>8866</v>
      </c>
      <c r="K37" s="245">
        <v>20000000</v>
      </c>
      <c r="L37" s="201" t="s">
        <v>2057</v>
      </c>
      <c r="M37" s="201" t="s">
        <v>14</v>
      </c>
    </row>
    <row r="38" spans="1:13">
      <c r="A38" s="198" t="str">
        <f>[1]Información!$A$18</f>
        <v>BEXTECHNOLOGY</v>
      </c>
      <c r="B38" s="198" t="s">
        <v>9770</v>
      </c>
      <c r="C38" s="198" t="s">
        <v>9734</v>
      </c>
      <c r="D38" s="198" t="s">
        <v>9768</v>
      </c>
      <c r="E38" s="198" t="s">
        <v>133</v>
      </c>
      <c r="F38" s="198" t="s">
        <v>21</v>
      </c>
      <c r="G38" s="199" t="s">
        <v>74</v>
      </c>
      <c r="H38" s="199" t="s">
        <v>26</v>
      </c>
      <c r="I38" s="199" t="s">
        <v>436</v>
      </c>
      <c r="J38" s="200" t="s">
        <v>8866</v>
      </c>
      <c r="K38" s="245">
        <v>17000000</v>
      </c>
      <c r="L38" s="201" t="s">
        <v>173</v>
      </c>
      <c r="M38" s="201" t="s">
        <v>14</v>
      </c>
    </row>
    <row r="39" spans="1:13">
      <c r="A39" s="198" t="str">
        <f>[1]Información!$A$18</f>
        <v>BEXTECHNOLOGY</v>
      </c>
      <c r="B39" s="198" t="s">
        <v>9771</v>
      </c>
      <c r="C39" s="198" t="s">
        <v>9734</v>
      </c>
      <c r="D39" s="198" t="s">
        <v>9768</v>
      </c>
      <c r="E39" s="198" t="s">
        <v>133</v>
      </c>
      <c r="F39" s="198" t="s">
        <v>21</v>
      </c>
      <c r="G39" s="199" t="s">
        <v>74</v>
      </c>
      <c r="H39" s="199" t="s">
        <v>42</v>
      </c>
      <c r="I39" s="199" t="s">
        <v>436</v>
      </c>
      <c r="J39" s="200" t="s">
        <v>8866</v>
      </c>
      <c r="K39" s="245">
        <v>20000000</v>
      </c>
      <c r="L39" s="201" t="s">
        <v>2057</v>
      </c>
      <c r="M39" s="201" t="s">
        <v>14</v>
      </c>
    </row>
    <row r="40" spans="1:13">
      <c r="A40" s="198" t="str">
        <f>[1]Información!$A$18</f>
        <v>BEXTECHNOLOGY</v>
      </c>
      <c r="B40" s="198" t="s">
        <v>9772</v>
      </c>
      <c r="C40" s="198" t="s">
        <v>9734</v>
      </c>
      <c r="D40" s="198" t="s">
        <v>9768</v>
      </c>
      <c r="E40" s="198" t="s">
        <v>133</v>
      </c>
      <c r="F40" s="198" t="s">
        <v>21</v>
      </c>
      <c r="G40" s="199" t="s">
        <v>72</v>
      </c>
      <c r="H40" s="199" t="s">
        <v>26</v>
      </c>
      <c r="I40" s="199" t="s">
        <v>436</v>
      </c>
      <c r="J40" s="200" t="s">
        <v>8866</v>
      </c>
      <c r="K40" s="245">
        <v>19000000</v>
      </c>
      <c r="L40" s="201" t="s">
        <v>173</v>
      </c>
      <c r="M40" s="201" t="s">
        <v>14</v>
      </c>
    </row>
    <row r="41" spans="1:13">
      <c r="A41" s="198" t="str">
        <f>[1]Información!$A$18</f>
        <v>BEXTECHNOLOGY</v>
      </c>
      <c r="B41" s="198" t="s">
        <v>9773</v>
      </c>
      <c r="C41" s="198" t="s">
        <v>9734</v>
      </c>
      <c r="D41" s="198" t="s">
        <v>9768</v>
      </c>
      <c r="E41" s="198" t="s">
        <v>133</v>
      </c>
      <c r="F41" s="198" t="s">
        <v>21</v>
      </c>
      <c r="G41" s="199" t="s">
        <v>72</v>
      </c>
      <c r="H41" s="199" t="s">
        <v>42</v>
      </c>
      <c r="I41" s="199" t="s">
        <v>436</v>
      </c>
      <c r="J41" s="200" t="s">
        <v>8866</v>
      </c>
      <c r="K41" s="245">
        <v>20000000</v>
      </c>
      <c r="L41" s="201" t="s">
        <v>2057</v>
      </c>
      <c r="M41" s="201" t="s">
        <v>14</v>
      </c>
    </row>
    <row r="42" spans="1:13">
      <c r="A42" s="198" t="str">
        <f>[1]Información!$A$18</f>
        <v>BEXTECHNOLOGY</v>
      </c>
      <c r="B42" s="198" t="s">
        <v>9774</v>
      </c>
      <c r="C42" s="198" t="s">
        <v>9734</v>
      </c>
      <c r="D42" s="198" t="s">
        <v>9775</v>
      </c>
      <c r="E42" s="198" t="s">
        <v>141</v>
      </c>
      <c r="F42" s="198" t="s">
        <v>21</v>
      </c>
      <c r="G42" s="199" t="s">
        <v>70</v>
      </c>
      <c r="H42" s="199" t="s">
        <v>26</v>
      </c>
      <c r="I42" s="199" t="s">
        <v>167</v>
      </c>
      <c r="J42" s="200" t="s">
        <v>1435</v>
      </c>
      <c r="K42" s="245">
        <v>120000</v>
      </c>
      <c r="L42" s="201" t="s">
        <v>2057</v>
      </c>
      <c r="M42" s="201" t="s">
        <v>14</v>
      </c>
    </row>
    <row r="43" spans="1:13">
      <c r="A43" s="198" t="str">
        <f>[1]Información!$A$18</f>
        <v>BEXTECHNOLOGY</v>
      </c>
      <c r="B43" s="198" t="s">
        <v>9776</v>
      </c>
      <c r="C43" s="198" t="s">
        <v>9734</v>
      </c>
      <c r="D43" s="198" t="s">
        <v>9775</v>
      </c>
      <c r="E43" s="198" t="s">
        <v>141</v>
      </c>
      <c r="F43" s="198" t="s">
        <v>21</v>
      </c>
      <c r="G43" s="199" t="s">
        <v>70</v>
      </c>
      <c r="H43" s="199" t="s">
        <v>42</v>
      </c>
      <c r="I43" s="199" t="s">
        <v>167</v>
      </c>
      <c r="J43" s="200" t="s">
        <v>1435</v>
      </c>
      <c r="K43" s="245">
        <v>150000</v>
      </c>
      <c r="L43" s="201" t="s">
        <v>2057</v>
      </c>
      <c r="M43" s="201" t="s">
        <v>14</v>
      </c>
    </row>
    <row r="44" spans="1:13">
      <c r="A44" s="198" t="str">
        <f>[1]Información!$A$18</f>
        <v>BEXTECHNOLOGY</v>
      </c>
      <c r="B44" s="198" t="s">
        <v>9777</v>
      </c>
      <c r="C44" s="198" t="s">
        <v>9734</v>
      </c>
      <c r="D44" s="198" t="s">
        <v>9775</v>
      </c>
      <c r="E44" s="198" t="s">
        <v>141</v>
      </c>
      <c r="F44" s="198" t="s">
        <v>21</v>
      </c>
      <c r="G44" s="199" t="s">
        <v>74</v>
      </c>
      <c r="H44" s="199" t="s">
        <v>26</v>
      </c>
      <c r="I44" s="199" t="s">
        <v>167</v>
      </c>
      <c r="J44" s="200" t="s">
        <v>1435</v>
      </c>
      <c r="K44" s="245">
        <v>130000</v>
      </c>
      <c r="L44" s="201" t="s">
        <v>2057</v>
      </c>
      <c r="M44" s="201" t="s">
        <v>14</v>
      </c>
    </row>
    <row r="45" spans="1:13">
      <c r="A45" s="198" t="str">
        <f>[1]Información!$A$18</f>
        <v>BEXTECHNOLOGY</v>
      </c>
      <c r="B45" s="198" t="s">
        <v>9778</v>
      </c>
      <c r="C45" s="198" t="s">
        <v>9734</v>
      </c>
      <c r="D45" s="198" t="s">
        <v>9775</v>
      </c>
      <c r="E45" s="198" t="s">
        <v>141</v>
      </c>
      <c r="F45" s="198" t="s">
        <v>21</v>
      </c>
      <c r="G45" s="199" t="s">
        <v>74</v>
      </c>
      <c r="H45" s="199" t="s">
        <v>42</v>
      </c>
      <c r="I45" s="199" t="s">
        <v>167</v>
      </c>
      <c r="J45" s="200" t="s">
        <v>1435</v>
      </c>
      <c r="K45" s="245">
        <v>160000</v>
      </c>
      <c r="L45" s="201" t="s">
        <v>2057</v>
      </c>
      <c r="M45" s="201" t="s">
        <v>14</v>
      </c>
    </row>
    <row r="46" spans="1:13">
      <c r="A46" s="198" t="str">
        <f>[1]Información!$A$18</f>
        <v>BEXTECHNOLOGY</v>
      </c>
      <c r="B46" s="198" t="s">
        <v>9779</v>
      </c>
      <c r="C46" s="198" t="s">
        <v>9734</v>
      </c>
      <c r="D46" s="198" t="s">
        <v>9775</v>
      </c>
      <c r="E46" s="198" t="s">
        <v>141</v>
      </c>
      <c r="F46" s="198" t="s">
        <v>21</v>
      </c>
      <c r="G46" s="199" t="s">
        <v>72</v>
      </c>
      <c r="H46" s="199" t="s">
        <v>26</v>
      </c>
      <c r="I46" s="199" t="s">
        <v>167</v>
      </c>
      <c r="J46" s="200" t="s">
        <v>1435</v>
      </c>
      <c r="K46" s="245">
        <v>140000</v>
      </c>
      <c r="L46" s="201" t="s">
        <v>2057</v>
      </c>
      <c r="M46" s="201" t="s">
        <v>14</v>
      </c>
    </row>
    <row r="47" spans="1:13">
      <c r="A47" s="198" t="str">
        <f>[1]Información!$A$18</f>
        <v>BEXTECHNOLOGY</v>
      </c>
      <c r="B47" s="198" t="s">
        <v>9780</v>
      </c>
      <c r="C47" s="198" t="s">
        <v>9734</v>
      </c>
      <c r="D47" s="198" t="s">
        <v>9775</v>
      </c>
      <c r="E47" s="198" t="s">
        <v>141</v>
      </c>
      <c r="F47" s="198" t="s">
        <v>21</v>
      </c>
      <c r="G47" s="199" t="s">
        <v>72</v>
      </c>
      <c r="H47" s="199" t="s">
        <v>42</v>
      </c>
      <c r="I47" s="199" t="s">
        <v>167</v>
      </c>
      <c r="J47" s="200" t="s">
        <v>1435</v>
      </c>
      <c r="K47" s="245">
        <v>170000</v>
      </c>
      <c r="L47" s="201" t="s">
        <v>2057</v>
      </c>
      <c r="M47" s="201" t="s">
        <v>14</v>
      </c>
    </row>
    <row r="48" spans="1:13">
      <c r="A48" s="198" t="str">
        <f>[1]Información!$A$18</f>
        <v>BEXTECHNOLOGY</v>
      </c>
      <c r="B48" s="198" t="s">
        <v>9781</v>
      </c>
      <c r="C48" s="198" t="s">
        <v>9734</v>
      </c>
      <c r="D48" s="198" t="s">
        <v>148</v>
      </c>
      <c r="E48" s="198" t="s">
        <v>128</v>
      </c>
      <c r="F48" s="198" t="s">
        <v>21</v>
      </c>
      <c r="G48" s="199" t="s">
        <v>70</v>
      </c>
      <c r="H48" s="199" t="s">
        <v>42</v>
      </c>
      <c r="I48" s="199" t="s">
        <v>436</v>
      </c>
      <c r="J48" s="200" t="s">
        <v>1435</v>
      </c>
      <c r="K48" s="245">
        <v>20000000</v>
      </c>
      <c r="L48" s="201" t="s">
        <v>2057</v>
      </c>
      <c r="M48" s="201" t="s">
        <v>14</v>
      </c>
    </row>
    <row r="49" spans="1:13">
      <c r="A49" s="198" t="str">
        <f>[1]Información!$A$18</f>
        <v>BEXTECHNOLOGY</v>
      </c>
      <c r="B49" s="198" t="s">
        <v>9782</v>
      </c>
      <c r="C49" s="198" t="s">
        <v>9734</v>
      </c>
      <c r="D49" s="198" t="s">
        <v>148</v>
      </c>
      <c r="E49" s="198" t="s">
        <v>128</v>
      </c>
      <c r="F49" s="198" t="s">
        <v>21</v>
      </c>
      <c r="G49" s="199" t="s">
        <v>74</v>
      </c>
      <c r="H49" s="199" t="s">
        <v>42</v>
      </c>
      <c r="I49" s="199" t="s">
        <v>436</v>
      </c>
      <c r="J49" s="200" t="s">
        <v>1435</v>
      </c>
      <c r="K49" s="245">
        <v>24000000</v>
      </c>
      <c r="L49" s="201" t="s">
        <v>2057</v>
      </c>
      <c r="M49" s="201" t="s">
        <v>14</v>
      </c>
    </row>
    <row r="50" spans="1:13">
      <c r="A50" s="198" t="str">
        <f>[1]Información!$A$18</f>
        <v>BEXTECHNOLOGY</v>
      </c>
      <c r="B50" s="198" t="s">
        <v>9783</v>
      </c>
      <c r="C50" s="198" t="s">
        <v>9734</v>
      </c>
      <c r="D50" s="198" t="s">
        <v>148</v>
      </c>
      <c r="E50" s="198" t="s">
        <v>128</v>
      </c>
      <c r="F50" s="198" t="s">
        <v>21</v>
      </c>
      <c r="G50" s="199" t="s">
        <v>72</v>
      </c>
      <c r="H50" s="199" t="s">
        <v>42</v>
      </c>
      <c r="I50" s="199" t="s">
        <v>436</v>
      </c>
      <c r="J50" s="200" t="s">
        <v>1435</v>
      </c>
      <c r="K50" s="245">
        <v>28000000</v>
      </c>
      <c r="L50" s="201" t="s">
        <v>2057</v>
      </c>
      <c r="M50" s="201" t="s">
        <v>14</v>
      </c>
    </row>
    <row r="51" spans="1:13">
      <c r="A51" s="198" t="str">
        <f>[1]Información!$A$18</f>
        <v>BEXTECHNOLOGY</v>
      </c>
      <c r="B51" s="198" t="s">
        <v>9784</v>
      </c>
      <c r="C51" s="198" t="s">
        <v>9734</v>
      </c>
      <c r="D51" s="198" t="s">
        <v>152</v>
      </c>
      <c r="E51" s="198" t="s">
        <v>29</v>
      </c>
      <c r="F51" s="198" t="s">
        <v>21</v>
      </c>
      <c r="G51" s="199" t="s">
        <v>74</v>
      </c>
      <c r="H51" s="199" t="s">
        <v>26</v>
      </c>
      <c r="I51" s="199" t="s">
        <v>436</v>
      </c>
      <c r="J51" s="200" t="s">
        <v>1435</v>
      </c>
      <c r="K51" s="245">
        <v>150000</v>
      </c>
      <c r="L51" s="201" t="s">
        <v>2057</v>
      </c>
      <c r="M51" s="201" t="s">
        <v>14</v>
      </c>
    </row>
    <row r="52" spans="1:13">
      <c r="A52" s="198" t="str">
        <f>[1]Información!$A$18</f>
        <v>BEXTECHNOLOGY</v>
      </c>
      <c r="B52" s="198" t="s">
        <v>9785</v>
      </c>
      <c r="C52" s="198" t="s">
        <v>9734</v>
      </c>
      <c r="D52" s="198" t="s">
        <v>152</v>
      </c>
      <c r="E52" s="198" t="s">
        <v>29</v>
      </c>
      <c r="F52" s="198" t="s">
        <v>21</v>
      </c>
      <c r="G52" s="199" t="s">
        <v>74</v>
      </c>
      <c r="H52" s="199" t="s">
        <v>42</v>
      </c>
      <c r="I52" s="199" t="s">
        <v>436</v>
      </c>
      <c r="J52" s="200" t="s">
        <v>1435</v>
      </c>
      <c r="K52" s="245">
        <v>190000</v>
      </c>
      <c r="L52" s="201" t="s">
        <v>2057</v>
      </c>
      <c r="M52" s="201" t="s">
        <v>14</v>
      </c>
    </row>
    <row r="53" spans="1:13">
      <c r="A53" s="198" t="str">
        <f>[1]Información!$A$18</f>
        <v>BEXTECHNOLOGY</v>
      </c>
      <c r="B53" s="198" t="s">
        <v>9786</v>
      </c>
      <c r="C53" s="198" t="s">
        <v>9734</v>
      </c>
      <c r="D53" s="198" t="s">
        <v>152</v>
      </c>
      <c r="E53" s="198" t="s">
        <v>29</v>
      </c>
      <c r="F53" s="198" t="s">
        <v>21</v>
      </c>
      <c r="G53" s="199" t="s">
        <v>70</v>
      </c>
      <c r="H53" s="199" t="s">
        <v>26</v>
      </c>
      <c r="I53" s="199" t="s">
        <v>436</v>
      </c>
      <c r="J53" s="200" t="s">
        <v>1435</v>
      </c>
      <c r="K53" s="245">
        <v>250000</v>
      </c>
      <c r="L53" s="201" t="s">
        <v>2057</v>
      </c>
      <c r="M53" s="201" t="s">
        <v>14</v>
      </c>
    </row>
    <row r="54" spans="1:13">
      <c r="A54" s="198" t="str">
        <f>[1]Información!$A$18</f>
        <v>BEXTECHNOLOGY</v>
      </c>
      <c r="B54" s="198" t="s">
        <v>9787</v>
      </c>
      <c r="C54" s="198" t="s">
        <v>9734</v>
      </c>
      <c r="D54" s="198" t="s">
        <v>152</v>
      </c>
      <c r="E54" s="198" t="s">
        <v>29</v>
      </c>
      <c r="F54" s="198" t="s">
        <v>21</v>
      </c>
      <c r="G54" s="199" t="s">
        <v>72</v>
      </c>
      <c r="H54" s="199" t="s">
        <v>26</v>
      </c>
      <c r="I54" s="199" t="s">
        <v>436</v>
      </c>
      <c r="J54" s="200" t="s">
        <v>1435</v>
      </c>
      <c r="K54" s="245">
        <v>150000</v>
      </c>
      <c r="L54" s="201" t="s">
        <v>2057</v>
      </c>
      <c r="M54" s="201" t="s">
        <v>14</v>
      </c>
    </row>
    <row r="55" spans="1:13">
      <c r="A55" s="198" t="str">
        <f>[1]Información!$A$18</f>
        <v>BEXTECHNOLOGY</v>
      </c>
      <c r="B55" s="198" t="s">
        <v>9788</v>
      </c>
      <c r="C55" s="198" t="s">
        <v>9734</v>
      </c>
      <c r="D55" s="198" t="s">
        <v>152</v>
      </c>
      <c r="E55" s="198" t="s">
        <v>29</v>
      </c>
      <c r="F55" s="198" t="s">
        <v>21</v>
      </c>
      <c r="G55" s="199" t="s">
        <v>72</v>
      </c>
      <c r="H55" s="199" t="s">
        <v>42</v>
      </c>
      <c r="I55" s="199" t="s">
        <v>436</v>
      </c>
      <c r="J55" s="200" t="s">
        <v>1435</v>
      </c>
      <c r="K55" s="245">
        <v>250000</v>
      </c>
      <c r="L55" s="201" t="s">
        <v>2057</v>
      </c>
      <c r="M55" s="201" t="s">
        <v>14</v>
      </c>
    </row>
    <row r="56" spans="1:13">
      <c r="A56" s="198" t="str">
        <f>[1]Información!$A$18</f>
        <v>BEXTECHNOLOGY</v>
      </c>
      <c r="B56" s="198" t="s">
        <v>9789</v>
      </c>
      <c r="C56" s="198" t="s">
        <v>9734</v>
      </c>
      <c r="D56" s="198" t="s">
        <v>152</v>
      </c>
      <c r="E56" s="198" t="s">
        <v>29</v>
      </c>
      <c r="F56" s="198" t="s">
        <v>21</v>
      </c>
      <c r="G56" s="199" t="s">
        <v>70</v>
      </c>
      <c r="H56" s="199" t="s">
        <v>42</v>
      </c>
      <c r="I56" s="199" t="s">
        <v>436</v>
      </c>
      <c r="J56" s="200" t="s">
        <v>1435</v>
      </c>
      <c r="K56" s="245">
        <v>170000</v>
      </c>
      <c r="L56" s="201" t="s">
        <v>2057</v>
      </c>
      <c r="M56" s="201" t="s">
        <v>14</v>
      </c>
    </row>
    <row r="57" spans="1:13">
      <c r="A57" s="198" t="str">
        <f>[1]Información!$A$18</f>
        <v>BEXTECHNOLOGY</v>
      </c>
      <c r="B57" s="198" t="s">
        <v>9790</v>
      </c>
      <c r="C57" s="198" t="s">
        <v>9734</v>
      </c>
      <c r="D57" s="198" t="s">
        <v>159</v>
      </c>
      <c r="E57" s="198" t="s">
        <v>29</v>
      </c>
      <c r="F57" s="198" t="s">
        <v>21</v>
      </c>
      <c r="G57" s="199" t="s">
        <v>70</v>
      </c>
      <c r="H57" s="199" t="s">
        <v>42</v>
      </c>
      <c r="I57" s="199" t="s">
        <v>436</v>
      </c>
      <c r="J57" s="200" t="s">
        <v>1435</v>
      </c>
      <c r="K57" s="245">
        <v>170000</v>
      </c>
      <c r="L57" s="201" t="s">
        <v>2057</v>
      </c>
      <c r="M57" s="201" t="s">
        <v>14</v>
      </c>
    </row>
    <row r="58" spans="1:13">
      <c r="A58" s="198" t="str">
        <f>[1]Información!$A$18</f>
        <v>BEXTECHNOLOGY</v>
      </c>
      <c r="B58" s="198" t="s">
        <v>9791</v>
      </c>
      <c r="C58" s="198" t="s">
        <v>9734</v>
      </c>
      <c r="D58" s="198" t="s">
        <v>159</v>
      </c>
      <c r="E58" s="198" t="s">
        <v>29</v>
      </c>
      <c r="F58" s="198" t="s">
        <v>21</v>
      </c>
      <c r="G58" s="199" t="s">
        <v>74</v>
      </c>
      <c r="H58" s="199" t="s">
        <v>26</v>
      </c>
      <c r="I58" s="199" t="s">
        <v>436</v>
      </c>
      <c r="J58" s="200" t="s">
        <v>1435</v>
      </c>
      <c r="K58" s="245">
        <v>150000</v>
      </c>
      <c r="L58" s="201" t="s">
        <v>2057</v>
      </c>
      <c r="M58" s="201" t="s">
        <v>14</v>
      </c>
    </row>
    <row r="59" spans="1:13">
      <c r="A59" s="198" t="str">
        <f>[1]Información!$A$18</f>
        <v>BEXTECHNOLOGY</v>
      </c>
      <c r="B59" s="198" t="s">
        <v>9792</v>
      </c>
      <c r="C59" s="198" t="s">
        <v>9734</v>
      </c>
      <c r="D59" s="198" t="s">
        <v>159</v>
      </c>
      <c r="E59" s="198" t="s">
        <v>29</v>
      </c>
      <c r="F59" s="198" t="s">
        <v>21</v>
      </c>
      <c r="G59" s="199" t="s">
        <v>74</v>
      </c>
      <c r="H59" s="199" t="s">
        <v>42</v>
      </c>
      <c r="I59" s="199" t="s">
        <v>436</v>
      </c>
      <c r="J59" s="200" t="s">
        <v>1435</v>
      </c>
      <c r="K59" s="245">
        <v>190000</v>
      </c>
      <c r="L59" s="201" t="s">
        <v>2057</v>
      </c>
      <c r="M59" s="201" t="s">
        <v>14</v>
      </c>
    </row>
    <row r="60" spans="1:13">
      <c r="A60" s="198" t="str">
        <f>[1]Información!$A$18</f>
        <v>BEXTECHNOLOGY</v>
      </c>
      <c r="B60" s="198" t="s">
        <v>9793</v>
      </c>
      <c r="C60" s="198" t="s">
        <v>9734</v>
      </c>
      <c r="D60" s="198" t="s">
        <v>159</v>
      </c>
      <c r="E60" s="198" t="s">
        <v>29</v>
      </c>
      <c r="F60" s="198" t="s">
        <v>21</v>
      </c>
      <c r="G60" s="199" t="s">
        <v>72</v>
      </c>
      <c r="H60" s="199" t="s">
        <v>26</v>
      </c>
      <c r="I60" s="199" t="s">
        <v>436</v>
      </c>
      <c r="J60" s="200" t="s">
        <v>1435</v>
      </c>
      <c r="K60" s="245">
        <v>150000</v>
      </c>
      <c r="L60" s="201" t="s">
        <v>2057</v>
      </c>
      <c r="M60" s="201" t="s">
        <v>14</v>
      </c>
    </row>
    <row r="61" spans="1:13">
      <c r="A61" s="198" t="str">
        <f>[1]Información!$A$18</f>
        <v>BEXTECHNOLOGY</v>
      </c>
      <c r="B61" s="198" t="s">
        <v>9794</v>
      </c>
      <c r="C61" s="198" t="s">
        <v>9734</v>
      </c>
      <c r="D61" s="198" t="s">
        <v>159</v>
      </c>
      <c r="E61" s="198" t="s">
        <v>29</v>
      </c>
      <c r="F61" s="198" t="s">
        <v>21</v>
      </c>
      <c r="G61" s="199" t="s">
        <v>72</v>
      </c>
      <c r="H61" s="199" t="s">
        <v>42</v>
      </c>
      <c r="I61" s="199" t="s">
        <v>436</v>
      </c>
      <c r="J61" s="200" t="s">
        <v>1435</v>
      </c>
      <c r="K61" s="245">
        <v>250000</v>
      </c>
      <c r="L61" s="201" t="s">
        <v>2057</v>
      </c>
      <c r="M61" s="201" t="s">
        <v>14</v>
      </c>
    </row>
    <row r="62" spans="1:13">
      <c r="A62" s="198" t="str">
        <f>[1]Información!$A$18</f>
        <v>BEXTECHNOLOGY</v>
      </c>
      <c r="B62" s="198" t="s">
        <v>9795</v>
      </c>
      <c r="C62" s="198" t="s">
        <v>9734</v>
      </c>
      <c r="D62" s="198" t="s">
        <v>159</v>
      </c>
      <c r="E62" s="198" t="s">
        <v>29</v>
      </c>
      <c r="F62" s="198" t="s">
        <v>21</v>
      </c>
      <c r="G62" s="199" t="s">
        <v>70</v>
      </c>
      <c r="H62" s="199" t="s">
        <v>26</v>
      </c>
      <c r="I62" s="199" t="s">
        <v>436</v>
      </c>
      <c r="J62" s="200" t="s">
        <v>1435</v>
      </c>
      <c r="K62" s="245">
        <v>150000</v>
      </c>
      <c r="L62" s="201" t="s">
        <v>2057</v>
      </c>
      <c r="M62" s="201" t="s">
        <v>14</v>
      </c>
    </row>
    <row r="63" spans="1:13">
      <c r="A63" s="198" t="str">
        <f>[1]Información!$A$18</f>
        <v>BEXTECHNOLOGY</v>
      </c>
      <c r="B63" s="198" t="s">
        <v>9796</v>
      </c>
      <c r="C63" s="198" t="s">
        <v>9734</v>
      </c>
      <c r="D63" s="247" t="s">
        <v>9797</v>
      </c>
      <c r="E63" s="198" t="s">
        <v>9798</v>
      </c>
      <c r="F63" s="198" t="s">
        <v>168</v>
      </c>
      <c r="G63" s="198" t="s">
        <v>251</v>
      </c>
      <c r="H63" s="198" t="s">
        <v>251</v>
      </c>
      <c r="I63" s="198" t="s">
        <v>251</v>
      </c>
      <c r="J63" s="246" t="s">
        <v>8866</v>
      </c>
      <c r="K63" s="248">
        <v>2200000</v>
      </c>
      <c r="L63" s="201" t="s">
        <v>2057</v>
      </c>
      <c r="M63" s="249" t="s">
        <v>14</v>
      </c>
    </row>
    <row r="64" spans="1:13">
      <c r="A64" s="198" t="str">
        <f>[1]Información!$A$18</f>
        <v>BEXTECHNOLOGY</v>
      </c>
      <c r="B64" s="198" t="s">
        <v>9799</v>
      </c>
      <c r="C64" s="198" t="s">
        <v>9734</v>
      </c>
      <c r="D64" s="247" t="s">
        <v>9800</v>
      </c>
      <c r="E64" s="198" t="s">
        <v>9798</v>
      </c>
      <c r="F64" s="198" t="s">
        <v>168</v>
      </c>
      <c r="G64" s="198" t="s">
        <v>251</v>
      </c>
      <c r="H64" s="198" t="s">
        <v>251</v>
      </c>
      <c r="I64" s="198" t="s">
        <v>251</v>
      </c>
      <c r="J64" s="246" t="s">
        <v>8866</v>
      </c>
      <c r="K64" s="248">
        <v>2500000</v>
      </c>
      <c r="L64" s="201" t="s">
        <v>2057</v>
      </c>
      <c r="M64" s="249" t="s">
        <v>14</v>
      </c>
    </row>
    <row r="65" spans="1:13">
      <c r="A65" s="198" t="str">
        <f>[1]Información!$A$18</f>
        <v>BEXTECHNOLOGY</v>
      </c>
      <c r="B65" s="198" t="s">
        <v>9801</v>
      </c>
      <c r="C65" s="198" t="s">
        <v>9734</v>
      </c>
      <c r="D65" s="247" t="s">
        <v>9802</v>
      </c>
      <c r="E65" s="198" t="s">
        <v>76</v>
      </c>
      <c r="F65" s="198" t="s">
        <v>25</v>
      </c>
      <c r="G65" s="198" t="s">
        <v>251</v>
      </c>
      <c r="H65" s="198" t="s">
        <v>251</v>
      </c>
      <c r="I65" s="198" t="s">
        <v>251</v>
      </c>
      <c r="J65" s="246" t="s">
        <v>8866</v>
      </c>
      <c r="K65" s="248">
        <v>350000</v>
      </c>
      <c r="L65" s="201" t="s">
        <v>2057</v>
      </c>
      <c r="M65" s="249" t="s">
        <v>14</v>
      </c>
    </row>
    <row r="66" spans="1:13">
      <c r="A66" s="198" t="str">
        <f>[1]Información!$A$18</f>
        <v>BEXTECHNOLOGY</v>
      </c>
      <c r="B66" s="198" t="s">
        <v>9803</v>
      </c>
      <c r="C66" s="198" t="s">
        <v>9734</v>
      </c>
      <c r="D66" s="247" t="s">
        <v>9804</v>
      </c>
      <c r="E66" s="198" t="s">
        <v>128</v>
      </c>
      <c r="F66" s="198" t="s">
        <v>21</v>
      </c>
      <c r="G66" s="198" t="s">
        <v>70</v>
      </c>
      <c r="H66" s="198" t="s">
        <v>26</v>
      </c>
      <c r="I66" s="198" t="s">
        <v>251</v>
      </c>
      <c r="J66" s="246" t="s">
        <v>1435</v>
      </c>
      <c r="K66" s="248">
        <v>8000000</v>
      </c>
      <c r="L66" s="249" t="s">
        <v>173</v>
      </c>
      <c r="M66" s="249" t="s">
        <v>14</v>
      </c>
    </row>
    <row r="67" spans="1:13">
      <c r="A67" s="198" t="str">
        <f>[1]Información!$A$18</f>
        <v>BEXTECHNOLOGY</v>
      </c>
      <c r="B67" s="198" t="s">
        <v>9805</v>
      </c>
      <c r="C67" s="198" t="s">
        <v>9734</v>
      </c>
      <c r="D67" s="247" t="s">
        <v>9804</v>
      </c>
      <c r="E67" s="198" t="s">
        <v>128</v>
      </c>
      <c r="F67" s="198" t="s">
        <v>21</v>
      </c>
      <c r="G67" s="198" t="s">
        <v>74</v>
      </c>
      <c r="H67" s="198" t="s">
        <v>26</v>
      </c>
      <c r="I67" s="198" t="s">
        <v>251</v>
      </c>
      <c r="J67" s="246" t="s">
        <v>1435</v>
      </c>
      <c r="K67" s="248">
        <v>8000000</v>
      </c>
      <c r="L67" s="249" t="s">
        <v>173</v>
      </c>
      <c r="M67" s="249" t="s">
        <v>14</v>
      </c>
    </row>
    <row r="68" spans="1:13">
      <c r="A68" s="198" t="str">
        <f>[1]Información!$A$18</f>
        <v>BEXTECHNOLOGY</v>
      </c>
      <c r="B68" s="198" t="s">
        <v>9806</v>
      </c>
      <c r="C68" s="198" t="s">
        <v>9734</v>
      </c>
      <c r="D68" s="247" t="s">
        <v>9804</v>
      </c>
      <c r="E68" s="198" t="s">
        <v>128</v>
      </c>
      <c r="F68" s="198" t="s">
        <v>21</v>
      </c>
      <c r="G68" s="198" t="s">
        <v>72</v>
      </c>
      <c r="H68" s="198" t="s">
        <v>26</v>
      </c>
      <c r="I68" s="198" t="s">
        <v>251</v>
      </c>
      <c r="J68" s="246" t="s">
        <v>1435</v>
      </c>
      <c r="K68" s="248">
        <v>8000000</v>
      </c>
      <c r="L68" s="249" t="s">
        <v>173</v>
      </c>
      <c r="M68" s="249" t="s">
        <v>14</v>
      </c>
    </row>
    <row r="69" spans="1:13">
      <c r="A69" s="198" t="str">
        <f>[1]Información!$A$18</f>
        <v>BEXTECHNOLOGY</v>
      </c>
      <c r="B69" s="198" t="s">
        <v>9807</v>
      </c>
      <c r="C69" s="198" t="s">
        <v>9734</v>
      </c>
      <c r="D69" s="247" t="s">
        <v>9808</v>
      </c>
      <c r="E69" s="198" t="s">
        <v>128</v>
      </c>
      <c r="F69" s="198" t="s">
        <v>21</v>
      </c>
      <c r="G69" s="198" t="s">
        <v>70</v>
      </c>
      <c r="H69" s="198" t="s">
        <v>26</v>
      </c>
      <c r="I69" s="198" t="s">
        <v>251</v>
      </c>
      <c r="J69" s="246" t="s">
        <v>1435</v>
      </c>
      <c r="K69" s="248">
        <v>10000000</v>
      </c>
      <c r="L69" s="249" t="s">
        <v>173</v>
      </c>
      <c r="M69" s="201" t="s">
        <v>14</v>
      </c>
    </row>
    <row r="70" spans="1:13">
      <c r="A70" s="198" t="str">
        <f>[1]Información!$A$18</f>
        <v>BEXTECHNOLOGY</v>
      </c>
      <c r="B70" s="198" t="s">
        <v>9809</v>
      </c>
      <c r="C70" s="198" t="s">
        <v>9734</v>
      </c>
      <c r="D70" s="247" t="s">
        <v>9808</v>
      </c>
      <c r="E70" s="198" t="s">
        <v>128</v>
      </c>
      <c r="F70" s="198" t="s">
        <v>21</v>
      </c>
      <c r="G70" s="198" t="s">
        <v>74</v>
      </c>
      <c r="H70" s="198" t="s">
        <v>26</v>
      </c>
      <c r="I70" s="198" t="s">
        <v>251</v>
      </c>
      <c r="J70" s="246" t="s">
        <v>1435</v>
      </c>
      <c r="K70" s="248">
        <v>10000000</v>
      </c>
      <c r="L70" s="249" t="s">
        <v>173</v>
      </c>
      <c r="M70" s="201" t="s">
        <v>14</v>
      </c>
    </row>
    <row r="71" spans="1:13">
      <c r="A71" s="198" t="str">
        <f>[1]Información!$A$18</f>
        <v>BEXTECHNOLOGY</v>
      </c>
      <c r="B71" s="198" t="s">
        <v>9810</v>
      </c>
      <c r="C71" s="198" t="s">
        <v>9734</v>
      </c>
      <c r="D71" s="247" t="s">
        <v>9808</v>
      </c>
      <c r="E71" s="198" t="s">
        <v>128</v>
      </c>
      <c r="F71" s="198" t="s">
        <v>21</v>
      </c>
      <c r="G71" s="198" t="s">
        <v>72</v>
      </c>
      <c r="H71" s="198" t="s">
        <v>26</v>
      </c>
      <c r="I71" s="198" t="s">
        <v>251</v>
      </c>
      <c r="J71" s="246" t="s">
        <v>1435</v>
      </c>
      <c r="K71" s="248">
        <v>10000000</v>
      </c>
      <c r="L71" s="249" t="s">
        <v>173</v>
      </c>
      <c r="M71" s="201" t="s">
        <v>14</v>
      </c>
    </row>
    <row r="72" spans="1:13">
      <c r="A72" s="198" t="str">
        <f>[1]Información!$A$18</f>
        <v>BEXTECHNOLOGY</v>
      </c>
      <c r="B72" s="198" t="s">
        <v>9811</v>
      </c>
      <c r="C72" s="198" t="s">
        <v>9734</v>
      </c>
      <c r="D72" s="247" t="s">
        <v>9812</v>
      </c>
      <c r="E72" s="198" t="s">
        <v>128</v>
      </c>
      <c r="F72" s="198" t="s">
        <v>21</v>
      </c>
      <c r="G72" s="198" t="s">
        <v>70</v>
      </c>
      <c r="H72" s="198" t="s">
        <v>26</v>
      </c>
      <c r="I72" s="198" t="s">
        <v>251</v>
      </c>
      <c r="J72" s="246" t="s">
        <v>1435</v>
      </c>
      <c r="K72" s="248">
        <v>12000000</v>
      </c>
      <c r="L72" s="249" t="s">
        <v>173</v>
      </c>
      <c r="M72" s="201" t="s">
        <v>14</v>
      </c>
    </row>
    <row r="73" spans="1:13">
      <c r="A73" s="198" t="str">
        <f>[1]Información!$A$18</f>
        <v>BEXTECHNOLOGY</v>
      </c>
      <c r="B73" s="198" t="s">
        <v>9813</v>
      </c>
      <c r="C73" s="198" t="s">
        <v>9734</v>
      </c>
      <c r="D73" s="247" t="s">
        <v>9812</v>
      </c>
      <c r="E73" s="198" t="s">
        <v>128</v>
      </c>
      <c r="F73" s="198" t="s">
        <v>21</v>
      </c>
      <c r="G73" s="198" t="s">
        <v>74</v>
      </c>
      <c r="H73" s="198" t="s">
        <v>26</v>
      </c>
      <c r="I73" s="198" t="s">
        <v>251</v>
      </c>
      <c r="J73" s="246" t="s">
        <v>1435</v>
      </c>
      <c r="K73" s="248">
        <v>12000000</v>
      </c>
      <c r="L73" s="249" t="s">
        <v>173</v>
      </c>
      <c r="M73" s="201" t="s">
        <v>14</v>
      </c>
    </row>
    <row r="74" spans="1:13">
      <c r="A74" s="198" t="str">
        <f>[1]Información!$A$18</f>
        <v>BEXTECHNOLOGY</v>
      </c>
      <c r="B74" s="198" t="s">
        <v>9814</v>
      </c>
      <c r="C74" s="198" t="s">
        <v>9734</v>
      </c>
      <c r="D74" s="247" t="s">
        <v>9812</v>
      </c>
      <c r="E74" s="198" t="s">
        <v>128</v>
      </c>
      <c r="F74" s="198" t="s">
        <v>21</v>
      </c>
      <c r="G74" s="198" t="s">
        <v>72</v>
      </c>
      <c r="H74" s="198" t="s">
        <v>26</v>
      </c>
      <c r="I74" s="198" t="s">
        <v>251</v>
      </c>
      <c r="J74" s="246" t="s">
        <v>1435</v>
      </c>
      <c r="K74" s="248">
        <v>12000000</v>
      </c>
      <c r="L74" s="249" t="s">
        <v>173</v>
      </c>
      <c r="M74" s="201" t="s">
        <v>14</v>
      </c>
    </row>
    <row r="75" spans="1:13">
      <c r="A75" s="198" t="str">
        <f>[1]Información!$A$18</f>
        <v>BEXTECHNOLOGY</v>
      </c>
      <c r="B75" s="198" t="s">
        <v>9815</v>
      </c>
      <c r="C75" s="198" t="s">
        <v>9734</v>
      </c>
      <c r="D75" s="247" t="s">
        <v>9816</v>
      </c>
      <c r="E75" s="198" t="s">
        <v>128</v>
      </c>
      <c r="F75" s="198" t="s">
        <v>21</v>
      </c>
      <c r="G75" s="198" t="s">
        <v>70</v>
      </c>
      <c r="H75" s="198" t="s">
        <v>26</v>
      </c>
      <c r="I75" s="198" t="s">
        <v>251</v>
      </c>
      <c r="J75" s="246" t="s">
        <v>1435</v>
      </c>
      <c r="K75" s="248">
        <v>12000000</v>
      </c>
      <c r="L75" s="249" t="s">
        <v>173</v>
      </c>
      <c r="M75" s="249" t="s">
        <v>14</v>
      </c>
    </row>
    <row r="76" spans="1:13">
      <c r="A76" s="198" t="str">
        <f>[1]Información!$A$18</f>
        <v>BEXTECHNOLOGY</v>
      </c>
      <c r="B76" s="198" t="s">
        <v>9817</v>
      </c>
      <c r="C76" s="198" t="s">
        <v>9734</v>
      </c>
      <c r="D76" s="247" t="s">
        <v>9816</v>
      </c>
      <c r="E76" s="198" t="s">
        <v>128</v>
      </c>
      <c r="F76" s="198" t="s">
        <v>21</v>
      </c>
      <c r="G76" s="198" t="s">
        <v>74</v>
      </c>
      <c r="H76" s="198" t="s">
        <v>26</v>
      </c>
      <c r="I76" s="198" t="s">
        <v>251</v>
      </c>
      <c r="J76" s="246" t="s">
        <v>1435</v>
      </c>
      <c r="K76" s="248">
        <v>12000000</v>
      </c>
      <c r="L76" s="249" t="s">
        <v>173</v>
      </c>
      <c r="M76" s="249" t="s">
        <v>14</v>
      </c>
    </row>
    <row r="77" spans="1:13">
      <c r="A77" s="198" t="str">
        <f>[1]Información!$A$18</f>
        <v>BEXTECHNOLOGY</v>
      </c>
      <c r="B77" s="198" t="s">
        <v>9818</v>
      </c>
      <c r="C77" s="198" t="s">
        <v>9734</v>
      </c>
      <c r="D77" s="247" t="s">
        <v>9816</v>
      </c>
      <c r="E77" s="198" t="s">
        <v>128</v>
      </c>
      <c r="F77" s="198" t="s">
        <v>21</v>
      </c>
      <c r="G77" s="198" t="s">
        <v>72</v>
      </c>
      <c r="H77" s="198" t="s">
        <v>26</v>
      </c>
      <c r="I77" s="198" t="s">
        <v>251</v>
      </c>
      <c r="J77" s="246" t="s">
        <v>1435</v>
      </c>
      <c r="K77" s="248">
        <v>12000000</v>
      </c>
      <c r="L77" s="249" t="s">
        <v>173</v>
      </c>
      <c r="M77" s="249" t="s">
        <v>14</v>
      </c>
    </row>
    <row r="78" spans="1:13">
      <c r="A78" s="198" t="str">
        <f>[1]Información!$A$18</f>
        <v>BEXTECHNOLOGY</v>
      </c>
      <c r="B78" s="198" t="s">
        <v>9819</v>
      </c>
      <c r="C78" s="198" t="s">
        <v>9734</v>
      </c>
      <c r="D78" s="247" t="s">
        <v>9820</v>
      </c>
      <c r="E78" s="198" t="s">
        <v>128</v>
      </c>
      <c r="F78" s="198" t="s">
        <v>21</v>
      </c>
      <c r="G78" s="198" t="s">
        <v>70</v>
      </c>
      <c r="H78" s="198" t="s">
        <v>26</v>
      </c>
      <c r="I78" s="198" t="s">
        <v>251</v>
      </c>
      <c r="J78" s="246" t="s">
        <v>1435</v>
      </c>
      <c r="K78" s="248">
        <v>14000000</v>
      </c>
      <c r="L78" s="249" t="s">
        <v>173</v>
      </c>
      <c r="M78" s="201" t="s">
        <v>14</v>
      </c>
    </row>
    <row r="79" spans="1:13">
      <c r="A79" s="198" t="str">
        <f>[1]Información!$A$18</f>
        <v>BEXTECHNOLOGY</v>
      </c>
      <c r="B79" s="198" t="s">
        <v>9821</v>
      </c>
      <c r="C79" s="198" t="s">
        <v>9734</v>
      </c>
      <c r="D79" s="247" t="s">
        <v>9820</v>
      </c>
      <c r="E79" s="198" t="s">
        <v>128</v>
      </c>
      <c r="F79" s="198" t="s">
        <v>21</v>
      </c>
      <c r="G79" s="198" t="s">
        <v>74</v>
      </c>
      <c r="H79" s="198" t="s">
        <v>26</v>
      </c>
      <c r="I79" s="198" t="s">
        <v>251</v>
      </c>
      <c r="J79" s="246" t="s">
        <v>1435</v>
      </c>
      <c r="K79" s="248">
        <v>14000000</v>
      </c>
      <c r="L79" s="249" t="s">
        <v>173</v>
      </c>
      <c r="M79" s="201" t="s">
        <v>14</v>
      </c>
    </row>
    <row r="80" spans="1:13">
      <c r="A80" s="198" t="str">
        <f>[1]Información!$A$18</f>
        <v>BEXTECHNOLOGY</v>
      </c>
      <c r="B80" s="198" t="s">
        <v>9822</v>
      </c>
      <c r="C80" s="198" t="s">
        <v>9734</v>
      </c>
      <c r="D80" s="247" t="s">
        <v>9820</v>
      </c>
      <c r="E80" s="198" t="s">
        <v>128</v>
      </c>
      <c r="F80" s="198" t="s">
        <v>21</v>
      </c>
      <c r="G80" s="198" t="s">
        <v>72</v>
      </c>
      <c r="H80" s="198" t="s">
        <v>26</v>
      </c>
      <c r="I80" s="198" t="s">
        <v>251</v>
      </c>
      <c r="J80" s="246" t="s">
        <v>1435</v>
      </c>
      <c r="K80" s="248">
        <v>14000000</v>
      </c>
      <c r="L80" s="249" t="s">
        <v>173</v>
      </c>
      <c r="M80" s="201" t="s">
        <v>14</v>
      </c>
    </row>
    <row r="81" spans="1:13">
      <c r="A81" s="198" t="str">
        <f>[1]Información!$A$18</f>
        <v>BEXTECHNOLOGY</v>
      </c>
      <c r="B81" s="198" t="s">
        <v>9823</v>
      </c>
      <c r="C81" s="198" t="s">
        <v>9734</v>
      </c>
      <c r="D81" s="247" t="s">
        <v>9824</v>
      </c>
      <c r="E81" s="198" t="s">
        <v>128</v>
      </c>
      <c r="F81" s="198" t="s">
        <v>21</v>
      </c>
      <c r="G81" s="198" t="s">
        <v>70</v>
      </c>
      <c r="H81" s="198" t="s">
        <v>26</v>
      </c>
      <c r="I81" s="198" t="s">
        <v>251</v>
      </c>
      <c r="J81" s="246" t="s">
        <v>1435</v>
      </c>
      <c r="K81" s="248">
        <v>16000000</v>
      </c>
      <c r="L81" s="249" t="s">
        <v>173</v>
      </c>
      <c r="M81" s="201" t="s">
        <v>14</v>
      </c>
    </row>
    <row r="82" spans="1:13">
      <c r="A82" s="198" t="str">
        <f>[1]Información!$A$18</f>
        <v>BEXTECHNOLOGY</v>
      </c>
      <c r="B82" s="198" t="s">
        <v>9825</v>
      </c>
      <c r="C82" s="198" t="s">
        <v>9734</v>
      </c>
      <c r="D82" s="247" t="s">
        <v>9824</v>
      </c>
      <c r="E82" s="198" t="s">
        <v>128</v>
      </c>
      <c r="F82" s="198" t="s">
        <v>21</v>
      </c>
      <c r="G82" s="198" t="s">
        <v>74</v>
      </c>
      <c r="H82" s="198" t="s">
        <v>26</v>
      </c>
      <c r="I82" s="198" t="s">
        <v>251</v>
      </c>
      <c r="J82" s="246" t="s">
        <v>1435</v>
      </c>
      <c r="K82" s="248">
        <v>16000000</v>
      </c>
      <c r="L82" s="249" t="s">
        <v>173</v>
      </c>
      <c r="M82" s="201" t="s">
        <v>14</v>
      </c>
    </row>
    <row r="83" spans="1:13">
      <c r="A83" s="198" t="str">
        <f>[1]Información!$A$18</f>
        <v>BEXTECHNOLOGY</v>
      </c>
      <c r="B83" s="198" t="s">
        <v>9826</v>
      </c>
      <c r="C83" s="198" t="s">
        <v>9734</v>
      </c>
      <c r="D83" s="247" t="s">
        <v>9824</v>
      </c>
      <c r="E83" s="198" t="s">
        <v>128</v>
      </c>
      <c r="F83" s="198" t="s">
        <v>21</v>
      </c>
      <c r="G83" s="198" t="s">
        <v>72</v>
      </c>
      <c r="H83" s="198" t="s">
        <v>26</v>
      </c>
      <c r="I83" s="198" t="s">
        <v>251</v>
      </c>
      <c r="J83" s="246" t="s">
        <v>1435</v>
      </c>
      <c r="K83" s="248">
        <v>16000000</v>
      </c>
      <c r="L83" s="249" t="s">
        <v>173</v>
      </c>
      <c r="M83" s="201" t="s">
        <v>14</v>
      </c>
    </row>
    <row r="84" spans="1:13">
      <c r="A84" s="198" t="str">
        <f>[1]Información!$A$18</f>
        <v>BEXTECHNOLOGY</v>
      </c>
      <c r="B84" s="198" t="s">
        <v>9827</v>
      </c>
      <c r="C84" s="198" t="s">
        <v>9734</v>
      </c>
      <c r="D84" s="247" t="s">
        <v>9828</v>
      </c>
      <c r="E84" s="198" t="s">
        <v>128</v>
      </c>
      <c r="F84" s="198" t="s">
        <v>21</v>
      </c>
      <c r="G84" s="198" t="s">
        <v>70</v>
      </c>
      <c r="H84" s="198" t="s">
        <v>26</v>
      </c>
      <c r="I84" s="198" t="s">
        <v>251</v>
      </c>
      <c r="J84" s="246" t="s">
        <v>1435</v>
      </c>
      <c r="K84" s="248">
        <v>16000000</v>
      </c>
      <c r="L84" s="249" t="s">
        <v>173</v>
      </c>
      <c r="M84" s="249" t="s">
        <v>14</v>
      </c>
    </row>
    <row r="85" spans="1:13">
      <c r="A85" s="198" t="str">
        <f>[1]Información!$A$18</f>
        <v>BEXTECHNOLOGY</v>
      </c>
      <c r="B85" s="198" t="s">
        <v>9829</v>
      </c>
      <c r="C85" s="198" t="s">
        <v>9734</v>
      </c>
      <c r="D85" s="247" t="s">
        <v>9828</v>
      </c>
      <c r="E85" s="198" t="s">
        <v>128</v>
      </c>
      <c r="F85" s="198" t="s">
        <v>21</v>
      </c>
      <c r="G85" s="198" t="s">
        <v>74</v>
      </c>
      <c r="H85" s="198" t="s">
        <v>26</v>
      </c>
      <c r="I85" s="198" t="s">
        <v>251</v>
      </c>
      <c r="J85" s="246" t="s">
        <v>1435</v>
      </c>
      <c r="K85" s="248">
        <v>16000000</v>
      </c>
      <c r="L85" s="249" t="s">
        <v>173</v>
      </c>
      <c r="M85" s="249" t="s">
        <v>14</v>
      </c>
    </row>
    <row r="86" spans="1:13">
      <c r="A86" s="198" t="str">
        <f>[1]Información!$A$18</f>
        <v>BEXTECHNOLOGY</v>
      </c>
      <c r="B86" s="198" t="s">
        <v>9830</v>
      </c>
      <c r="C86" s="198" t="s">
        <v>9734</v>
      </c>
      <c r="D86" s="247" t="s">
        <v>9828</v>
      </c>
      <c r="E86" s="198" t="s">
        <v>128</v>
      </c>
      <c r="F86" s="198" t="s">
        <v>21</v>
      </c>
      <c r="G86" s="198" t="s">
        <v>72</v>
      </c>
      <c r="H86" s="198" t="s">
        <v>26</v>
      </c>
      <c r="I86" s="198" t="s">
        <v>251</v>
      </c>
      <c r="J86" s="246" t="s">
        <v>1435</v>
      </c>
      <c r="K86" s="248">
        <v>16000000</v>
      </c>
      <c r="L86" s="249" t="s">
        <v>173</v>
      </c>
      <c r="M86" s="249" t="s">
        <v>14</v>
      </c>
    </row>
    <row r="87" spans="1:13">
      <c r="A87" s="198" t="str">
        <f>[1]Información!$A$18</f>
        <v>BEXTECHNOLOGY</v>
      </c>
      <c r="B87" s="198" t="s">
        <v>9831</v>
      </c>
      <c r="C87" s="198" t="s">
        <v>9734</v>
      </c>
      <c r="D87" s="247" t="s">
        <v>9832</v>
      </c>
      <c r="E87" s="198" t="s">
        <v>128</v>
      </c>
      <c r="F87" s="198" t="s">
        <v>21</v>
      </c>
      <c r="G87" s="198" t="s">
        <v>70</v>
      </c>
      <c r="H87" s="198" t="s">
        <v>26</v>
      </c>
      <c r="I87" s="198" t="s">
        <v>251</v>
      </c>
      <c r="J87" s="246" t="s">
        <v>1435</v>
      </c>
      <c r="K87" s="248">
        <v>19000000</v>
      </c>
      <c r="L87" s="249" t="s">
        <v>173</v>
      </c>
      <c r="M87" s="201" t="s">
        <v>14</v>
      </c>
    </row>
    <row r="88" spans="1:13">
      <c r="A88" s="198" t="str">
        <f>[1]Información!$A$18</f>
        <v>BEXTECHNOLOGY</v>
      </c>
      <c r="B88" s="198" t="s">
        <v>9833</v>
      </c>
      <c r="C88" s="198" t="s">
        <v>9734</v>
      </c>
      <c r="D88" s="247" t="s">
        <v>9832</v>
      </c>
      <c r="E88" s="198" t="s">
        <v>128</v>
      </c>
      <c r="F88" s="198" t="s">
        <v>21</v>
      </c>
      <c r="G88" s="198" t="s">
        <v>74</v>
      </c>
      <c r="H88" s="198" t="s">
        <v>26</v>
      </c>
      <c r="I88" s="198" t="s">
        <v>251</v>
      </c>
      <c r="J88" s="246" t="s">
        <v>1435</v>
      </c>
      <c r="K88" s="248">
        <v>19000000</v>
      </c>
      <c r="L88" s="249" t="s">
        <v>173</v>
      </c>
      <c r="M88" s="201" t="s">
        <v>14</v>
      </c>
    </row>
    <row r="89" spans="1:13">
      <c r="A89" s="198" t="str">
        <f>[1]Información!$A$18</f>
        <v>BEXTECHNOLOGY</v>
      </c>
      <c r="B89" s="198" t="s">
        <v>9834</v>
      </c>
      <c r="C89" s="198" t="s">
        <v>9734</v>
      </c>
      <c r="D89" s="247" t="s">
        <v>9832</v>
      </c>
      <c r="E89" s="198" t="s">
        <v>128</v>
      </c>
      <c r="F89" s="198" t="s">
        <v>21</v>
      </c>
      <c r="G89" s="198" t="s">
        <v>72</v>
      </c>
      <c r="H89" s="198" t="s">
        <v>26</v>
      </c>
      <c r="I89" s="198" t="s">
        <v>251</v>
      </c>
      <c r="J89" s="246" t="s">
        <v>1435</v>
      </c>
      <c r="K89" s="248">
        <v>19000000</v>
      </c>
      <c r="L89" s="249" t="s">
        <v>173</v>
      </c>
      <c r="M89" s="201" t="s">
        <v>14</v>
      </c>
    </row>
    <row r="90" spans="1:13">
      <c r="A90" s="198" t="str">
        <f>[1]Información!$A$18</f>
        <v>BEXTECHNOLOGY</v>
      </c>
      <c r="B90" s="198" t="s">
        <v>9835</v>
      </c>
      <c r="C90" s="198" t="s">
        <v>9734</v>
      </c>
      <c r="D90" s="247" t="s">
        <v>9836</v>
      </c>
      <c r="E90" s="198" t="s">
        <v>128</v>
      </c>
      <c r="F90" s="198" t="s">
        <v>21</v>
      </c>
      <c r="G90" s="198" t="s">
        <v>70</v>
      </c>
      <c r="H90" s="198" t="s">
        <v>26</v>
      </c>
      <c r="I90" s="198" t="s">
        <v>251</v>
      </c>
      <c r="J90" s="246" t="s">
        <v>1435</v>
      </c>
      <c r="K90" s="248">
        <v>22000000</v>
      </c>
      <c r="L90" s="249" t="s">
        <v>173</v>
      </c>
      <c r="M90" s="201" t="s">
        <v>14</v>
      </c>
    </row>
    <row r="91" spans="1:13">
      <c r="A91" s="198" t="str">
        <f>[1]Información!$A$18</f>
        <v>BEXTECHNOLOGY</v>
      </c>
      <c r="B91" s="198" t="s">
        <v>9837</v>
      </c>
      <c r="C91" s="198" t="s">
        <v>9734</v>
      </c>
      <c r="D91" s="247" t="s">
        <v>9836</v>
      </c>
      <c r="E91" s="198" t="s">
        <v>128</v>
      </c>
      <c r="F91" s="198" t="s">
        <v>21</v>
      </c>
      <c r="G91" s="198" t="s">
        <v>74</v>
      </c>
      <c r="H91" s="198" t="s">
        <v>26</v>
      </c>
      <c r="I91" s="198" t="s">
        <v>251</v>
      </c>
      <c r="J91" s="246" t="s">
        <v>1435</v>
      </c>
      <c r="K91" s="248">
        <v>22000000</v>
      </c>
      <c r="L91" s="249" t="s">
        <v>173</v>
      </c>
      <c r="M91" s="201" t="s">
        <v>14</v>
      </c>
    </row>
    <row r="92" spans="1:13">
      <c r="A92" s="198" t="str">
        <f>[1]Información!$A$18</f>
        <v>BEXTECHNOLOGY</v>
      </c>
      <c r="B92" s="198" t="s">
        <v>9838</v>
      </c>
      <c r="C92" s="198" t="s">
        <v>9734</v>
      </c>
      <c r="D92" s="247" t="s">
        <v>9836</v>
      </c>
      <c r="E92" s="198" t="s">
        <v>128</v>
      </c>
      <c r="F92" s="198" t="s">
        <v>21</v>
      </c>
      <c r="G92" s="198" t="s">
        <v>72</v>
      </c>
      <c r="H92" s="198" t="s">
        <v>26</v>
      </c>
      <c r="I92" s="198" t="s">
        <v>251</v>
      </c>
      <c r="J92" s="246" t="s">
        <v>1435</v>
      </c>
      <c r="K92" s="248">
        <v>22000000</v>
      </c>
      <c r="L92" s="249" t="s">
        <v>173</v>
      </c>
      <c r="M92" s="201" t="s">
        <v>14</v>
      </c>
    </row>
    <row r="93" spans="1:13">
      <c r="A93" s="198" t="str">
        <f>[1]Información!$A$18</f>
        <v>BEXTECHNOLOGY</v>
      </c>
      <c r="B93" s="198" t="s">
        <v>9839</v>
      </c>
      <c r="C93" s="198" t="s">
        <v>9734</v>
      </c>
      <c r="D93" s="247" t="s">
        <v>9840</v>
      </c>
      <c r="E93" s="198" t="s">
        <v>128</v>
      </c>
      <c r="F93" s="198" t="s">
        <v>21</v>
      </c>
      <c r="G93" s="198" t="s">
        <v>70</v>
      </c>
      <c r="H93" s="198" t="s">
        <v>26</v>
      </c>
      <c r="I93" s="198" t="s">
        <v>251</v>
      </c>
      <c r="J93" s="246" t="s">
        <v>1435</v>
      </c>
      <c r="K93" s="248">
        <v>22000000</v>
      </c>
      <c r="L93" s="249" t="s">
        <v>173</v>
      </c>
      <c r="M93" s="249" t="s">
        <v>14</v>
      </c>
    </row>
    <row r="94" spans="1:13">
      <c r="A94" s="198" t="str">
        <f>[1]Información!$A$18</f>
        <v>BEXTECHNOLOGY</v>
      </c>
      <c r="B94" s="198" t="s">
        <v>9841</v>
      </c>
      <c r="C94" s="198" t="s">
        <v>9734</v>
      </c>
      <c r="D94" s="247" t="s">
        <v>9840</v>
      </c>
      <c r="E94" s="198" t="s">
        <v>128</v>
      </c>
      <c r="F94" s="198" t="s">
        <v>21</v>
      </c>
      <c r="G94" s="198" t="s">
        <v>74</v>
      </c>
      <c r="H94" s="198" t="s">
        <v>26</v>
      </c>
      <c r="I94" s="198" t="s">
        <v>251</v>
      </c>
      <c r="J94" s="246" t="s">
        <v>1435</v>
      </c>
      <c r="K94" s="248">
        <v>22000000</v>
      </c>
      <c r="L94" s="249" t="s">
        <v>173</v>
      </c>
      <c r="M94" s="249" t="s">
        <v>14</v>
      </c>
    </row>
    <row r="95" spans="1:13">
      <c r="A95" s="198" t="str">
        <f>[1]Información!$A$18</f>
        <v>BEXTECHNOLOGY</v>
      </c>
      <c r="B95" s="198" t="s">
        <v>9842</v>
      </c>
      <c r="C95" s="198" t="s">
        <v>9734</v>
      </c>
      <c r="D95" s="247" t="s">
        <v>9840</v>
      </c>
      <c r="E95" s="198" t="s">
        <v>128</v>
      </c>
      <c r="F95" s="198" t="s">
        <v>21</v>
      </c>
      <c r="G95" s="198" t="s">
        <v>72</v>
      </c>
      <c r="H95" s="198" t="s">
        <v>26</v>
      </c>
      <c r="I95" s="198" t="s">
        <v>251</v>
      </c>
      <c r="J95" s="246" t="s">
        <v>1435</v>
      </c>
      <c r="K95" s="248">
        <v>22000000</v>
      </c>
      <c r="L95" s="249" t="s">
        <v>173</v>
      </c>
      <c r="M95" s="249" t="s">
        <v>14</v>
      </c>
    </row>
    <row r="96" spans="1:13">
      <c r="A96" s="198" t="str">
        <f>[1]Información!$A$18</f>
        <v>BEXTECHNOLOGY</v>
      </c>
      <c r="B96" s="198" t="s">
        <v>9843</v>
      </c>
      <c r="C96" s="198" t="s">
        <v>9734</v>
      </c>
      <c r="D96" s="247" t="s">
        <v>9844</v>
      </c>
      <c r="E96" s="198" t="s">
        <v>128</v>
      </c>
      <c r="F96" s="198" t="s">
        <v>21</v>
      </c>
      <c r="G96" s="198" t="s">
        <v>70</v>
      </c>
      <c r="H96" s="198" t="s">
        <v>26</v>
      </c>
      <c r="I96" s="198" t="s">
        <v>251</v>
      </c>
      <c r="J96" s="246" t="s">
        <v>1435</v>
      </c>
      <c r="K96" s="248">
        <v>26000000</v>
      </c>
      <c r="L96" s="249" t="s">
        <v>173</v>
      </c>
      <c r="M96" s="201" t="s">
        <v>14</v>
      </c>
    </row>
    <row r="97" spans="1:13">
      <c r="A97" s="198" t="str">
        <f>[1]Información!$A$18</f>
        <v>BEXTECHNOLOGY</v>
      </c>
      <c r="B97" s="198" t="s">
        <v>9845</v>
      </c>
      <c r="C97" s="198" t="s">
        <v>9734</v>
      </c>
      <c r="D97" s="247" t="s">
        <v>9844</v>
      </c>
      <c r="E97" s="198" t="s">
        <v>128</v>
      </c>
      <c r="F97" s="198" t="s">
        <v>21</v>
      </c>
      <c r="G97" s="198" t="s">
        <v>74</v>
      </c>
      <c r="H97" s="198" t="s">
        <v>26</v>
      </c>
      <c r="I97" s="198" t="s">
        <v>251</v>
      </c>
      <c r="J97" s="246" t="s">
        <v>1435</v>
      </c>
      <c r="K97" s="248">
        <v>26000000</v>
      </c>
      <c r="L97" s="249" t="s">
        <v>173</v>
      </c>
      <c r="M97" s="201" t="s">
        <v>14</v>
      </c>
    </row>
    <row r="98" spans="1:13">
      <c r="A98" s="198" t="str">
        <f>[1]Información!$A$18</f>
        <v>BEXTECHNOLOGY</v>
      </c>
      <c r="B98" s="198" t="s">
        <v>9846</v>
      </c>
      <c r="C98" s="198" t="s">
        <v>9734</v>
      </c>
      <c r="D98" s="247" t="s">
        <v>9844</v>
      </c>
      <c r="E98" s="198" t="s">
        <v>128</v>
      </c>
      <c r="F98" s="198" t="s">
        <v>21</v>
      </c>
      <c r="G98" s="198" t="s">
        <v>72</v>
      </c>
      <c r="H98" s="198" t="s">
        <v>26</v>
      </c>
      <c r="I98" s="198" t="s">
        <v>251</v>
      </c>
      <c r="J98" s="246" t="s">
        <v>1435</v>
      </c>
      <c r="K98" s="248">
        <v>26000000</v>
      </c>
      <c r="L98" s="249" t="s">
        <v>173</v>
      </c>
      <c r="M98" s="201" t="s">
        <v>14</v>
      </c>
    </row>
    <row r="99" spans="1:13">
      <c r="A99" s="198" t="str">
        <f>[1]Información!$A$18</f>
        <v>BEXTECHNOLOGY</v>
      </c>
      <c r="B99" s="198" t="s">
        <v>9847</v>
      </c>
      <c r="C99" s="198" t="s">
        <v>9734</v>
      </c>
      <c r="D99" s="247" t="s">
        <v>9848</v>
      </c>
      <c r="E99" s="198" t="s">
        <v>128</v>
      </c>
      <c r="F99" s="198" t="s">
        <v>21</v>
      </c>
      <c r="G99" s="198" t="s">
        <v>70</v>
      </c>
      <c r="H99" s="198" t="s">
        <v>26</v>
      </c>
      <c r="I99" s="198" t="s">
        <v>251</v>
      </c>
      <c r="J99" s="246" t="s">
        <v>1435</v>
      </c>
      <c r="K99" s="248">
        <v>30000000</v>
      </c>
      <c r="L99" s="249" t="s">
        <v>173</v>
      </c>
      <c r="M99" s="201" t="s">
        <v>14</v>
      </c>
    </row>
    <row r="100" spans="1:13">
      <c r="A100" s="198" t="str">
        <f>[1]Información!$A$18</f>
        <v>BEXTECHNOLOGY</v>
      </c>
      <c r="B100" s="198" t="s">
        <v>9849</v>
      </c>
      <c r="C100" s="198" t="s">
        <v>9734</v>
      </c>
      <c r="D100" s="247" t="s">
        <v>9848</v>
      </c>
      <c r="E100" s="198" t="s">
        <v>128</v>
      </c>
      <c r="F100" s="198" t="s">
        <v>21</v>
      </c>
      <c r="G100" s="198" t="s">
        <v>74</v>
      </c>
      <c r="H100" s="198" t="s">
        <v>26</v>
      </c>
      <c r="I100" s="198" t="s">
        <v>251</v>
      </c>
      <c r="J100" s="246" t="s">
        <v>1435</v>
      </c>
      <c r="K100" s="248">
        <v>30000000</v>
      </c>
      <c r="L100" s="249" t="s">
        <v>173</v>
      </c>
      <c r="M100" s="201" t="s">
        <v>14</v>
      </c>
    </row>
    <row r="101" spans="1:13">
      <c r="A101" s="198" t="str">
        <f>[1]Información!$A$18</f>
        <v>BEXTECHNOLOGY</v>
      </c>
      <c r="B101" s="198" t="s">
        <v>9850</v>
      </c>
      <c r="C101" s="198" t="s">
        <v>9734</v>
      </c>
      <c r="D101" s="247" t="s">
        <v>9848</v>
      </c>
      <c r="E101" s="198" t="s">
        <v>128</v>
      </c>
      <c r="F101" s="198" t="s">
        <v>21</v>
      </c>
      <c r="G101" s="198" t="s">
        <v>72</v>
      </c>
      <c r="H101" s="198" t="s">
        <v>26</v>
      </c>
      <c r="I101" s="198" t="s">
        <v>251</v>
      </c>
      <c r="J101" s="246" t="s">
        <v>1435</v>
      </c>
      <c r="K101" s="248">
        <v>30000000</v>
      </c>
      <c r="L101" s="249" t="s">
        <v>173</v>
      </c>
      <c r="M101" s="201" t="s">
        <v>14</v>
      </c>
    </row>
    <row r="102" spans="1:13">
      <c r="A102" s="198" t="str">
        <f>[1]Información!$A$18</f>
        <v>BEXTECHNOLOGY</v>
      </c>
      <c r="B102" s="198" t="s">
        <v>9851</v>
      </c>
      <c r="C102" s="198" t="s">
        <v>9734</v>
      </c>
      <c r="D102" s="247" t="s">
        <v>9852</v>
      </c>
      <c r="E102" s="198" t="s">
        <v>128</v>
      </c>
      <c r="F102" s="198" t="s">
        <v>21</v>
      </c>
      <c r="G102" s="198" t="s">
        <v>70</v>
      </c>
      <c r="H102" s="198" t="s">
        <v>26</v>
      </c>
      <c r="I102" s="198" t="s">
        <v>251</v>
      </c>
      <c r="J102" s="246" t="s">
        <v>1435</v>
      </c>
      <c r="K102" s="248">
        <v>190000000</v>
      </c>
      <c r="L102" s="249" t="s">
        <v>173</v>
      </c>
      <c r="M102" s="249" t="s">
        <v>14</v>
      </c>
    </row>
    <row r="103" spans="1:13">
      <c r="A103" s="198" t="str">
        <f>[1]Información!$A$18</f>
        <v>BEXTECHNOLOGY</v>
      </c>
      <c r="B103" s="198" t="s">
        <v>9853</v>
      </c>
      <c r="C103" s="198" t="s">
        <v>9734</v>
      </c>
      <c r="D103" s="247" t="s">
        <v>9852</v>
      </c>
      <c r="E103" s="198" t="s">
        <v>128</v>
      </c>
      <c r="F103" s="198" t="s">
        <v>21</v>
      </c>
      <c r="G103" s="198" t="s">
        <v>74</v>
      </c>
      <c r="H103" s="198" t="s">
        <v>26</v>
      </c>
      <c r="I103" s="198" t="s">
        <v>251</v>
      </c>
      <c r="J103" s="246" t="s">
        <v>1435</v>
      </c>
      <c r="K103" s="248">
        <v>190000000</v>
      </c>
      <c r="L103" s="249" t="s">
        <v>173</v>
      </c>
      <c r="M103" s="249" t="s">
        <v>14</v>
      </c>
    </row>
    <row r="104" spans="1:13">
      <c r="A104" s="198" t="str">
        <f>[1]Información!$A$18</f>
        <v>BEXTECHNOLOGY</v>
      </c>
      <c r="B104" s="198" t="s">
        <v>9854</v>
      </c>
      <c r="C104" s="198" t="s">
        <v>9734</v>
      </c>
      <c r="D104" s="247" t="s">
        <v>9852</v>
      </c>
      <c r="E104" s="198" t="s">
        <v>128</v>
      </c>
      <c r="F104" s="198" t="s">
        <v>21</v>
      </c>
      <c r="G104" s="198" t="s">
        <v>72</v>
      </c>
      <c r="H104" s="198" t="s">
        <v>26</v>
      </c>
      <c r="I104" s="198" t="s">
        <v>251</v>
      </c>
      <c r="J104" s="246" t="s">
        <v>1435</v>
      </c>
      <c r="K104" s="248">
        <v>190000000</v>
      </c>
      <c r="L104" s="249" t="s">
        <v>173</v>
      </c>
      <c r="M104" s="249" t="s">
        <v>14</v>
      </c>
    </row>
    <row r="105" spans="1:13">
      <c r="A105" s="198" t="str">
        <f>[1]Información!$A$18</f>
        <v>BEXTECHNOLOGY</v>
      </c>
      <c r="B105" s="198" t="s">
        <v>9855</v>
      </c>
      <c r="C105" s="198" t="s">
        <v>9734</v>
      </c>
      <c r="D105" s="247" t="s">
        <v>9856</v>
      </c>
      <c r="E105" s="198" t="s">
        <v>128</v>
      </c>
      <c r="F105" s="198" t="s">
        <v>21</v>
      </c>
      <c r="G105" s="198" t="s">
        <v>70</v>
      </c>
      <c r="H105" s="198" t="s">
        <v>26</v>
      </c>
      <c r="I105" s="198" t="s">
        <v>251</v>
      </c>
      <c r="J105" s="246" t="s">
        <v>1435</v>
      </c>
      <c r="K105" s="248">
        <v>230000000</v>
      </c>
      <c r="L105" s="249" t="s">
        <v>173</v>
      </c>
      <c r="M105" s="201" t="s">
        <v>14</v>
      </c>
    </row>
    <row r="106" spans="1:13">
      <c r="A106" s="198" t="str">
        <f>[1]Información!$A$18</f>
        <v>BEXTECHNOLOGY</v>
      </c>
      <c r="B106" s="198" t="s">
        <v>9857</v>
      </c>
      <c r="C106" s="198" t="s">
        <v>9734</v>
      </c>
      <c r="D106" s="247" t="s">
        <v>9856</v>
      </c>
      <c r="E106" s="198" t="s">
        <v>128</v>
      </c>
      <c r="F106" s="198" t="s">
        <v>21</v>
      </c>
      <c r="G106" s="198" t="s">
        <v>74</v>
      </c>
      <c r="H106" s="198" t="s">
        <v>26</v>
      </c>
      <c r="I106" s="198" t="s">
        <v>251</v>
      </c>
      <c r="J106" s="246" t="s">
        <v>1435</v>
      </c>
      <c r="K106" s="248">
        <v>230000000</v>
      </c>
      <c r="L106" s="249" t="s">
        <v>173</v>
      </c>
      <c r="M106" s="201" t="s">
        <v>14</v>
      </c>
    </row>
    <row r="107" spans="1:13">
      <c r="A107" s="198" t="str">
        <f>[1]Información!$A$18</f>
        <v>BEXTECHNOLOGY</v>
      </c>
      <c r="B107" s="198" t="s">
        <v>9858</v>
      </c>
      <c r="C107" s="198" t="s">
        <v>9734</v>
      </c>
      <c r="D107" s="247" t="s">
        <v>9856</v>
      </c>
      <c r="E107" s="198" t="s">
        <v>128</v>
      </c>
      <c r="F107" s="198" t="s">
        <v>21</v>
      </c>
      <c r="G107" s="198" t="s">
        <v>72</v>
      </c>
      <c r="H107" s="198" t="s">
        <v>26</v>
      </c>
      <c r="I107" s="198" t="s">
        <v>251</v>
      </c>
      <c r="J107" s="246" t="s">
        <v>1435</v>
      </c>
      <c r="K107" s="248">
        <v>230000000</v>
      </c>
      <c r="L107" s="249" t="s">
        <v>173</v>
      </c>
      <c r="M107" s="201" t="s">
        <v>14</v>
      </c>
    </row>
    <row r="108" spans="1:13">
      <c r="A108" s="198" t="str">
        <f>[1]Información!$A$18</f>
        <v>BEXTECHNOLOGY</v>
      </c>
      <c r="B108" s="198" t="s">
        <v>9859</v>
      </c>
      <c r="C108" s="198" t="s">
        <v>9734</v>
      </c>
      <c r="D108" s="247" t="s">
        <v>9860</v>
      </c>
      <c r="E108" s="198" t="s">
        <v>128</v>
      </c>
      <c r="F108" s="198" t="s">
        <v>21</v>
      </c>
      <c r="G108" s="198" t="s">
        <v>70</v>
      </c>
      <c r="H108" s="198" t="s">
        <v>26</v>
      </c>
      <c r="I108" s="198" t="s">
        <v>251</v>
      </c>
      <c r="J108" s="246" t="s">
        <v>1435</v>
      </c>
      <c r="K108" s="248">
        <v>260000000</v>
      </c>
      <c r="L108" s="249" t="s">
        <v>173</v>
      </c>
      <c r="M108" s="201" t="s">
        <v>14</v>
      </c>
    </row>
    <row r="109" spans="1:13">
      <c r="A109" s="198" t="str">
        <f>[1]Información!$A$18</f>
        <v>BEXTECHNOLOGY</v>
      </c>
      <c r="B109" s="198" t="s">
        <v>9861</v>
      </c>
      <c r="C109" s="198" t="s">
        <v>9734</v>
      </c>
      <c r="D109" s="247" t="s">
        <v>9860</v>
      </c>
      <c r="E109" s="198" t="s">
        <v>128</v>
      </c>
      <c r="F109" s="198" t="s">
        <v>21</v>
      </c>
      <c r="G109" s="198" t="s">
        <v>74</v>
      </c>
      <c r="H109" s="198" t="s">
        <v>26</v>
      </c>
      <c r="I109" s="198" t="s">
        <v>251</v>
      </c>
      <c r="J109" s="246" t="s">
        <v>1435</v>
      </c>
      <c r="K109" s="248">
        <v>260000000</v>
      </c>
      <c r="L109" s="249" t="s">
        <v>173</v>
      </c>
      <c r="M109" s="201" t="s">
        <v>14</v>
      </c>
    </row>
    <row r="110" spans="1:13">
      <c r="A110" s="198" t="str">
        <f>[1]Información!$A$18</f>
        <v>BEXTECHNOLOGY</v>
      </c>
      <c r="B110" s="198" t="s">
        <v>9862</v>
      </c>
      <c r="C110" s="198" t="s">
        <v>9734</v>
      </c>
      <c r="D110" s="247" t="s">
        <v>9860</v>
      </c>
      <c r="E110" s="198" t="s">
        <v>128</v>
      </c>
      <c r="F110" s="198" t="s">
        <v>21</v>
      </c>
      <c r="G110" s="198" t="s">
        <v>72</v>
      </c>
      <c r="H110" s="198" t="s">
        <v>26</v>
      </c>
      <c r="I110" s="198" t="s">
        <v>251</v>
      </c>
      <c r="J110" s="246" t="s">
        <v>1435</v>
      </c>
      <c r="K110" s="248">
        <v>260000000</v>
      </c>
      <c r="L110" s="249" t="s">
        <v>173</v>
      </c>
      <c r="M110" s="201" t="s">
        <v>14</v>
      </c>
    </row>
    <row r="111" spans="1:13">
      <c r="A111" s="198" t="str">
        <f>[1]Información!$A$18</f>
        <v>BEXTECHNOLOGY</v>
      </c>
      <c r="B111" s="198" t="s">
        <v>9863</v>
      </c>
      <c r="C111" s="198" t="s">
        <v>9734</v>
      </c>
      <c r="D111" s="247" t="s">
        <v>9864</v>
      </c>
      <c r="E111" s="198" t="s">
        <v>29</v>
      </c>
      <c r="F111" s="198" t="s">
        <v>21</v>
      </c>
      <c r="G111" s="198" t="s">
        <v>70</v>
      </c>
      <c r="H111" s="198" t="s">
        <v>26</v>
      </c>
      <c r="I111" s="198" t="s">
        <v>167</v>
      </c>
      <c r="J111" s="200" t="s">
        <v>1435</v>
      </c>
      <c r="K111" s="245">
        <v>150000</v>
      </c>
      <c r="L111" s="201" t="s">
        <v>2057</v>
      </c>
      <c r="M111" s="201" t="s">
        <v>14</v>
      </c>
    </row>
    <row r="112" spans="1:13">
      <c r="A112" s="198" t="str">
        <f>[1]Información!$A$18</f>
        <v>BEXTECHNOLOGY</v>
      </c>
      <c r="B112" s="198" t="s">
        <v>9865</v>
      </c>
      <c r="C112" s="198" t="s">
        <v>9734</v>
      </c>
      <c r="D112" s="247" t="s">
        <v>9864</v>
      </c>
      <c r="E112" s="198" t="s">
        <v>29</v>
      </c>
      <c r="F112" s="198" t="s">
        <v>21</v>
      </c>
      <c r="G112" s="198" t="s">
        <v>74</v>
      </c>
      <c r="H112" s="198" t="s">
        <v>26</v>
      </c>
      <c r="I112" s="198" t="s">
        <v>167</v>
      </c>
      <c r="J112" s="200" t="s">
        <v>1435</v>
      </c>
      <c r="K112" s="245">
        <v>150000</v>
      </c>
      <c r="L112" s="201" t="s">
        <v>2057</v>
      </c>
      <c r="M112" s="201" t="s">
        <v>14</v>
      </c>
    </row>
    <row r="113" spans="1:13">
      <c r="A113" s="198" t="str">
        <f>[1]Información!$A$18</f>
        <v>BEXTECHNOLOGY</v>
      </c>
      <c r="B113" s="198" t="s">
        <v>9866</v>
      </c>
      <c r="C113" s="198" t="s">
        <v>9734</v>
      </c>
      <c r="D113" s="247" t="s">
        <v>9864</v>
      </c>
      <c r="E113" s="198" t="s">
        <v>29</v>
      </c>
      <c r="F113" s="198" t="s">
        <v>21</v>
      </c>
      <c r="G113" s="198" t="s">
        <v>72</v>
      </c>
      <c r="H113" s="198" t="s">
        <v>26</v>
      </c>
      <c r="I113" s="198" t="s">
        <v>167</v>
      </c>
      <c r="J113" s="200" t="s">
        <v>1435</v>
      </c>
      <c r="K113" s="245">
        <v>150000</v>
      </c>
      <c r="L113" s="201" t="s">
        <v>2057</v>
      </c>
      <c r="M113" s="201" t="s">
        <v>14</v>
      </c>
    </row>
    <row r="114" spans="1:13">
      <c r="A114" s="198" t="str">
        <f>[1]Información!$A$18</f>
        <v>BEXTECHNOLOGY</v>
      </c>
      <c r="B114" s="198" t="s">
        <v>9867</v>
      </c>
      <c r="C114" s="198" t="s">
        <v>9734</v>
      </c>
      <c r="D114" s="247" t="s">
        <v>9864</v>
      </c>
      <c r="E114" s="198" t="s">
        <v>29</v>
      </c>
      <c r="F114" s="198" t="s">
        <v>21</v>
      </c>
      <c r="G114" s="198" t="s">
        <v>70</v>
      </c>
      <c r="H114" s="198" t="s">
        <v>42</v>
      </c>
      <c r="I114" s="198" t="s">
        <v>167</v>
      </c>
      <c r="J114" s="200" t="s">
        <v>1435</v>
      </c>
      <c r="K114" s="248">
        <v>190000</v>
      </c>
      <c r="L114" s="201" t="s">
        <v>2057</v>
      </c>
      <c r="M114" s="201" t="s">
        <v>14</v>
      </c>
    </row>
    <row r="115" spans="1:13">
      <c r="A115" s="198" t="str">
        <f>[1]Información!$A$18</f>
        <v>BEXTECHNOLOGY</v>
      </c>
      <c r="B115" s="198" t="s">
        <v>9868</v>
      </c>
      <c r="C115" s="198" t="s">
        <v>9734</v>
      </c>
      <c r="D115" s="247" t="s">
        <v>9869</v>
      </c>
      <c r="E115" s="198" t="s">
        <v>29</v>
      </c>
      <c r="F115" s="198" t="s">
        <v>21</v>
      </c>
      <c r="G115" s="198" t="s">
        <v>70</v>
      </c>
      <c r="H115" s="198" t="s">
        <v>26</v>
      </c>
      <c r="I115" s="198" t="s">
        <v>167</v>
      </c>
      <c r="J115" s="200" t="s">
        <v>1435</v>
      </c>
      <c r="K115" s="245">
        <v>150000</v>
      </c>
      <c r="L115" s="201" t="s">
        <v>2057</v>
      </c>
      <c r="M115" s="201" t="s">
        <v>14</v>
      </c>
    </row>
    <row r="116" spans="1:13">
      <c r="A116" s="198" t="str">
        <f>[1]Información!$A$18</f>
        <v>BEXTECHNOLOGY</v>
      </c>
      <c r="B116" s="198" t="s">
        <v>9870</v>
      </c>
      <c r="C116" s="198" t="s">
        <v>9734</v>
      </c>
      <c r="D116" s="247" t="s">
        <v>9869</v>
      </c>
      <c r="E116" s="198" t="s">
        <v>29</v>
      </c>
      <c r="F116" s="198" t="s">
        <v>21</v>
      </c>
      <c r="G116" s="198" t="s">
        <v>74</v>
      </c>
      <c r="H116" s="198" t="s">
        <v>26</v>
      </c>
      <c r="I116" s="198" t="s">
        <v>167</v>
      </c>
      <c r="J116" s="200" t="s">
        <v>1435</v>
      </c>
      <c r="K116" s="245">
        <v>150000</v>
      </c>
      <c r="L116" s="201" t="s">
        <v>2057</v>
      </c>
      <c r="M116" s="201" t="s">
        <v>14</v>
      </c>
    </row>
    <row r="117" spans="1:13">
      <c r="A117" s="198" t="str">
        <f>[1]Información!$A$18</f>
        <v>BEXTECHNOLOGY</v>
      </c>
      <c r="B117" s="198" t="s">
        <v>9871</v>
      </c>
      <c r="C117" s="198" t="s">
        <v>9734</v>
      </c>
      <c r="D117" s="247" t="s">
        <v>9869</v>
      </c>
      <c r="E117" s="198" t="s">
        <v>29</v>
      </c>
      <c r="F117" s="198" t="s">
        <v>21</v>
      </c>
      <c r="G117" s="198" t="s">
        <v>72</v>
      </c>
      <c r="H117" s="198" t="s">
        <v>26</v>
      </c>
      <c r="I117" s="198" t="s">
        <v>167</v>
      </c>
      <c r="J117" s="200" t="s">
        <v>1435</v>
      </c>
      <c r="K117" s="245">
        <v>150000</v>
      </c>
      <c r="L117" s="201" t="s">
        <v>2057</v>
      </c>
      <c r="M117" s="201" t="s">
        <v>14</v>
      </c>
    </row>
    <row r="118" spans="1:13">
      <c r="A118" s="198" t="str">
        <f>[1]Información!$A$18</f>
        <v>BEXTECHNOLOGY</v>
      </c>
      <c r="B118" s="198" t="s">
        <v>9872</v>
      </c>
      <c r="C118" s="198" t="s">
        <v>9734</v>
      </c>
      <c r="D118" s="247" t="s">
        <v>9869</v>
      </c>
      <c r="E118" s="198" t="s">
        <v>29</v>
      </c>
      <c r="F118" s="198" t="s">
        <v>21</v>
      </c>
      <c r="G118" s="198" t="s">
        <v>70</v>
      </c>
      <c r="H118" s="198" t="s">
        <v>42</v>
      </c>
      <c r="I118" s="198" t="s">
        <v>167</v>
      </c>
      <c r="J118" s="200" t="s">
        <v>1435</v>
      </c>
      <c r="K118" s="248">
        <v>190000</v>
      </c>
      <c r="L118" s="201" t="s">
        <v>2057</v>
      </c>
      <c r="M118" s="201" t="s">
        <v>14</v>
      </c>
    </row>
    <row r="119" spans="1:13">
      <c r="A119" s="198" t="str">
        <f>[1]Información!$A$18</f>
        <v>BEXTECHNOLOGY</v>
      </c>
      <c r="B119" s="198" t="s">
        <v>9873</v>
      </c>
      <c r="C119" s="198" t="s">
        <v>9734</v>
      </c>
      <c r="D119" s="247" t="s">
        <v>9874</v>
      </c>
      <c r="E119" s="198" t="s">
        <v>29</v>
      </c>
      <c r="F119" s="198" t="s">
        <v>21</v>
      </c>
      <c r="G119" s="198" t="s">
        <v>70</v>
      </c>
      <c r="H119" s="198" t="s">
        <v>26</v>
      </c>
      <c r="I119" s="198" t="s">
        <v>167</v>
      </c>
      <c r="J119" s="200" t="s">
        <v>1435</v>
      </c>
      <c r="K119" s="245">
        <v>150000</v>
      </c>
      <c r="L119" s="201" t="s">
        <v>2057</v>
      </c>
      <c r="M119" s="201" t="s">
        <v>14</v>
      </c>
    </row>
    <row r="120" spans="1:13">
      <c r="A120" s="198" t="str">
        <f>[1]Información!$A$18</f>
        <v>BEXTECHNOLOGY</v>
      </c>
      <c r="B120" s="198" t="s">
        <v>9875</v>
      </c>
      <c r="C120" s="198" t="s">
        <v>9734</v>
      </c>
      <c r="D120" s="247" t="s">
        <v>9874</v>
      </c>
      <c r="E120" s="198" t="s">
        <v>29</v>
      </c>
      <c r="F120" s="198" t="s">
        <v>21</v>
      </c>
      <c r="G120" s="198" t="s">
        <v>74</v>
      </c>
      <c r="H120" s="198" t="s">
        <v>26</v>
      </c>
      <c r="I120" s="198" t="s">
        <v>167</v>
      </c>
      <c r="J120" s="200" t="s">
        <v>1435</v>
      </c>
      <c r="K120" s="245">
        <v>150000</v>
      </c>
      <c r="L120" s="201" t="s">
        <v>2057</v>
      </c>
      <c r="M120" s="201" t="s">
        <v>14</v>
      </c>
    </row>
    <row r="121" spans="1:13">
      <c r="A121" s="198" t="str">
        <f>[1]Información!$A$18</f>
        <v>BEXTECHNOLOGY</v>
      </c>
      <c r="B121" s="198" t="s">
        <v>9876</v>
      </c>
      <c r="C121" s="198" t="s">
        <v>9734</v>
      </c>
      <c r="D121" s="247" t="s">
        <v>9874</v>
      </c>
      <c r="E121" s="198" t="s">
        <v>29</v>
      </c>
      <c r="F121" s="198" t="s">
        <v>21</v>
      </c>
      <c r="G121" s="198" t="s">
        <v>72</v>
      </c>
      <c r="H121" s="198" t="s">
        <v>26</v>
      </c>
      <c r="I121" s="198" t="s">
        <v>167</v>
      </c>
      <c r="J121" s="200" t="s">
        <v>1435</v>
      </c>
      <c r="K121" s="245">
        <v>150000</v>
      </c>
      <c r="L121" s="201" t="s">
        <v>2057</v>
      </c>
      <c r="M121" s="201" t="s">
        <v>14</v>
      </c>
    </row>
    <row r="122" spans="1:13">
      <c r="A122" s="198" t="str">
        <f>[1]Información!$A$18</f>
        <v>BEXTECHNOLOGY</v>
      </c>
      <c r="B122" s="198" t="s">
        <v>9877</v>
      </c>
      <c r="C122" s="198" t="s">
        <v>9734</v>
      </c>
      <c r="D122" s="247" t="s">
        <v>9874</v>
      </c>
      <c r="E122" s="198" t="s">
        <v>29</v>
      </c>
      <c r="F122" s="198" t="s">
        <v>21</v>
      </c>
      <c r="G122" s="198" t="s">
        <v>70</v>
      </c>
      <c r="H122" s="198" t="s">
        <v>42</v>
      </c>
      <c r="I122" s="198" t="s">
        <v>167</v>
      </c>
      <c r="J122" s="200" t="s">
        <v>1435</v>
      </c>
      <c r="K122" s="248">
        <v>190000</v>
      </c>
      <c r="L122" s="201" t="s">
        <v>2057</v>
      </c>
      <c r="M122" s="201" t="s">
        <v>14</v>
      </c>
    </row>
    <row r="123" spans="1:13">
      <c r="A123" s="198" t="str">
        <f>[1]Información!$A$18</f>
        <v>BEXTECHNOLOGY</v>
      </c>
      <c r="B123" s="198" t="s">
        <v>9878</v>
      </c>
      <c r="C123" s="198" t="s">
        <v>9734</v>
      </c>
      <c r="D123" s="247" t="s">
        <v>9879</v>
      </c>
      <c r="E123" s="198" t="s">
        <v>29</v>
      </c>
      <c r="F123" s="198" t="s">
        <v>21</v>
      </c>
      <c r="G123" s="198" t="s">
        <v>70</v>
      </c>
      <c r="H123" s="198" t="s">
        <v>26</v>
      </c>
      <c r="I123" s="198" t="s">
        <v>167</v>
      </c>
      <c r="J123" s="200" t="s">
        <v>1435</v>
      </c>
      <c r="K123" s="245">
        <v>150000</v>
      </c>
      <c r="L123" s="201" t="s">
        <v>2057</v>
      </c>
      <c r="M123" s="201" t="s">
        <v>14</v>
      </c>
    </row>
    <row r="124" spans="1:13">
      <c r="A124" s="198" t="str">
        <f>[1]Información!$A$18</f>
        <v>BEXTECHNOLOGY</v>
      </c>
      <c r="B124" s="198" t="s">
        <v>9880</v>
      </c>
      <c r="C124" s="198" t="s">
        <v>9734</v>
      </c>
      <c r="D124" s="247" t="s">
        <v>9879</v>
      </c>
      <c r="E124" s="198" t="s">
        <v>29</v>
      </c>
      <c r="F124" s="198" t="s">
        <v>21</v>
      </c>
      <c r="G124" s="198" t="s">
        <v>74</v>
      </c>
      <c r="H124" s="198" t="s">
        <v>26</v>
      </c>
      <c r="I124" s="198" t="s">
        <v>167</v>
      </c>
      <c r="J124" s="200" t="s">
        <v>1435</v>
      </c>
      <c r="K124" s="245">
        <v>150000</v>
      </c>
      <c r="L124" s="201" t="s">
        <v>2057</v>
      </c>
      <c r="M124" s="201" t="s">
        <v>14</v>
      </c>
    </row>
    <row r="125" spans="1:13">
      <c r="A125" s="198" t="str">
        <f>[1]Información!$A$18</f>
        <v>BEXTECHNOLOGY</v>
      </c>
      <c r="B125" s="198" t="s">
        <v>9881</v>
      </c>
      <c r="C125" s="198" t="s">
        <v>9734</v>
      </c>
      <c r="D125" s="247" t="s">
        <v>9879</v>
      </c>
      <c r="E125" s="198" t="s">
        <v>29</v>
      </c>
      <c r="F125" s="198" t="s">
        <v>21</v>
      </c>
      <c r="G125" s="198" t="s">
        <v>72</v>
      </c>
      <c r="H125" s="198" t="s">
        <v>26</v>
      </c>
      <c r="I125" s="198" t="s">
        <v>167</v>
      </c>
      <c r="J125" s="200" t="s">
        <v>1435</v>
      </c>
      <c r="K125" s="245">
        <v>150000</v>
      </c>
      <c r="L125" s="201" t="s">
        <v>2057</v>
      </c>
      <c r="M125" s="201" t="s">
        <v>14</v>
      </c>
    </row>
    <row r="126" spans="1:13">
      <c r="A126" s="198" t="str">
        <f>[1]Información!$A$18</f>
        <v>BEXTECHNOLOGY</v>
      </c>
      <c r="B126" s="198" t="s">
        <v>9882</v>
      </c>
      <c r="C126" s="198" t="s">
        <v>9734</v>
      </c>
      <c r="D126" s="247" t="s">
        <v>9879</v>
      </c>
      <c r="E126" s="198" t="s">
        <v>29</v>
      </c>
      <c r="F126" s="198" t="s">
        <v>21</v>
      </c>
      <c r="G126" s="198" t="s">
        <v>70</v>
      </c>
      <c r="H126" s="198" t="s">
        <v>42</v>
      </c>
      <c r="I126" s="198" t="s">
        <v>167</v>
      </c>
      <c r="J126" s="200" t="s">
        <v>1435</v>
      </c>
      <c r="K126" s="248">
        <v>190000</v>
      </c>
      <c r="L126" s="201" t="s">
        <v>2057</v>
      </c>
      <c r="M126" s="201" t="s">
        <v>14</v>
      </c>
    </row>
    <row r="127" spans="1:13">
      <c r="A127" s="198" t="str">
        <f>[1]Información!$A$18</f>
        <v>BEXTECHNOLOGY</v>
      </c>
      <c r="B127" s="198" t="s">
        <v>9883</v>
      </c>
      <c r="C127" s="198" t="s">
        <v>9734</v>
      </c>
      <c r="D127" s="247" t="s">
        <v>9884</v>
      </c>
      <c r="E127" s="198" t="s">
        <v>29</v>
      </c>
      <c r="F127" s="198" t="s">
        <v>21</v>
      </c>
      <c r="G127" s="198" t="s">
        <v>70</v>
      </c>
      <c r="H127" s="198" t="s">
        <v>26</v>
      </c>
      <c r="I127" s="198" t="s">
        <v>436</v>
      </c>
      <c r="J127" s="200" t="s">
        <v>1435</v>
      </c>
      <c r="K127" s="245">
        <v>150000</v>
      </c>
      <c r="L127" s="201" t="s">
        <v>2057</v>
      </c>
      <c r="M127" s="201" t="s">
        <v>14</v>
      </c>
    </row>
    <row r="128" spans="1:13">
      <c r="A128" s="198" t="str">
        <f>[1]Información!$A$18</f>
        <v>BEXTECHNOLOGY</v>
      </c>
      <c r="B128" s="198" t="s">
        <v>9885</v>
      </c>
      <c r="C128" s="198" t="s">
        <v>9734</v>
      </c>
      <c r="D128" s="247" t="s">
        <v>9884</v>
      </c>
      <c r="E128" s="198" t="s">
        <v>29</v>
      </c>
      <c r="F128" s="198" t="s">
        <v>21</v>
      </c>
      <c r="G128" s="198" t="s">
        <v>74</v>
      </c>
      <c r="H128" s="198" t="s">
        <v>26</v>
      </c>
      <c r="I128" s="198" t="s">
        <v>436</v>
      </c>
      <c r="J128" s="200" t="s">
        <v>1435</v>
      </c>
      <c r="K128" s="245">
        <v>150000</v>
      </c>
      <c r="L128" s="201" t="s">
        <v>2057</v>
      </c>
      <c r="M128" s="201" t="s">
        <v>14</v>
      </c>
    </row>
    <row r="129" spans="1:13">
      <c r="A129" s="198" t="str">
        <f>[1]Información!$A$18</f>
        <v>BEXTECHNOLOGY</v>
      </c>
      <c r="B129" s="198" t="s">
        <v>9886</v>
      </c>
      <c r="C129" s="198" t="s">
        <v>9734</v>
      </c>
      <c r="D129" s="247" t="s">
        <v>9884</v>
      </c>
      <c r="E129" s="198" t="s">
        <v>29</v>
      </c>
      <c r="F129" s="198" t="s">
        <v>21</v>
      </c>
      <c r="G129" s="198" t="s">
        <v>72</v>
      </c>
      <c r="H129" s="198" t="s">
        <v>26</v>
      </c>
      <c r="I129" s="198" t="s">
        <v>436</v>
      </c>
      <c r="J129" s="200" t="s">
        <v>1435</v>
      </c>
      <c r="K129" s="245">
        <v>150000</v>
      </c>
      <c r="L129" s="201" t="s">
        <v>2057</v>
      </c>
      <c r="M129" s="201" t="s">
        <v>14</v>
      </c>
    </row>
    <row r="130" spans="1:13">
      <c r="A130" s="198" t="str">
        <f>[1]Información!$A$18</f>
        <v>BEXTECHNOLOGY</v>
      </c>
      <c r="B130" s="198" t="s">
        <v>9887</v>
      </c>
      <c r="C130" s="198" t="s">
        <v>9734</v>
      </c>
      <c r="D130" s="247" t="s">
        <v>9884</v>
      </c>
      <c r="E130" s="198" t="s">
        <v>29</v>
      </c>
      <c r="F130" s="198" t="s">
        <v>21</v>
      </c>
      <c r="G130" s="198" t="s">
        <v>70</v>
      </c>
      <c r="H130" s="198" t="s">
        <v>42</v>
      </c>
      <c r="I130" s="198" t="s">
        <v>436</v>
      </c>
      <c r="J130" s="200" t="s">
        <v>1435</v>
      </c>
      <c r="K130" s="248">
        <v>190000</v>
      </c>
      <c r="L130" s="201" t="s">
        <v>2057</v>
      </c>
      <c r="M130" s="201" t="s">
        <v>14</v>
      </c>
    </row>
    <row r="131" spans="1:13">
      <c r="A131" s="198" t="str">
        <f>[1]Información!$A$18</f>
        <v>BEXTECHNOLOGY</v>
      </c>
      <c r="B131" s="198" t="s">
        <v>9888</v>
      </c>
      <c r="C131" s="198" t="s">
        <v>9734</v>
      </c>
      <c r="D131" s="247" t="s">
        <v>9889</v>
      </c>
      <c r="E131" s="198" t="s">
        <v>29</v>
      </c>
      <c r="F131" s="198" t="s">
        <v>21</v>
      </c>
      <c r="G131" s="198" t="s">
        <v>70</v>
      </c>
      <c r="H131" s="198" t="s">
        <v>26</v>
      </c>
      <c r="I131" s="198" t="s">
        <v>436</v>
      </c>
      <c r="J131" s="200" t="s">
        <v>1435</v>
      </c>
      <c r="K131" s="245">
        <v>150000</v>
      </c>
      <c r="L131" s="201" t="s">
        <v>2057</v>
      </c>
      <c r="M131" s="201" t="s">
        <v>14</v>
      </c>
    </row>
    <row r="132" spans="1:13">
      <c r="A132" s="198" t="str">
        <f>[1]Información!$A$18</f>
        <v>BEXTECHNOLOGY</v>
      </c>
      <c r="B132" s="198" t="s">
        <v>9890</v>
      </c>
      <c r="C132" s="198" t="s">
        <v>9734</v>
      </c>
      <c r="D132" s="247" t="s">
        <v>9889</v>
      </c>
      <c r="E132" s="198" t="s">
        <v>29</v>
      </c>
      <c r="F132" s="198" t="s">
        <v>21</v>
      </c>
      <c r="G132" s="198" t="s">
        <v>74</v>
      </c>
      <c r="H132" s="198" t="s">
        <v>26</v>
      </c>
      <c r="I132" s="198" t="s">
        <v>436</v>
      </c>
      <c r="J132" s="200" t="s">
        <v>1435</v>
      </c>
      <c r="K132" s="245">
        <v>150000</v>
      </c>
      <c r="L132" s="201" t="s">
        <v>2057</v>
      </c>
      <c r="M132" s="201" t="s">
        <v>14</v>
      </c>
    </row>
    <row r="133" spans="1:13">
      <c r="A133" s="198" t="str">
        <f>[1]Información!$A$18</f>
        <v>BEXTECHNOLOGY</v>
      </c>
      <c r="B133" s="198" t="s">
        <v>9891</v>
      </c>
      <c r="C133" s="198" t="s">
        <v>9734</v>
      </c>
      <c r="D133" s="247" t="s">
        <v>9889</v>
      </c>
      <c r="E133" s="198" t="s">
        <v>29</v>
      </c>
      <c r="F133" s="198" t="s">
        <v>21</v>
      </c>
      <c r="G133" s="198" t="s">
        <v>72</v>
      </c>
      <c r="H133" s="198" t="s">
        <v>26</v>
      </c>
      <c r="I133" s="198" t="s">
        <v>436</v>
      </c>
      <c r="J133" s="200" t="s">
        <v>1435</v>
      </c>
      <c r="K133" s="245">
        <v>150000</v>
      </c>
      <c r="L133" s="201" t="s">
        <v>2057</v>
      </c>
      <c r="M133" s="201" t="s">
        <v>14</v>
      </c>
    </row>
    <row r="134" spans="1:13">
      <c r="A134" s="198" t="str">
        <f>[1]Información!$A$18</f>
        <v>BEXTECHNOLOGY</v>
      </c>
      <c r="B134" s="198" t="s">
        <v>9892</v>
      </c>
      <c r="C134" s="198" t="s">
        <v>9734</v>
      </c>
      <c r="D134" s="247" t="s">
        <v>9889</v>
      </c>
      <c r="E134" s="198" t="s">
        <v>29</v>
      </c>
      <c r="F134" s="198" t="s">
        <v>21</v>
      </c>
      <c r="G134" s="198" t="s">
        <v>70</v>
      </c>
      <c r="H134" s="198" t="s">
        <v>42</v>
      </c>
      <c r="I134" s="198" t="s">
        <v>436</v>
      </c>
      <c r="J134" s="200" t="s">
        <v>1435</v>
      </c>
      <c r="K134" s="248">
        <v>190000</v>
      </c>
      <c r="L134" s="201" t="s">
        <v>2057</v>
      </c>
      <c r="M134" s="201" t="s">
        <v>14</v>
      </c>
    </row>
    <row r="135" spans="1:13">
      <c r="A135" s="198" t="str">
        <f>[1]Información!$A$18</f>
        <v>BEXTECHNOLOGY</v>
      </c>
      <c r="B135" s="198" t="s">
        <v>9893</v>
      </c>
      <c r="C135" s="198" t="s">
        <v>9734</v>
      </c>
      <c r="D135" s="247" t="s">
        <v>9894</v>
      </c>
      <c r="E135" s="198" t="s">
        <v>29</v>
      </c>
      <c r="F135" s="198" t="s">
        <v>21</v>
      </c>
      <c r="G135" s="198" t="s">
        <v>70</v>
      </c>
      <c r="H135" s="198" t="s">
        <v>26</v>
      </c>
      <c r="I135" s="198" t="s">
        <v>436</v>
      </c>
      <c r="J135" s="200" t="s">
        <v>1435</v>
      </c>
      <c r="K135" s="245">
        <v>150000</v>
      </c>
      <c r="L135" s="201" t="s">
        <v>2057</v>
      </c>
      <c r="M135" s="201" t="s">
        <v>14</v>
      </c>
    </row>
    <row r="136" spans="1:13">
      <c r="A136" s="198" t="str">
        <f>[1]Información!$A$18</f>
        <v>BEXTECHNOLOGY</v>
      </c>
      <c r="B136" s="198" t="s">
        <v>9895</v>
      </c>
      <c r="C136" s="198" t="s">
        <v>9734</v>
      </c>
      <c r="D136" s="247" t="s">
        <v>9894</v>
      </c>
      <c r="E136" s="198" t="s">
        <v>29</v>
      </c>
      <c r="F136" s="198" t="s">
        <v>21</v>
      </c>
      <c r="G136" s="198" t="s">
        <v>74</v>
      </c>
      <c r="H136" s="198" t="s">
        <v>26</v>
      </c>
      <c r="I136" s="198" t="s">
        <v>436</v>
      </c>
      <c r="J136" s="200" t="s">
        <v>1435</v>
      </c>
      <c r="K136" s="245">
        <v>150000</v>
      </c>
      <c r="L136" s="201" t="s">
        <v>2057</v>
      </c>
      <c r="M136" s="201" t="s">
        <v>14</v>
      </c>
    </row>
    <row r="137" spans="1:13">
      <c r="A137" s="198" t="str">
        <f>[1]Información!$A$18</f>
        <v>BEXTECHNOLOGY</v>
      </c>
      <c r="B137" s="198" t="s">
        <v>9896</v>
      </c>
      <c r="C137" s="198" t="s">
        <v>9734</v>
      </c>
      <c r="D137" s="247" t="s">
        <v>9894</v>
      </c>
      <c r="E137" s="198" t="s">
        <v>29</v>
      </c>
      <c r="F137" s="198" t="s">
        <v>21</v>
      </c>
      <c r="G137" s="198" t="s">
        <v>72</v>
      </c>
      <c r="H137" s="198" t="s">
        <v>26</v>
      </c>
      <c r="I137" s="198" t="s">
        <v>436</v>
      </c>
      <c r="J137" s="200" t="s">
        <v>1435</v>
      </c>
      <c r="K137" s="245">
        <v>150000</v>
      </c>
      <c r="L137" s="201" t="s">
        <v>2057</v>
      </c>
      <c r="M137" s="201" t="s">
        <v>14</v>
      </c>
    </row>
    <row r="138" spans="1:13">
      <c r="A138" s="198" t="str">
        <f>[1]Información!$A$18</f>
        <v>BEXTECHNOLOGY</v>
      </c>
      <c r="B138" s="198" t="s">
        <v>9897</v>
      </c>
      <c r="C138" s="198" t="s">
        <v>9734</v>
      </c>
      <c r="D138" s="247" t="s">
        <v>9894</v>
      </c>
      <c r="E138" s="198" t="s">
        <v>29</v>
      </c>
      <c r="F138" s="198" t="s">
        <v>21</v>
      </c>
      <c r="G138" s="198" t="s">
        <v>70</v>
      </c>
      <c r="H138" s="198" t="s">
        <v>42</v>
      </c>
      <c r="I138" s="198" t="s">
        <v>436</v>
      </c>
      <c r="J138" s="200" t="s">
        <v>1435</v>
      </c>
      <c r="K138" s="248">
        <v>190000</v>
      </c>
      <c r="L138" s="201" t="s">
        <v>2057</v>
      </c>
      <c r="M138" s="201" t="s">
        <v>14</v>
      </c>
    </row>
    <row r="139" spans="1:13">
      <c r="A139" s="198" t="str">
        <f>[1]Información!$A$18</f>
        <v>BEXTECHNOLOGY</v>
      </c>
      <c r="B139" s="198" t="s">
        <v>9898</v>
      </c>
      <c r="C139" s="198" t="s">
        <v>9734</v>
      </c>
      <c r="D139" s="247" t="s">
        <v>9899</v>
      </c>
      <c r="E139" s="198" t="s">
        <v>29</v>
      </c>
      <c r="F139" s="198" t="s">
        <v>21</v>
      </c>
      <c r="G139" s="198" t="s">
        <v>70</v>
      </c>
      <c r="H139" s="198" t="s">
        <v>26</v>
      </c>
      <c r="I139" s="198" t="s">
        <v>436</v>
      </c>
      <c r="J139" s="200" t="s">
        <v>1435</v>
      </c>
      <c r="K139" s="245">
        <v>150000</v>
      </c>
      <c r="L139" s="201" t="s">
        <v>2057</v>
      </c>
      <c r="M139" s="201" t="s">
        <v>14</v>
      </c>
    </row>
    <row r="140" spans="1:13">
      <c r="A140" s="198" t="str">
        <f>[1]Información!$A$18</f>
        <v>BEXTECHNOLOGY</v>
      </c>
      <c r="B140" s="198" t="s">
        <v>9900</v>
      </c>
      <c r="C140" s="198" t="s">
        <v>9734</v>
      </c>
      <c r="D140" s="247" t="s">
        <v>9899</v>
      </c>
      <c r="E140" s="198" t="s">
        <v>29</v>
      </c>
      <c r="F140" s="198" t="s">
        <v>21</v>
      </c>
      <c r="G140" s="198" t="s">
        <v>74</v>
      </c>
      <c r="H140" s="198" t="s">
        <v>26</v>
      </c>
      <c r="I140" s="198" t="s">
        <v>436</v>
      </c>
      <c r="J140" s="200" t="s">
        <v>1435</v>
      </c>
      <c r="K140" s="245">
        <v>150000</v>
      </c>
      <c r="L140" s="201" t="s">
        <v>2057</v>
      </c>
      <c r="M140" s="201" t="s">
        <v>14</v>
      </c>
    </row>
    <row r="141" spans="1:13">
      <c r="A141" s="198" t="str">
        <f>[1]Información!$A$18</f>
        <v>BEXTECHNOLOGY</v>
      </c>
      <c r="B141" s="198" t="s">
        <v>9901</v>
      </c>
      <c r="C141" s="198" t="s">
        <v>9734</v>
      </c>
      <c r="D141" s="247" t="s">
        <v>9899</v>
      </c>
      <c r="E141" s="198" t="s">
        <v>29</v>
      </c>
      <c r="F141" s="198" t="s">
        <v>21</v>
      </c>
      <c r="G141" s="198" t="s">
        <v>72</v>
      </c>
      <c r="H141" s="198" t="s">
        <v>26</v>
      </c>
      <c r="I141" s="198" t="s">
        <v>436</v>
      </c>
      <c r="J141" s="200" t="s">
        <v>1435</v>
      </c>
      <c r="K141" s="245">
        <v>150000</v>
      </c>
      <c r="L141" s="201" t="s">
        <v>2057</v>
      </c>
      <c r="M141" s="201" t="s">
        <v>14</v>
      </c>
    </row>
    <row r="142" spans="1:13">
      <c r="A142" s="198" t="str">
        <f>[1]Información!$A$18</f>
        <v>BEXTECHNOLOGY</v>
      </c>
      <c r="B142" s="198" t="s">
        <v>9902</v>
      </c>
      <c r="C142" s="198" t="s">
        <v>9734</v>
      </c>
      <c r="D142" s="247" t="s">
        <v>9903</v>
      </c>
      <c r="E142" s="198" t="s">
        <v>29</v>
      </c>
      <c r="F142" s="198" t="s">
        <v>21</v>
      </c>
      <c r="G142" s="198" t="s">
        <v>70</v>
      </c>
      <c r="H142" s="198" t="s">
        <v>26</v>
      </c>
      <c r="I142" s="198" t="s">
        <v>436</v>
      </c>
      <c r="J142" s="200" t="s">
        <v>1435</v>
      </c>
      <c r="K142" s="245">
        <v>150000</v>
      </c>
      <c r="L142" s="201" t="s">
        <v>2057</v>
      </c>
      <c r="M142" s="201" t="s">
        <v>14</v>
      </c>
    </row>
    <row r="143" spans="1:13">
      <c r="A143" s="198" t="str">
        <f>[1]Información!$A$18</f>
        <v>BEXTECHNOLOGY</v>
      </c>
      <c r="B143" s="198" t="s">
        <v>9904</v>
      </c>
      <c r="C143" s="198" t="s">
        <v>9734</v>
      </c>
      <c r="D143" s="247" t="s">
        <v>9903</v>
      </c>
      <c r="E143" s="198" t="s">
        <v>29</v>
      </c>
      <c r="F143" s="198" t="s">
        <v>21</v>
      </c>
      <c r="G143" s="198" t="s">
        <v>74</v>
      </c>
      <c r="H143" s="198" t="s">
        <v>26</v>
      </c>
      <c r="I143" s="198" t="s">
        <v>436</v>
      </c>
      <c r="J143" s="200" t="s">
        <v>1435</v>
      </c>
      <c r="K143" s="245">
        <v>150000</v>
      </c>
      <c r="L143" s="201" t="s">
        <v>2057</v>
      </c>
      <c r="M143" s="201" t="s">
        <v>14</v>
      </c>
    </row>
    <row r="144" spans="1:13">
      <c r="A144" s="198" t="str">
        <f>[1]Información!$A$18</f>
        <v>BEXTECHNOLOGY</v>
      </c>
      <c r="B144" s="198" t="s">
        <v>9905</v>
      </c>
      <c r="C144" s="198" t="s">
        <v>9734</v>
      </c>
      <c r="D144" s="247" t="s">
        <v>9903</v>
      </c>
      <c r="E144" s="198" t="s">
        <v>29</v>
      </c>
      <c r="F144" s="198" t="s">
        <v>21</v>
      </c>
      <c r="G144" s="198" t="s">
        <v>72</v>
      </c>
      <c r="H144" s="198" t="s">
        <v>26</v>
      </c>
      <c r="I144" s="198" t="s">
        <v>436</v>
      </c>
      <c r="J144" s="200" t="s">
        <v>1435</v>
      </c>
      <c r="K144" s="245">
        <v>150000</v>
      </c>
      <c r="L144" s="201" t="s">
        <v>2057</v>
      </c>
      <c r="M144" s="201" t="s">
        <v>14</v>
      </c>
    </row>
    <row r="145" spans="1:13">
      <c r="A145" s="198" t="str">
        <f>[1]Información!$A$18</f>
        <v>BEXTECHNOLOGY</v>
      </c>
      <c r="B145" s="198" t="s">
        <v>9906</v>
      </c>
      <c r="C145" s="198" t="s">
        <v>9734</v>
      </c>
      <c r="D145" s="247" t="s">
        <v>9899</v>
      </c>
      <c r="E145" s="198" t="s">
        <v>29</v>
      </c>
      <c r="F145" s="198" t="s">
        <v>21</v>
      </c>
      <c r="G145" s="198" t="s">
        <v>70</v>
      </c>
      <c r="H145" s="198" t="s">
        <v>42</v>
      </c>
      <c r="I145" s="198" t="s">
        <v>436</v>
      </c>
      <c r="J145" s="200" t="s">
        <v>1435</v>
      </c>
      <c r="K145" s="248">
        <v>190000</v>
      </c>
      <c r="L145" s="201" t="s">
        <v>2057</v>
      </c>
      <c r="M145" s="201" t="s">
        <v>14</v>
      </c>
    </row>
    <row r="146" spans="1:13">
      <c r="A146" s="198" t="str">
        <f>[1]Información!$A$18</f>
        <v>BEXTECHNOLOGY</v>
      </c>
      <c r="B146" s="198" t="s">
        <v>9907</v>
      </c>
      <c r="C146" s="198" t="s">
        <v>9734</v>
      </c>
      <c r="D146" s="247" t="s">
        <v>9908</v>
      </c>
      <c r="E146" s="198" t="s">
        <v>29</v>
      </c>
      <c r="F146" s="198" t="s">
        <v>21</v>
      </c>
      <c r="G146" s="198" t="s">
        <v>70</v>
      </c>
      <c r="H146" s="198" t="s">
        <v>26</v>
      </c>
      <c r="I146" s="198" t="s">
        <v>436</v>
      </c>
      <c r="J146" s="200" t="s">
        <v>1435</v>
      </c>
      <c r="K146" s="245">
        <v>150000</v>
      </c>
      <c r="L146" s="201" t="s">
        <v>2057</v>
      </c>
      <c r="M146" s="201" t="s">
        <v>14</v>
      </c>
    </row>
    <row r="147" spans="1:13">
      <c r="A147" s="198" t="str">
        <f>[1]Información!$A$18</f>
        <v>BEXTECHNOLOGY</v>
      </c>
      <c r="B147" s="198" t="s">
        <v>9909</v>
      </c>
      <c r="C147" s="198" t="s">
        <v>9734</v>
      </c>
      <c r="D147" s="247" t="s">
        <v>9908</v>
      </c>
      <c r="E147" s="198" t="s">
        <v>29</v>
      </c>
      <c r="F147" s="198" t="s">
        <v>21</v>
      </c>
      <c r="G147" s="198" t="s">
        <v>74</v>
      </c>
      <c r="H147" s="198" t="s">
        <v>26</v>
      </c>
      <c r="I147" s="198" t="s">
        <v>436</v>
      </c>
      <c r="J147" s="200" t="s">
        <v>1435</v>
      </c>
      <c r="K147" s="245">
        <v>150000</v>
      </c>
      <c r="L147" s="201" t="s">
        <v>2057</v>
      </c>
      <c r="M147" s="201" t="s">
        <v>14</v>
      </c>
    </row>
    <row r="148" spans="1:13">
      <c r="A148" s="198" t="str">
        <f>[1]Información!$A$18</f>
        <v>BEXTECHNOLOGY</v>
      </c>
      <c r="B148" s="198" t="s">
        <v>9910</v>
      </c>
      <c r="C148" s="198" t="s">
        <v>9734</v>
      </c>
      <c r="D148" s="247" t="s">
        <v>9908</v>
      </c>
      <c r="E148" s="198" t="s">
        <v>29</v>
      </c>
      <c r="F148" s="198" t="s">
        <v>21</v>
      </c>
      <c r="G148" s="198" t="s">
        <v>72</v>
      </c>
      <c r="H148" s="198" t="s">
        <v>26</v>
      </c>
      <c r="I148" s="198" t="s">
        <v>436</v>
      </c>
      <c r="J148" s="200" t="s">
        <v>1435</v>
      </c>
      <c r="K148" s="245">
        <v>150000</v>
      </c>
      <c r="L148" s="201" t="s">
        <v>2057</v>
      </c>
      <c r="M148" s="201" t="s">
        <v>14</v>
      </c>
    </row>
    <row r="149" spans="1:13">
      <c r="A149" s="198" t="str">
        <f>[1]Información!$A$18</f>
        <v>BEXTECHNOLOGY</v>
      </c>
      <c r="B149" s="198" t="s">
        <v>9911</v>
      </c>
      <c r="C149" s="198" t="s">
        <v>9734</v>
      </c>
      <c r="D149" s="247" t="s">
        <v>9908</v>
      </c>
      <c r="E149" s="198" t="s">
        <v>29</v>
      </c>
      <c r="F149" s="198" t="s">
        <v>21</v>
      </c>
      <c r="G149" s="198" t="s">
        <v>70</v>
      </c>
      <c r="H149" s="198" t="s">
        <v>42</v>
      </c>
      <c r="I149" s="198" t="s">
        <v>436</v>
      </c>
      <c r="J149" s="200" t="s">
        <v>1435</v>
      </c>
      <c r="K149" s="248">
        <v>190000</v>
      </c>
      <c r="L149" s="201" t="s">
        <v>2057</v>
      </c>
      <c r="M149" s="201" t="s">
        <v>14</v>
      </c>
    </row>
    <row r="150" spans="1:13">
      <c r="A150" s="198" t="str">
        <f>[1]Información!$A$18</f>
        <v>BEXTECHNOLOGY</v>
      </c>
      <c r="B150" s="198" t="s">
        <v>9912</v>
      </c>
      <c r="C150" s="198" t="s">
        <v>9734</v>
      </c>
      <c r="D150" s="247" t="s">
        <v>9864</v>
      </c>
      <c r="E150" s="198" t="s">
        <v>128</v>
      </c>
      <c r="F150" s="198" t="s">
        <v>21</v>
      </c>
      <c r="G150" s="198" t="s">
        <v>70</v>
      </c>
      <c r="H150" s="198" t="s">
        <v>42</v>
      </c>
      <c r="I150" s="198" t="s">
        <v>167</v>
      </c>
      <c r="J150" s="200" t="s">
        <v>1435</v>
      </c>
      <c r="K150" s="248">
        <v>20000000</v>
      </c>
      <c r="L150" s="201" t="s">
        <v>2057</v>
      </c>
      <c r="M150" s="201" t="s">
        <v>14</v>
      </c>
    </row>
    <row r="151" spans="1:13">
      <c r="A151" s="198" t="str">
        <f>[1]Información!$A$18</f>
        <v>BEXTECHNOLOGY</v>
      </c>
      <c r="B151" s="198" t="s">
        <v>9913</v>
      </c>
      <c r="C151" s="198" t="s">
        <v>9734</v>
      </c>
      <c r="D151" s="247" t="s">
        <v>9864</v>
      </c>
      <c r="E151" s="198" t="s">
        <v>128</v>
      </c>
      <c r="F151" s="198" t="s">
        <v>21</v>
      </c>
      <c r="G151" s="198" t="s">
        <v>74</v>
      </c>
      <c r="H151" s="198" t="s">
        <v>42</v>
      </c>
      <c r="I151" s="198" t="s">
        <v>167</v>
      </c>
      <c r="J151" s="200" t="s">
        <v>1435</v>
      </c>
      <c r="K151" s="248">
        <v>24000000</v>
      </c>
      <c r="L151" s="201" t="s">
        <v>2057</v>
      </c>
      <c r="M151" s="201" t="s">
        <v>14</v>
      </c>
    </row>
    <row r="152" spans="1:13">
      <c r="A152" s="198" t="str">
        <f>[1]Información!$A$18</f>
        <v>BEXTECHNOLOGY</v>
      </c>
      <c r="B152" s="198" t="s">
        <v>9914</v>
      </c>
      <c r="C152" s="198" t="s">
        <v>9734</v>
      </c>
      <c r="D152" s="247" t="s">
        <v>9869</v>
      </c>
      <c r="E152" s="198" t="s">
        <v>128</v>
      </c>
      <c r="F152" s="198" t="s">
        <v>21</v>
      </c>
      <c r="G152" s="198" t="s">
        <v>70</v>
      </c>
      <c r="H152" s="198" t="s">
        <v>42</v>
      </c>
      <c r="I152" s="198" t="s">
        <v>167</v>
      </c>
      <c r="J152" s="200" t="s">
        <v>1435</v>
      </c>
      <c r="K152" s="248">
        <v>20000000</v>
      </c>
      <c r="L152" s="201" t="s">
        <v>2057</v>
      </c>
      <c r="M152" s="201" t="s">
        <v>14</v>
      </c>
    </row>
    <row r="153" spans="1:13">
      <c r="A153" s="198" t="str">
        <f>[1]Información!$A$18</f>
        <v>BEXTECHNOLOGY</v>
      </c>
      <c r="B153" s="198" t="s">
        <v>9915</v>
      </c>
      <c r="C153" s="198" t="s">
        <v>9734</v>
      </c>
      <c r="D153" s="247" t="s">
        <v>9869</v>
      </c>
      <c r="E153" s="198" t="s">
        <v>128</v>
      </c>
      <c r="F153" s="198" t="s">
        <v>21</v>
      </c>
      <c r="G153" s="198" t="s">
        <v>74</v>
      </c>
      <c r="H153" s="198" t="s">
        <v>42</v>
      </c>
      <c r="I153" s="198" t="s">
        <v>167</v>
      </c>
      <c r="J153" s="200" t="s">
        <v>1435</v>
      </c>
      <c r="K153" s="248">
        <v>24000000</v>
      </c>
      <c r="L153" s="201" t="s">
        <v>2057</v>
      </c>
      <c r="M153" s="201" t="s">
        <v>14</v>
      </c>
    </row>
    <row r="154" spans="1:13">
      <c r="A154" s="198" t="str">
        <f>[1]Información!$A$18</f>
        <v>BEXTECHNOLOGY</v>
      </c>
      <c r="B154" s="198" t="s">
        <v>9916</v>
      </c>
      <c r="C154" s="198" t="s">
        <v>9734</v>
      </c>
      <c r="D154" s="247" t="s">
        <v>9874</v>
      </c>
      <c r="E154" s="198" t="s">
        <v>128</v>
      </c>
      <c r="F154" s="198" t="s">
        <v>21</v>
      </c>
      <c r="G154" s="198" t="s">
        <v>70</v>
      </c>
      <c r="H154" s="198" t="s">
        <v>42</v>
      </c>
      <c r="I154" s="198" t="s">
        <v>167</v>
      </c>
      <c r="J154" s="200" t="s">
        <v>1435</v>
      </c>
      <c r="K154" s="248">
        <v>20000000</v>
      </c>
      <c r="L154" s="201" t="s">
        <v>2057</v>
      </c>
      <c r="M154" s="201" t="s">
        <v>14</v>
      </c>
    </row>
    <row r="155" spans="1:13">
      <c r="A155" s="198" t="str">
        <f>[1]Información!$A$18</f>
        <v>BEXTECHNOLOGY</v>
      </c>
      <c r="B155" s="198" t="s">
        <v>9917</v>
      </c>
      <c r="C155" s="198" t="s">
        <v>9734</v>
      </c>
      <c r="D155" s="247" t="s">
        <v>9874</v>
      </c>
      <c r="E155" s="198" t="s">
        <v>128</v>
      </c>
      <c r="F155" s="198" t="s">
        <v>21</v>
      </c>
      <c r="G155" s="198" t="s">
        <v>74</v>
      </c>
      <c r="H155" s="198" t="s">
        <v>42</v>
      </c>
      <c r="I155" s="198" t="s">
        <v>167</v>
      </c>
      <c r="J155" s="200" t="s">
        <v>1435</v>
      </c>
      <c r="K155" s="248">
        <v>24000000</v>
      </c>
      <c r="L155" s="201" t="s">
        <v>2057</v>
      </c>
      <c r="M155" s="201" t="s">
        <v>14</v>
      </c>
    </row>
    <row r="156" spans="1:13">
      <c r="A156" s="198" t="str">
        <f>[1]Información!$A$18</f>
        <v>BEXTECHNOLOGY</v>
      </c>
      <c r="B156" s="198" t="s">
        <v>9918</v>
      </c>
      <c r="C156" s="198" t="s">
        <v>9734</v>
      </c>
      <c r="D156" s="247" t="s">
        <v>9879</v>
      </c>
      <c r="E156" s="198" t="s">
        <v>128</v>
      </c>
      <c r="F156" s="198" t="s">
        <v>21</v>
      </c>
      <c r="G156" s="198" t="s">
        <v>70</v>
      </c>
      <c r="H156" s="198" t="s">
        <v>42</v>
      </c>
      <c r="I156" s="198" t="s">
        <v>167</v>
      </c>
      <c r="J156" s="200" t="s">
        <v>1435</v>
      </c>
      <c r="K156" s="248">
        <v>20000000</v>
      </c>
      <c r="L156" s="201" t="s">
        <v>2057</v>
      </c>
      <c r="M156" s="201" t="s">
        <v>14</v>
      </c>
    </row>
    <row r="157" spans="1:13">
      <c r="A157" s="198" t="str">
        <f>[1]Información!$A$18</f>
        <v>BEXTECHNOLOGY</v>
      </c>
      <c r="B157" s="198" t="s">
        <v>9919</v>
      </c>
      <c r="C157" s="198" t="s">
        <v>9734</v>
      </c>
      <c r="D157" s="247" t="s">
        <v>9879</v>
      </c>
      <c r="E157" s="198" t="s">
        <v>128</v>
      </c>
      <c r="F157" s="198" t="s">
        <v>21</v>
      </c>
      <c r="G157" s="198" t="s">
        <v>74</v>
      </c>
      <c r="H157" s="198" t="s">
        <v>42</v>
      </c>
      <c r="I157" s="198" t="s">
        <v>167</v>
      </c>
      <c r="J157" s="200" t="s">
        <v>1435</v>
      </c>
      <c r="K157" s="248">
        <v>24000000</v>
      </c>
      <c r="L157" s="201" t="s">
        <v>2057</v>
      </c>
      <c r="M157" s="201" t="s">
        <v>14</v>
      </c>
    </row>
    <row r="158" spans="1:13">
      <c r="A158" s="198" t="str">
        <f>[1]Información!$A$18</f>
        <v>BEXTECHNOLOGY</v>
      </c>
      <c r="B158" s="198" t="s">
        <v>9920</v>
      </c>
      <c r="C158" s="198" t="s">
        <v>9734</v>
      </c>
      <c r="D158" s="247" t="s">
        <v>9884</v>
      </c>
      <c r="E158" s="198" t="s">
        <v>128</v>
      </c>
      <c r="F158" s="198" t="s">
        <v>21</v>
      </c>
      <c r="G158" s="198" t="s">
        <v>70</v>
      </c>
      <c r="H158" s="198" t="s">
        <v>42</v>
      </c>
      <c r="I158" s="198" t="s">
        <v>436</v>
      </c>
      <c r="J158" s="200" t="s">
        <v>1435</v>
      </c>
      <c r="K158" s="248">
        <v>20000000</v>
      </c>
      <c r="L158" s="201" t="s">
        <v>2057</v>
      </c>
      <c r="M158" s="201" t="s">
        <v>14</v>
      </c>
    </row>
    <row r="159" spans="1:13">
      <c r="A159" s="198" t="str">
        <f>[1]Información!$A$18</f>
        <v>BEXTECHNOLOGY</v>
      </c>
      <c r="B159" s="198" t="s">
        <v>9921</v>
      </c>
      <c r="C159" s="198" t="s">
        <v>9734</v>
      </c>
      <c r="D159" s="247" t="s">
        <v>9884</v>
      </c>
      <c r="E159" s="198" t="s">
        <v>128</v>
      </c>
      <c r="F159" s="198" t="s">
        <v>21</v>
      </c>
      <c r="G159" s="198" t="s">
        <v>74</v>
      </c>
      <c r="H159" s="198" t="s">
        <v>42</v>
      </c>
      <c r="I159" s="198" t="s">
        <v>436</v>
      </c>
      <c r="J159" s="200" t="s">
        <v>1435</v>
      </c>
      <c r="K159" s="248">
        <v>24000000</v>
      </c>
      <c r="L159" s="201" t="s">
        <v>2057</v>
      </c>
      <c r="M159" s="201" t="s">
        <v>14</v>
      </c>
    </row>
    <row r="160" spans="1:13">
      <c r="A160" s="198" t="str">
        <f>[1]Información!$A$18</f>
        <v>BEXTECHNOLOGY</v>
      </c>
      <c r="B160" s="198" t="s">
        <v>9922</v>
      </c>
      <c r="C160" s="198" t="s">
        <v>9734</v>
      </c>
      <c r="D160" s="247" t="s">
        <v>9889</v>
      </c>
      <c r="E160" s="198" t="s">
        <v>128</v>
      </c>
      <c r="F160" s="198" t="s">
        <v>21</v>
      </c>
      <c r="G160" s="198" t="s">
        <v>70</v>
      </c>
      <c r="H160" s="198" t="s">
        <v>42</v>
      </c>
      <c r="I160" s="198" t="s">
        <v>436</v>
      </c>
      <c r="J160" s="200" t="s">
        <v>1435</v>
      </c>
      <c r="K160" s="248">
        <v>20000000</v>
      </c>
      <c r="L160" s="201" t="s">
        <v>2057</v>
      </c>
      <c r="M160" s="201" t="s">
        <v>14</v>
      </c>
    </row>
    <row r="161" spans="1:13">
      <c r="A161" s="198" t="str">
        <f>[1]Información!$A$18</f>
        <v>BEXTECHNOLOGY</v>
      </c>
      <c r="B161" s="198" t="s">
        <v>9923</v>
      </c>
      <c r="C161" s="198" t="s">
        <v>9734</v>
      </c>
      <c r="D161" s="247" t="s">
        <v>9889</v>
      </c>
      <c r="E161" s="198" t="s">
        <v>128</v>
      </c>
      <c r="F161" s="198" t="s">
        <v>21</v>
      </c>
      <c r="G161" s="198" t="s">
        <v>74</v>
      </c>
      <c r="H161" s="198" t="s">
        <v>42</v>
      </c>
      <c r="I161" s="198" t="s">
        <v>436</v>
      </c>
      <c r="J161" s="200" t="s">
        <v>1435</v>
      </c>
      <c r="K161" s="248">
        <v>24000000</v>
      </c>
      <c r="L161" s="201" t="s">
        <v>2057</v>
      </c>
      <c r="M161" s="201" t="s">
        <v>14</v>
      </c>
    </row>
    <row r="162" spans="1:13">
      <c r="A162" s="198" t="str">
        <f>[1]Información!$A$18</f>
        <v>BEXTECHNOLOGY</v>
      </c>
      <c r="B162" s="198" t="s">
        <v>9924</v>
      </c>
      <c r="C162" s="198" t="s">
        <v>9734</v>
      </c>
      <c r="D162" s="247" t="s">
        <v>9894</v>
      </c>
      <c r="E162" s="198" t="s">
        <v>128</v>
      </c>
      <c r="F162" s="198" t="s">
        <v>21</v>
      </c>
      <c r="G162" s="198" t="s">
        <v>70</v>
      </c>
      <c r="H162" s="198" t="s">
        <v>42</v>
      </c>
      <c r="I162" s="198" t="s">
        <v>436</v>
      </c>
      <c r="J162" s="200" t="s">
        <v>1435</v>
      </c>
      <c r="K162" s="248">
        <v>20000000</v>
      </c>
      <c r="L162" s="201" t="s">
        <v>2057</v>
      </c>
      <c r="M162" s="201" t="s">
        <v>14</v>
      </c>
    </row>
    <row r="163" spans="1:13">
      <c r="A163" s="198" t="str">
        <f>[1]Información!$A$18</f>
        <v>BEXTECHNOLOGY</v>
      </c>
      <c r="B163" s="198" t="s">
        <v>9925</v>
      </c>
      <c r="C163" s="198" t="s">
        <v>9734</v>
      </c>
      <c r="D163" s="247" t="s">
        <v>9894</v>
      </c>
      <c r="E163" s="198" t="s">
        <v>128</v>
      </c>
      <c r="F163" s="198" t="s">
        <v>21</v>
      </c>
      <c r="G163" s="198" t="s">
        <v>74</v>
      </c>
      <c r="H163" s="198" t="s">
        <v>42</v>
      </c>
      <c r="I163" s="198" t="s">
        <v>436</v>
      </c>
      <c r="J163" s="200" t="s">
        <v>1435</v>
      </c>
      <c r="K163" s="248">
        <v>24000000</v>
      </c>
      <c r="L163" s="201" t="s">
        <v>2057</v>
      </c>
      <c r="M163" s="201" t="s">
        <v>14</v>
      </c>
    </row>
    <row r="164" spans="1:13">
      <c r="A164" s="198" t="str">
        <f>[1]Información!$A$18</f>
        <v>BEXTECHNOLOGY</v>
      </c>
      <c r="B164" s="198" t="s">
        <v>9926</v>
      </c>
      <c r="C164" s="198" t="s">
        <v>9734</v>
      </c>
      <c r="D164" s="247" t="s">
        <v>9899</v>
      </c>
      <c r="E164" s="198" t="s">
        <v>128</v>
      </c>
      <c r="F164" s="198" t="s">
        <v>21</v>
      </c>
      <c r="G164" s="198" t="s">
        <v>70</v>
      </c>
      <c r="H164" s="198" t="s">
        <v>42</v>
      </c>
      <c r="I164" s="198" t="s">
        <v>436</v>
      </c>
      <c r="J164" s="200" t="s">
        <v>1435</v>
      </c>
      <c r="K164" s="248">
        <v>20000000</v>
      </c>
      <c r="L164" s="201" t="s">
        <v>2057</v>
      </c>
      <c r="M164" s="201" t="s">
        <v>14</v>
      </c>
    </row>
    <row r="165" spans="1:13">
      <c r="A165" s="198" t="str">
        <f>[1]Información!$A$18</f>
        <v>BEXTECHNOLOGY</v>
      </c>
      <c r="B165" s="198" t="s">
        <v>9927</v>
      </c>
      <c r="C165" s="198" t="s">
        <v>9734</v>
      </c>
      <c r="D165" s="247" t="s">
        <v>9899</v>
      </c>
      <c r="E165" s="198" t="s">
        <v>128</v>
      </c>
      <c r="F165" s="198" t="s">
        <v>21</v>
      </c>
      <c r="G165" s="198" t="s">
        <v>74</v>
      </c>
      <c r="H165" s="198" t="s">
        <v>42</v>
      </c>
      <c r="I165" s="198" t="s">
        <v>436</v>
      </c>
      <c r="J165" s="200" t="s">
        <v>1435</v>
      </c>
      <c r="K165" s="248">
        <v>24000000</v>
      </c>
      <c r="L165" s="201" t="s">
        <v>2057</v>
      </c>
      <c r="M165" s="201" t="s">
        <v>14</v>
      </c>
    </row>
    <row r="166" spans="1:13">
      <c r="A166" s="198" t="str">
        <f>[1]Información!$A$18</f>
        <v>BEXTECHNOLOGY</v>
      </c>
      <c r="B166" s="198" t="s">
        <v>9928</v>
      </c>
      <c r="C166" s="198" t="s">
        <v>9734</v>
      </c>
      <c r="D166" s="247" t="s">
        <v>9908</v>
      </c>
      <c r="E166" s="198" t="s">
        <v>128</v>
      </c>
      <c r="F166" s="198" t="s">
        <v>21</v>
      </c>
      <c r="G166" s="198" t="s">
        <v>70</v>
      </c>
      <c r="H166" s="198" t="s">
        <v>42</v>
      </c>
      <c r="I166" s="198" t="s">
        <v>436</v>
      </c>
      <c r="J166" s="200" t="s">
        <v>1435</v>
      </c>
      <c r="K166" s="248">
        <v>20000000</v>
      </c>
      <c r="L166" s="201" t="s">
        <v>2057</v>
      </c>
      <c r="M166" s="201" t="s">
        <v>14</v>
      </c>
    </row>
    <row r="167" spans="1:13">
      <c r="A167" s="198" t="str">
        <f>[1]Información!$A$18</f>
        <v>BEXTECHNOLOGY</v>
      </c>
      <c r="B167" s="198" t="s">
        <v>9929</v>
      </c>
      <c r="C167" s="198" t="s">
        <v>9734</v>
      </c>
      <c r="D167" s="247" t="s">
        <v>9908</v>
      </c>
      <c r="E167" s="198" t="s">
        <v>128</v>
      </c>
      <c r="F167" s="198" t="s">
        <v>21</v>
      </c>
      <c r="G167" s="198" t="s">
        <v>74</v>
      </c>
      <c r="H167" s="198" t="s">
        <v>42</v>
      </c>
      <c r="I167" s="198" t="s">
        <v>436</v>
      </c>
      <c r="J167" s="200" t="s">
        <v>1435</v>
      </c>
      <c r="K167" s="248">
        <v>24000000</v>
      </c>
      <c r="L167" s="201" t="s">
        <v>2057</v>
      </c>
      <c r="M167" s="201" t="s">
        <v>14</v>
      </c>
    </row>
    <row r="168" spans="1:13">
      <c r="A168" s="198" t="str">
        <f>[1]Información!$A$18</f>
        <v>BEXTECHNOLOGY</v>
      </c>
      <c r="B168" s="198" t="s">
        <v>9930</v>
      </c>
      <c r="C168" s="198" t="s">
        <v>9734</v>
      </c>
      <c r="D168" s="247" t="s">
        <v>9931</v>
      </c>
      <c r="E168" s="198" t="s">
        <v>6660</v>
      </c>
      <c r="F168" s="198" t="s">
        <v>21</v>
      </c>
      <c r="G168" s="198" t="s">
        <v>70</v>
      </c>
      <c r="H168" s="198" t="s">
        <v>251</v>
      </c>
      <c r="I168" s="198" t="s">
        <v>251</v>
      </c>
      <c r="J168" s="200" t="s">
        <v>1435</v>
      </c>
      <c r="K168" s="250">
        <v>0.2</v>
      </c>
      <c r="L168" s="249" t="s">
        <v>173</v>
      </c>
      <c r="M168" s="249" t="s">
        <v>175</v>
      </c>
    </row>
    <row r="169" spans="1:13">
      <c r="A169" s="198" t="str">
        <f>[1]Información!$A$18</f>
        <v>BEXTECHNOLOGY</v>
      </c>
      <c r="B169" s="198" t="s">
        <v>9932</v>
      </c>
      <c r="C169" s="198" t="s">
        <v>9734</v>
      </c>
      <c r="D169" s="247" t="s">
        <v>9933</v>
      </c>
      <c r="E169" s="198" t="s">
        <v>6666</v>
      </c>
      <c r="F169" s="198" t="s">
        <v>21</v>
      </c>
      <c r="G169" s="198" t="s">
        <v>74</v>
      </c>
      <c r="H169" s="198" t="s">
        <v>251</v>
      </c>
      <c r="I169" s="198" t="s">
        <v>251</v>
      </c>
      <c r="J169" s="200" t="s">
        <v>1435</v>
      </c>
      <c r="K169" s="250">
        <v>0.2</v>
      </c>
      <c r="L169" s="249" t="s">
        <v>173</v>
      </c>
      <c r="M169" s="249" t="s">
        <v>175</v>
      </c>
    </row>
    <row r="170" spans="1:13">
      <c r="A170" s="198" t="str">
        <f>[1]Información!$A$18</f>
        <v>BEXTECHNOLOGY</v>
      </c>
      <c r="B170" s="198" t="s">
        <v>9934</v>
      </c>
      <c r="C170" s="198" t="s">
        <v>9734</v>
      </c>
      <c r="D170" s="247" t="s">
        <v>9935</v>
      </c>
      <c r="E170" s="198" t="s">
        <v>6666</v>
      </c>
      <c r="F170" s="198" t="s">
        <v>21</v>
      </c>
      <c r="G170" s="198" t="s">
        <v>72</v>
      </c>
      <c r="H170" s="198" t="s">
        <v>251</v>
      </c>
      <c r="I170" s="198" t="s">
        <v>251</v>
      </c>
      <c r="J170" s="200" t="s">
        <v>1435</v>
      </c>
      <c r="K170" s="250">
        <v>0.2</v>
      </c>
      <c r="L170" s="249" t="s">
        <v>173</v>
      </c>
      <c r="M170" s="249" t="s">
        <v>175</v>
      </c>
    </row>
    <row r="171" spans="1:13">
      <c r="A171" s="198" t="str">
        <f>[1]Información!$A$18</f>
        <v>BEXTECHNOLOGY</v>
      </c>
      <c r="B171" s="198" t="s">
        <v>9936</v>
      </c>
      <c r="C171" s="198" t="s">
        <v>9734</v>
      </c>
      <c r="D171" s="247" t="s">
        <v>9931</v>
      </c>
      <c r="E171" s="198" t="s">
        <v>6660</v>
      </c>
      <c r="F171" s="198" t="s">
        <v>21</v>
      </c>
      <c r="G171" s="198" t="s">
        <v>70</v>
      </c>
      <c r="H171" s="198" t="s">
        <v>251</v>
      </c>
      <c r="I171" s="198" t="s">
        <v>251</v>
      </c>
      <c r="J171" s="200" t="s">
        <v>1435</v>
      </c>
      <c r="K171" s="250">
        <v>0.2</v>
      </c>
      <c r="L171" s="249" t="s">
        <v>173</v>
      </c>
      <c r="M171" s="249" t="s">
        <v>175</v>
      </c>
    </row>
    <row r="172" spans="1:13">
      <c r="A172" s="198" t="str">
        <f>[1]Información!$A$18</f>
        <v>BEXTECHNOLOGY</v>
      </c>
      <c r="B172" s="198" t="s">
        <v>9937</v>
      </c>
      <c r="C172" s="198" t="s">
        <v>9734</v>
      </c>
      <c r="D172" s="247" t="s">
        <v>9933</v>
      </c>
      <c r="E172" s="198" t="s">
        <v>6666</v>
      </c>
      <c r="F172" s="198" t="s">
        <v>21</v>
      </c>
      <c r="G172" s="198" t="s">
        <v>74</v>
      </c>
      <c r="H172" s="198" t="s">
        <v>251</v>
      </c>
      <c r="I172" s="198" t="s">
        <v>251</v>
      </c>
      <c r="J172" s="200" t="s">
        <v>1435</v>
      </c>
      <c r="K172" s="250">
        <v>0.2</v>
      </c>
      <c r="L172" s="249" t="s">
        <v>173</v>
      </c>
      <c r="M172" s="249" t="s">
        <v>175</v>
      </c>
    </row>
    <row r="173" spans="1:13">
      <c r="A173" s="198" t="str">
        <f>[1]Información!$A$18</f>
        <v>BEXTECHNOLOGY</v>
      </c>
      <c r="B173" s="198" t="s">
        <v>9938</v>
      </c>
      <c r="C173" s="198" t="s">
        <v>9734</v>
      </c>
      <c r="D173" s="247" t="s">
        <v>9935</v>
      </c>
      <c r="E173" s="198" t="s">
        <v>6666</v>
      </c>
      <c r="F173" s="198" t="s">
        <v>21</v>
      </c>
      <c r="G173" s="198" t="s">
        <v>72</v>
      </c>
      <c r="H173" s="198" t="s">
        <v>251</v>
      </c>
      <c r="I173" s="198" t="s">
        <v>251</v>
      </c>
      <c r="J173" s="200" t="s">
        <v>1435</v>
      </c>
      <c r="K173" s="250">
        <v>0.2</v>
      </c>
      <c r="L173" s="249" t="s">
        <v>173</v>
      </c>
      <c r="M173" s="249" t="s">
        <v>175</v>
      </c>
    </row>
    <row r="174" spans="1:13">
      <c r="A174" s="198" t="str">
        <f>[1]Información!$A$18</f>
        <v>BEXTECHNOLOGY</v>
      </c>
      <c r="B174" s="198" t="s">
        <v>9939</v>
      </c>
      <c r="C174" s="198" t="s">
        <v>9734</v>
      </c>
      <c r="D174" s="247" t="s">
        <v>9931</v>
      </c>
      <c r="E174" s="198" t="s">
        <v>6660</v>
      </c>
      <c r="F174" s="198" t="s">
        <v>21</v>
      </c>
      <c r="G174" s="198" t="s">
        <v>70</v>
      </c>
      <c r="H174" s="198" t="s">
        <v>251</v>
      </c>
      <c r="I174" s="198" t="s">
        <v>251</v>
      </c>
      <c r="J174" s="200" t="s">
        <v>1435</v>
      </c>
      <c r="K174" s="250">
        <v>0.2</v>
      </c>
      <c r="L174" s="249" t="s">
        <v>173</v>
      </c>
      <c r="M174" s="249" t="s">
        <v>175</v>
      </c>
    </row>
    <row r="175" spans="1:13">
      <c r="A175" s="198" t="str">
        <f>[1]Información!$A$18</f>
        <v>BEXTECHNOLOGY</v>
      </c>
      <c r="B175" s="198" t="s">
        <v>9940</v>
      </c>
      <c r="C175" s="198" t="s">
        <v>9734</v>
      </c>
      <c r="D175" s="247" t="s">
        <v>9933</v>
      </c>
      <c r="E175" s="198" t="s">
        <v>6666</v>
      </c>
      <c r="F175" s="198" t="s">
        <v>21</v>
      </c>
      <c r="G175" s="198" t="s">
        <v>74</v>
      </c>
      <c r="H175" s="198" t="s">
        <v>251</v>
      </c>
      <c r="I175" s="198" t="s">
        <v>251</v>
      </c>
      <c r="J175" s="200" t="s">
        <v>1435</v>
      </c>
      <c r="K175" s="250">
        <v>0.2</v>
      </c>
      <c r="L175" s="249" t="s">
        <v>173</v>
      </c>
      <c r="M175" s="249" t="s">
        <v>175</v>
      </c>
    </row>
    <row r="176" spans="1:13">
      <c r="A176" s="198" t="str">
        <f>[1]Información!$A$18</f>
        <v>BEXTECHNOLOGY</v>
      </c>
      <c r="B176" s="198" t="s">
        <v>9941</v>
      </c>
      <c r="C176" s="198" t="s">
        <v>9734</v>
      </c>
      <c r="D176" s="247" t="s">
        <v>9935</v>
      </c>
      <c r="E176" s="198" t="s">
        <v>6666</v>
      </c>
      <c r="F176" s="198" t="s">
        <v>21</v>
      </c>
      <c r="G176" s="198" t="s">
        <v>72</v>
      </c>
      <c r="H176" s="198" t="s">
        <v>251</v>
      </c>
      <c r="I176" s="198" t="s">
        <v>251</v>
      </c>
      <c r="J176" s="200" t="s">
        <v>1435</v>
      </c>
      <c r="K176" s="250">
        <v>0.2</v>
      </c>
      <c r="L176" s="249" t="s">
        <v>173</v>
      </c>
      <c r="M176" s="249" t="s">
        <v>175</v>
      </c>
    </row>
    <row r="177" spans="1:13">
      <c r="A177" s="198" t="s">
        <v>9942</v>
      </c>
      <c r="B177" s="198" t="s">
        <v>9943</v>
      </c>
      <c r="C177" s="198" t="s">
        <v>9944</v>
      </c>
      <c r="D177" s="198" t="s">
        <v>90</v>
      </c>
      <c r="E177" s="198" t="s">
        <v>91</v>
      </c>
      <c r="F177" s="198" t="s">
        <v>21</v>
      </c>
      <c r="G177" s="199" t="s">
        <v>70</v>
      </c>
      <c r="H177" s="199" t="s">
        <v>26</v>
      </c>
      <c r="I177" s="199" t="s">
        <v>166</v>
      </c>
      <c r="J177" s="200" t="s">
        <v>516</v>
      </c>
      <c r="K177" s="245">
        <v>600000</v>
      </c>
      <c r="L177" s="201" t="s">
        <v>2057</v>
      </c>
      <c r="M177" s="201" t="s">
        <v>14</v>
      </c>
    </row>
    <row r="178" spans="1:13">
      <c r="A178" s="198" t="s">
        <v>9942</v>
      </c>
      <c r="B178" s="198" t="s">
        <v>9945</v>
      </c>
      <c r="C178" s="198" t="s">
        <v>9944</v>
      </c>
      <c r="D178" s="198" t="s">
        <v>90</v>
      </c>
      <c r="E178" s="198" t="s">
        <v>91</v>
      </c>
      <c r="F178" s="198" t="s">
        <v>21</v>
      </c>
      <c r="G178" s="199" t="s">
        <v>70</v>
      </c>
      <c r="H178" s="199" t="s">
        <v>42</v>
      </c>
      <c r="I178" s="199" t="s">
        <v>166</v>
      </c>
      <c r="J178" s="200" t="s">
        <v>516</v>
      </c>
      <c r="K178" s="245">
        <v>900000</v>
      </c>
      <c r="L178" s="201" t="s">
        <v>2057</v>
      </c>
      <c r="M178" s="201" t="s">
        <v>14</v>
      </c>
    </row>
    <row r="179" spans="1:13">
      <c r="A179" s="198" t="s">
        <v>9942</v>
      </c>
      <c r="B179" s="198" t="s">
        <v>9946</v>
      </c>
      <c r="C179" s="198" t="s">
        <v>9944</v>
      </c>
      <c r="D179" s="198" t="s">
        <v>90</v>
      </c>
      <c r="E179" s="198" t="s">
        <v>91</v>
      </c>
      <c r="F179" s="198" t="s">
        <v>21</v>
      </c>
      <c r="G179" s="199" t="s">
        <v>74</v>
      </c>
      <c r="H179" s="199" t="s">
        <v>26</v>
      </c>
      <c r="I179" s="199" t="s">
        <v>166</v>
      </c>
      <c r="J179" s="200" t="s">
        <v>516</v>
      </c>
      <c r="K179" s="245">
        <v>600000</v>
      </c>
      <c r="L179" s="201" t="s">
        <v>2057</v>
      </c>
      <c r="M179" s="201" t="s">
        <v>14</v>
      </c>
    </row>
    <row r="180" spans="1:13">
      <c r="A180" s="198" t="s">
        <v>9942</v>
      </c>
      <c r="B180" s="198" t="s">
        <v>9947</v>
      </c>
      <c r="C180" s="198" t="s">
        <v>9944</v>
      </c>
      <c r="D180" s="198" t="s">
        <v>90</v>
      </c>
      <c r="E180" s="198" t="s">
        <v>91</v>
      </c>
      <c r="F180" s="198" t="s">
        <v>21</v>
      </c>
      <c r="G180" s="199" t="s">
        <v>74</v>
      </c>
      <c r="H180" s="199" t="s">
        <v>42</v>
      </c>
      <c r="I180" s="199" t="s">
        <v>166</v>
      </c>
      <c r="J180" s="200" t="s">
        <v>516</v>
      </c>
      <c r="K180" s="245">
        <v>1200000</v>
      </c>
      <c r="L180" s="201" t="s">
        <v>2057</v>
      </c>
      <c r="M180" s="201" t="s">
        <v>14</v>
      </c>
    </row>
    <row r="181" spans="1:13">
      <c r="A181" s="198" t="s">
        <v>9942</v>
      </c>
      <c r="B181" s="198" t="s">
        <v>9948</v>
      </c>
      <c r="C181" s="198" t="s">
        <v>9944</v>
      </c>
      <c r="D181" s="198" t="s">
        <v>90</v>
      </c>
      <c r="E181" s="198" t="s">
        <v>91</v>
      </c>
      <c r="F181" s="198" t="s">
        <v>21</v>
      </c>
      <c r="G181" s="199" t="s">
        <v>72</v>
      </c>
      <c r="H181" s="199" t="s">
        <v>26</v>
      </c>
      <c r="I181" s="199" t="s">
        <v>166</v>
      </c>
      <c r="J181" s="200" t="s">
        <v>516</v>
      </c>
      <c r="K181" s="245">
        <v>600000</v>
      </c>
      <c r="L181" s="201" t="s">
        <v>2057</v>
      </c>
      <c r="M181" s="201" t="s">
        <v>14</v>
      </c>
    </row>
    <row r="182" spans="1:13">
      <c r="A182" s="198" t="s">
        <v>9942</v>
      </c>
      <c r="B182" s="198" t="s">
        <v>9949</v>
      </c>
      <c r="C182" s="198" t="s">
        <v>9944</v>
      </c>
      <c r="D182" s="198" t="s">
        <v>90</v>
      </c>
      <c r="E182" s="198" t="s">
        <v>91</v>
      </c>
      <c r="F182" s="198" t="s">
        <v>21</v>
      </c>
      <c r="G182" s="199" t="s">
        <v>72</v>
      </c>
      <c r="H182" s="199" t="s">
        <v>42</v>
      </c>
      <c r="I182" s="199" t="s">
        <v>166</v>
      </c>
      <c r="J182" s="200" t="s">
        <v>516</v>
      </c>
      <c r="K182" s="245">
        <v>1800000</v>
      </c>
      <c r="L182" s="201" t="s">
        <v>2057</v>
      </c>
      <c r="M182" s="201" t="s">
        <v>14</v>
      </c>
    </row>
    <row r="183" spans="1:13">
      <c r="A183" s="198" t="s">
        <v>9942</v>
      </c>
      <c r="B183" s="198" t="s">
        <v>9950</v>
      </c>
      <c r="C183" s="198" t="s">
        <v>9944</v>
      </c>
      <c r="D183" s="198" t="s">
        <v>98</v>
      </c>
      <c r="E183" s="198" t="s">
        <v>99</v>
      </c>
      <c r="F183" s="198" t="s">
        <v>21</v>
      </c>
      <c r="G183" s="199" t="s">
        <v>70</v>
      </c>
      <c r="H183" s="199" t="s">
        <v>26</v>
      </c>
      <c r="I183" s="199" t="s">
        <v>166</v>
      </c>
      <c r="J183" s="200" t="s">
        <v>516</v>
      </c>
      <c r="K183" s="245">
        <v>700000</v>
      </c>
      <c r="L183" s="201" t="s">
        <v>2057</v>
      </c>
      <c r="M183" s="201" t="s">
        <v>14</v>
      </c>
    </row>
    <row r="184" spans="1:13">
      <c r="A184" s="198" t="s">
        <v>9942</v>
      </c>
      <c r="B184" s="198" t="s">
        <v>9951</v>
      </c>
      <c r="C184" s="198" t="s">
        <v>9944</v>
      </c>
      <c r="D184" s="198" t="s">
        <v>98</v>
      </c>
      <c r="E184" s="198" t="s">
        <v>99</v>
      </c>
      <c r="F184" s="198" t="s">
        <v>21</v>
      </c>
      <c r="G184" s="199" t="s">
        <v>70</v>
      </c>
      <c r="H184" s="199" t="s">
        <v>42</v>
      </c>
      <c r="I184" s="199" t="s">
        <v>166</v>
      </c>
      <c r="J184" s="200" t="s">
        <v>516</v>
      </c>
      <c r="K184" s="245">
        <v>1600000</v>
      </c>
      <c r="L184" s="201" t="s">
        <v>2057</v>
      </c>
      <c r="M184" s="201" t="s">
        <v>14</v>
      </c>
    </row>
    <row r="185" spans="1:13">
      <c r="A185" s="198" t="s">
        <v>9942</v>
      </c>
      <c r="B185" s="198" t="s">
        <v>9952</v>
      </c>
      <c r="C185" s="198" t="s">
        <v>9944</v>
      </c>
      <c r="D185" s="198" t="s">
        <v>98</v>
      </c>
      <c r="E185" s="198" t="s">
        <v>99</v>
      </c>
      <c r="F185" s="198" t="s">
        <v>21</v>
      </c>
      <c r="G185" s="199" t="s">
        <v>74</v>
      </c>
      <c r="H185" s="199" t="s">
        <v>26</v>
      </c>
      <c r="I185" s="199" t="s">
        <v>166</v>
      </c>
      <c r="J185" s="200" t="s">
        <v>516</v>
      </c>
      <c r="K185" s="245">
        <v>700000</v>
      </c>
      <c r="L185" s="201" t="s">
        <v>2057</v>
      </c>
      <c r="M185" s="201" t="s">
        <v>14</v>
      </c>
    </row>
    <row r="186" spans="1:13">
      <c r="A186" s="198" t="s">
        <v>9942</v>
      </c>
      <c r="B186" s="198" t="s">
        <v>9953</v>
      </c>
      <c r="C186" s="198" t="s">
        <v>9944</v>
      </c>
      <c r="D186" s="198" t="s">
        <v>98</v>
      </c>
      <c r="E186" s="198" t="s">
        <v>99</v>
      </c>
      <c r="F186" s="198" t="s">
        <v>21</v>
      </c>
      <c r="G186" s="199" t="s">
        <v>74</v>
      </c>
      <c r="H186" s="199" t="s">
        <v>42</v>
      </c>
      <c r="I186" s="199" t="s">
        <v>166</v>
      </c>
      <c r="J186" s="200" t="s">
        <v>516</v>
      </c>
      <c r="K186" s="245">
        <v>1900000</v>
      </c>
      <c r="L186" s="201" t="s">
        <v>2057</v>
      </c>
      <c r="M186" s="201" t="s">
        <v>14</v>
      </c>
    </row>
    <row r="187" spans="1:13">
      <c r="A187" s="198" t="s">
        <v>9942</v>
      </c>
      <c r="B187" s="198" t="s">
        <v>9954</v>
      </c>
      <c r="C187" s="198" t="s">
        <v>9944</v>
      </c>
      <c r="D187" s="198" t="s">
        <v>98</v>
      </c>
      <c r="E187" s="198" t="s">
        <v>99</v>
      </c>
      <c r="F187" s="198" t="s">
        <v>21</v>
      </c>
      <c r="G187" s="199" t="s">
        <v>72</v>
      </c>
      <c r="H187" s="199" t="s">
        <v>26</v>
      </c>
      <c r="I187" s="199" t="s">
        <v>166</v>
      </c>
      <c r="J187" s="200" t="s">
        <v>516</v>
      </c>
      <c r="K187" s="245">
        <v>700000</v>
      </c>
      <c r="L187" s="201" t="s">
        <v>2057</v>
      </c>
      <c r="M187" s="201" t="s">
        <v>14</v>
      </c>
    </row>
    <row r="188" spans="1:13">
      <c r="A188" s="198" t="s">
        <v>9942</v>
      </c>
      <c r="B188" s="198" t="s">
        <v>9955</v>
      </c>
      <c r="C188" s="198" t="s">
        <v>9944</v>
      </c>
      <c r="D188" s="198" t="s">
        <v>98</v>
      </c>
      <c r="E188" s="198" t="s">
        <v>99</v>
      </c>
      <c r="F188" s="198" t="s">
        <v>21</v>
      </c>
      <c r="G188" s="199" t="s">
        <v>72</v>
      </c>
      <c r="H188" s="199" t="s">
        <v>42</v>
      </c>
      <c r="I188" s="199" t="s">
        <v>166</v>
      </c>
      <c r="J188" s="200" t="s">
        <v>516</v>
      </c>
      <c r="K188" s="245">
        <v>2200000</v>
      </c>
      <c r="L188" s="201" t="s">
        <v>2057</v>
      </c>
      <c r="M188" s="201" t="s">
        <v>14</v>
      </c>
    </row>
    <row r="189" spans="1:13">
      <c r="A189" s="198" t="s">
        <v>9942</v>
      </c>
      <c r="B189" s="198" t="s">
        <v>9956</v>
      </c>
      <c r="C189" s="198" t="s">
        <v>9944</v>
      </c>
      <c r="D189" s="198" t="s">
        <v>106</v>
      </c>
      <c r="E189" s="198" t="s">
        <v>91</v>
      </c>
      <c r="F189" s="198" t="s">
        <v>21</v>
      </c>
      <c r="G189" s="199" t="s">
        <v>70</v>
      </c>
      <c r="H189" s="199" t="s">
        <v>26</v>
      </c>
      <c r="I189" s="199" t="s">
        <v>166</v>
      </c>
      <c r="J189" s="200" t="s">
        <v>516</v>
      </c>
      <c r="K189" s="245">
        <v>1200000</v>
      </c>
      <c r="L189" s="201" t="s">
        <v>2057</v>
      </c>
      <c r="M189" s="201" t="s">
        <v>14</v>
      </c>
    </row>
    <row r="190" spans="1:13">
      <c r="A190" s="198" t="s">
        <v>9942</v>
      </c>
      <c r="B190" s="198" t="s">
        <v>9957</v>
      </c>
      <c r="C190" s="198" t="s">
        <v>9944</v>
      </c>
      <c r="D190" s="198" t="s">
        <v>106</v>
      </c>
      <c r="E190" s="198" t="s">
        <v>91</v>
      </c>
      <c r="F190" s="198" t="s">
        <v>21</v>
      </c>
      <c r="G190" s="199" t="s">
        <v>70</v>
      </c>
      <c r="H190" s="199" t="s">
        <v>42</v>
      </c>
      <c r="I190" s="199" t="s">
        <v>166</v>
      </c>
      <c r="J190" s="200" t="s">
        <v>516</v>
      </c>
      <c r="K190" s="245">
        <v>1500000</v>
      </c>
      <c r="L190" s="201" t="s">
        <v>2057</v>
      </c>
      <c r="M190" s="201" t="s">
        <v>14</v>
      </c>
    </row>
    <row r="191" spans="1:13">
      <c r="A191" s="198" t="s">
        <v>9942</v>
      </c>
      <c r="B191" s="198" t="s">
        <v>9958</v>
      </c>
      <c r="C191" s="198" t="s">
        <v>9944</v>
      </c>
      <c r="D191" s="198" t="s">
        <v>106</v>
      </c>
      <c r="E191" s="198" t="s">
        <v>91</v>
      </c>
      <c r="F191" s="198" t="s">
        <v>21</v>
      </c>
      <c r="G191" s="199" t="s">
        <v>74</v>
      </c>
      <c r="H191" s="199" t="s">
        <v>26</v>
      </c>
      <c r="I191" s="199" t="s">
        <v>166</v>
      </c>
      <c r="J191" s="200" t="s">
        <v>516</v>
      </c>
      <c r="K191" s="245">
        <v>1200000</v>
      </c>
      <c r="L191" s="201" t="s">
        <v>2057</v>
      </c>
      <c r="M191" s="201" t="s">
        <v>14</v>
      </c>
    </row>
    <row r="192" spans="1:13">
      <c r="A192" s="198" t="s">
        <v>9942</v>
      </c>
      <c r="B192" s="198" t="s">
        <v>9959</v>
      </c>
      <c r="C192" s="198" t="s">
        <v>9944</v>
      </c>
      <c r="D192" s="198" t="s">
        <v>106</v>
      </c>
      <c r="E192" s="198" t="s">
        <v>91</v>
      </c>
      <c r="F192" s="198" t="s">
        <v>21</v>
      </c>
      <c r="G192" s="199" t="s">
        <v>74</v>
      </c>
      <c r="H192" s="199" t="s">
        <v>42</v>
      </c>
      <c r="I192" s="199" t="s">
        <v>166</v>
      </c>
      <c r="J192" s="200" t="s">
        <v>516</v>
      </c>
      <c r="K192" s="245">
        <v>1800000</v>
      </c>
      <c r="L192" s="201" t="s">
        <v>2057</v>
      </c>
      <c r="M192" s="201" t="s">
        <v>14</v>
      </c>
    </row>
    <row r="193" spans="1:13">
      <c r="A193" s="198" t="s">
        <v>9942</v>
      </c>
      <c r="B193" s="198" t="s">
        <v>9960</v>
      </c>
      <c r="C193" s="198" t="s">
        <v>9944</v>
      </c>
      <c r="D193" s="198" t="s">
        <v>106</v>
      </c>
      <c r="E193" s="198" t="s">
        <v>91</v>
      </c>
      <c r="F193" s="198" t="s">
        <v>21</v>
      </c>
      <c r="G193" s="199" t="s">
        <v>72</v>
      </c>
      <c r="H193" s="199" t="s">
        <v>26</v>
      </c>
      <c r="I193" s="199" t="s">
        <v>166</v>
      </c>
      <c r="J193" s="200" t="s">
        <v>516</v>
      </c>
      <c r="K193" s="245">
        <v>1200000</v>
      </c>
      <c r="L193" s="201" t="s">
        <v>2057</v>
      </c>
      <c r="M193" s="201" t="s">
        <v>14</v>
      </c>
    </row>
    <row r="194" spans="1:13">
      <c r="A194" s="198" t="s">
        <v>9942</v>
      </c>
      <c r="B194" s="198" t="s">
        <v>9961</v>
      </c>
      <c r="C194" s="198" t="s">
        <v>9944</v>
      </c>
      <c r="D194" s="198" t="s">
        <v>106</v>
      </c>
      <c r="E194" s="198" t="s">
        <v>91</v>
      </c>
      <c r="F194" s="198" t="s">
        <v>21</v>
      </c>
      <c r="G194" s="199" t="s">
        <v>72</v>
      </c>
      <c r="H194" s="199" t="s">
        <v>42</v>
      </c>
      <c r="I194" s="199" t="s">
        <v>166</v>
      </c>
      <c r="J194" s="200" t="s">
        <v>516</v>
      </c>
      <c r="K194" s="245">
        <v>2100000</v>
      </c>
      <c r="L194" s="201" t="s">
        <v>2057</v>
      </c>
      <c r="M194" s="201" t="s">
        <v>14</v>
      </c>
    </row>
    <row r="195" spans="1:13">
      <c r="A195" s="198" t="s">
        <v>9942</v>
      </c>
      <c r="B195" s="198" t="s">
        <v>9962</v>
      </c>
      <c r="C195" s="198" t="s">
        <v>9944</v>
      </c>
      <c r="D195" s="198" t="s">
        <v>113</v>
      </c>
      <c r="E195" s="198" t="s">
        <v>99</v>
      </c>
      <c r="F195" s="198" t="s">
        <v>21</v>
      </c>
      <c r="G195" s="199" t="s">
        <v>70</v>
      </c>
      <c r="H195" s="199" t="s">
        <v>26</v>
      </c>
      <c r="I195" s="199" t="s">
        <v>166</v>
      </c>
      <c r="J195" s="200" t="s">
        <v>516</v>
      </c>
      <c r="K195" s="245">
        <v>1500000</v>
      </c>
      <c r="L195" s="201" t="s">
        <v>2057</v>
      </c>
      <c r="M195" s="201" t="s">
        <v>14</v>
      </c>
    </row>
    <row r="196" spans="1:13">
      <c r="A196" s="198" t="s">
        <v>9942</v>
      </c>
      <c r="B196" s="198" t="s">
        <v>9963</v>
      </c>
      <c r="C196" s="198" t="s">
        <v>9944</v>
      </c>
      <c r="D196" s="198" t="s">
        <v>113</v>
      </c>
      <c r="E196" s="198" t="s">
        <v>99</v>
      </c>
      <c r="F196" s="198" t="s">
        <v>21</v>
      </c>
      <c r="G196" s="199" t="s">
        <v>70</v>
      </c>
      <c r="H196" s="199" t="s">
        <v>42</v>
      </c>
      <c r="I196" s="199" t="s">
        <v>166</v>
      </c>
      <c r="J196" s="200" t="s">
        <v>516</v>
      </c>
      <c r="K196" s="245">
        <v>2400000</v>
      </c>
      <c r="L196" s="201" t="s">
        <v>2057</v>
      </c>
      <c r="M196" s="201" t="s">
        <v>14</v>
      </c>
    </row>
    <row r="197" spans="1:13">
      <c r="A197" s="198" t="s">
        <v>9942</v>
      </c>
      <c r="B197" s="198" t="s">
        <v>9964</v>
      </c>
      <c r="C197" s="198" t="s">
        <v>9944</v>
      </c>
      <c r="D197" s="198" t="s">
        <v>113</v>
      </c>
      <c r="E197" s="198" t="s">
        <v>99</v>
      </c>
      <c r="F197" s="198" t="s">
        <v>21</v>
      </c>
      <c r="G197" s="199" t="s">
        <v>74</v>
      </c>
      <c r="H197" s="199" t="s">
        <v>26</v>
      </c>
      <c r="I197" s="199" t="s">
        <v>166</v>
      </c>
      <c r="J197" s="200" t="s">
        <v>516</v>
      </c>
      <c r="K197" s="245">
        <v>1500000</v>
      </c>
      <c r="L197" s="201" t="s">
        <v>2057</v>
      </c>
      <c r="M197" s="201" t="s">
        <v>14</v>
      </c>
    </row>
    <row r="198" spans="1:13">
      <c r="A198" s="198" t="s">
        <v>9942</v>
      </c>
      <c r="B198" s="198" t="s">
        <v>9965</v>
      </c>
      <c r="C198" s="198" t="s">
        <v>9944</v>
      </c>
      <c r="D198" s="198" t="s">
        <v>113</v>
      </c>
      <c r="E198" s="198" t="s">
        <v>99</v>
      </c>
      <c r="F198" s="198" t="s">
        <v>21</v>
      </c>
      <c r="G198" s="199" t="s">
        <v>74</v>
      </c>
      <c r="H198" s="199" t="s">
        <v>42</v>
      </c>
      <c r="I198" s="199" t="s">
        <v>166</v>
      </c>
      <c r="J198" s="200" t="s">
        <v>516</v>
      </c>
      <c r="K198" s="245">
        <v>2700000</v>
      </c>
      <c r="L198" s="201" t="s">
        <v>2057</v>
      </c>
      <c r="M198" s="201" t="s">
        <v>14</v>
      </c>
    </row>
    <row r="199" spans="1:13">
      <c r="A199" s="198" t="s">
        <v>9942</v>
      </c>
      <c r="B199" s="198" t="s">
        <v>9966</v>
      </c>
      <c r="C199" s="198" t="s">
        <v>9944</v>
      </c>
      <c r="D199" s="198" t="s">
        <v>113</v>
      </c>
      <c r="E199" s="198" t="s">
        <v>99</v>
      </c>
      <c r="F199" s="198" t="s">
        <v>21</v>
      </c>
      <c r="G199" s="199" t="s">
        <v>72</v>
      </c>
      <c r="H199" s="199" t="s">
        <v>26</v>
      </c>
      <c r="I199" s="199" t="s">
        <v>166</v>
      </c>
      <c r="J199" s="200" t="s">
        <v>516</v>
      </c>
      <c r="K199" s="245">
        <v>1500000</v>
      </c>
      <c r="L199" s="201" t="s">
        <v>2057</v>
      </c>
      <c r="M199" s="201" t="s">
        <v>14</v>
      </c>
    </row>
    <row r="200" spans="1:13">
      <c r="A200" s="198" t="s">
        <v>9942</v>
      </c>
      <c r="B200" s="198" t="s">
        <v>9967</v>
      </c>
      <c r="C200" s="198" t="s">
        <v>9944</v>
      </c>
      <c r="D200" s="198" t="s">
        <v>113</v>
      </c>
      <c r="E200" s="198" t="s">
        <v>99</v>
      </c>
      <c r="F200" s="198" t="s">
        <v>21</v>
      </c>
      <c r="G200" s="199" t="s">
        <v>72</v>
      </c>
      <c r="H200" s="199" t="s">
        <v>42</v>
      </c>
      <c r="I200" s="199" t="s">
        <v>166</v>
      </c>
      <c r="J200" s="200" t="s">
        <v>516</v>
      </c>
      <c r="K200" s="245">
        <v>3000000</v>
      </c>
      <c r="L200" s="201" t="s">
        <v>2057</v>
      </c>
      <c r="M200" s="201" t="s">
        <v>14</v>
      </c>
    </row>
    <row r="201" spans="1:13">
      <c r="A201" s="198" t="s">
        <v>9942</v>
      </c>
      <c r="B201" s="198" t="s">
        <v>9968</v>
      </c>
      <c r="C201" s="198" t="s">
        <v>9944</v>
      </c>
      <c r="D201" s="198" t="s">
        <v>120</v>
      </c>
      <c r="E201" s="198" t="s">
        <v>29</v>
      </c>
      <c r="F201" s="198" t="s">
        <v>21</v>
      </c>
      <c r="G201" s="199" t="s">
        <v>70</v>
      </c>
      <c r="H201" s="199" t="s">
        <v>26</v>
      </c>
      <c r="I201" s="199" t="s">
        <v>167</v>
      </c>
      <c r="J201" s="200" t="s">
        <v>1435</v>
      </c>
      <c r="K201" s="245">
        <v>150000</v>
      </c>
      <c r="L201" s="201" t="s">
        <v>2057</v>
      </c>
      <c r="M201" s="201" t="s">
        <v>14</v>
      </c>
    </row>
    <row r="202" spans="1:13">
      <c r="A202" s="198" t="s">
        <v>9942</v>
      </c>
      <c r="B202" s="198" t="s">
        <v>9969</v>
      </c>
      <c r="C202" s="198" t="s">
        <v>9944</v>
      </c>
      <c r="D202" s="198" t="s">
        <v>120</v>
      </c>
      <c r="E202" s="198" t="s">
        <v>29</v>
      </c>
      <c r="F202" s="198" t="s">
        <v>21</v>
      </c>
      <c r="G202" s="199" t="s">
        <v>70</v>
      </c>
      <c r="H202" s="199" t="s">
        <v>42</v>
      </c>
      <c r="I202" s="199" t="s">
        <v>167</v>
      </c>
      <c r="J202" s="200" t="s">
        <v>1435</v>
      </c>
      <c r="K202" s="245">
        <v>170000</v>
      </c>
      <c r="L202" s="201" t="s">
        <v>2057</v>
      </c>
      <c r="M202" s="201" t="s">
        <v>14</v>
      </c>
    </row>
    <row r="203" spans="1:13">
      <c r="A203" s="198" t="s">
        <v>9942</v>
      </c>
      <c r="B203" s="198" t="s">
        <v>9970</v>
      </c>
      <c r="C203" s="198" t="s">
        <v>9944</v>
      </c>
      <c r="D203" s="198" t="s">
        <v>120</v>
      </c>
      <c r="E203" s="198" t="s">
        <v>29</v>
      </c>
      <c r="F203" s="198" t="s">
        <v>21</v>
      </c>
      <c r="G203" s="199" t="s">
        <v>74</v>
      </c>
      <c r="H203" s="199" t="s">
        <v>26</v>
      </c>
      <c r="I203" s="199" t="s">
        <v>167</v>
      </c>
      <c r="J203" s="200" t="s">
        <v>1435</v>
      </c>
      <c r="K203" s="245">
        <v>150000</v>
      </c>
      <c r="L203" s="201" t="s">
        <v>2057</v>
      </c>
      <c r="M203" s="201" t="s">
        <v>14</v>
      </c>
    </row>
    <row r="204" spans="1:13">
      <c r="A204" s="198" t="s">
        <v>9942</v>
      </c>
      <c r="B204" s="198" t="s">
        <v>9971</v>
      </c>
      <c r="C204" s="198" t="s">
        <v>9944</v>
      </c>
      <c r="D204" s="198" t="s">
        <v>120</v>
      </c>
      <c r="E204" s="198" t="s">
        <v>29</v>
      </c>
      <c r="F204" s="198" t="s">
        <v>21</v>
      </c>
      <c r="G204" s="199" t="s">
        <v>74</v>
      </c>
      <c r="H204" s="199" t="s">
        <v>42</v>
      </c>
      <c r="I204" s="199" t="s">
        <v>167</v>
      </c>
      <c r="J204" s="200" t="s">
        <v>1435</v>
      </c>
      <c r="K204" s="245">
        <v>190000</v>
      </c>
      <c r="L204" s="201" t="s">
        <v>2057</v>
      </c>
      <c r="M204" s="201" t="s">
        <v>14</v>
      </c>
    </row>
    <row r="205" spans="1:13">
      <c r="A205" s="198" t="s">
        <v>9942</v>
      </c>
      <c r="B205" s="198" t="s">
        <v>9972</v>
      </c>
      <c r="C205" s="198" t="s">
        <v>9944</v>
      </c>
      <c r="D205" s="198" t="s">
        <v>120</v>
      </c>
      <c r="E205" s="198" t="s">
        <v>29</v>
      </c>
      <c r="F205" s="198" t="s">
        <v>21</v>
      </c>
      <c r="G205" s="199" t="s">
        <v>72</v>
      </c>
      <c r="H205" s="199" t="s">
        <v>26</v>
      </c>
      <c r="I205" s="199" t="s">
        <v>167</v>
      </c>
      <c r="J205" s="200" t="s">
        <v>1435</v>
      </c>
      <c r="K205" s="245">
        <v>150000</v>
      </c>
      <c r="L205" s="201" t="s">
        <v>2057</v>
      </c>
      <c r="M205" s="201" t="s">
        <v>14</v>
      </c>
    </row>
    <row r="206" spans="1:13">
      <c r="A206" s="198" t="s">
        <v>9942</v>
      </c>
      <c r="B206" s="198" t="s">
        <v>9973</v>
      </c>
      <c r="C206" s="198" t="s">
        <v>9944</v>
      </c>
      <c r="D206" s="198" t="s">
        <v>120</v>
      </c>
      <c r="E206" s="198" t="s">
        <v>29</v>
      </c>
      <c r="F206" s="198" t="s">
        <v>21</v>
      </c>
      <c r="G206" s="199" t="s">
        <v>72</v>
      </c>
      <c r="H206" s="199" t="s">
        <v>42</v>
      </c>
      <c r="I206" s="199" t="s">
        <v>167</v>
      </c>
      <c r="J206" s="200" t="s">
        <v>1435</v>
      </c>
      <c r="K206" s="245">
        <v>250000</v>
      </c>
      <c r="L206" s="201" t="s">
        <v>2057</v>
      </c>
      <c r="M206" s="201" t="s">
        <v>14</v>
      </c>
    </row>
    <row r="207" spans="1:13">
      <c r="A207" s="198" t="s">
        <v>9942</v>
      </c>
      <c r="B207" s="198" t="s">
        <v>9974</v>
      </c>
      <c r="C207" s="198" t="s">
        <v>9944</v>
      </c>
      <c r="D207" s="198" t="s">
        <v>127</v>
      </c>
      <c r="E207" s="198" t="s">
        <v>128</v>
      </c>
      <c r="F207" s="198" t="s">
        <v>21</v>
      </c>
      <c r="G207" s="199" t="s">
        <v>70</v>
      </c>
      <c r="H207" s="199" t="s">
        <v>42</v>
      </c>
      <c r="I207" s="199" t="s">
        <v>167</v>
      </c>
      <c r="J207" s="200" t="s">
        <v>1435</v>
      </c>
      <c r="K207" s="245">
        <v>20000000</v>
      </c>
      <c r="L207" s="201" t="s">
        <v>2057</v>
      </c>
      <c r="M207" s="201" t="s">
        <v>14</v>
      </c>
    </row>
    <row r="208" spans="1:13">
      <c r="A208" s="198" t="s">
        <v>9942</v>
      </c>
      <c r="B208" s="198" t="s">
        <v>9975</v>
      </c>
      <c r="C208" s="198" t="s">
        <v>9944</v>
      </c>
      <c r="D208" s="198" t="s">
        <v>127</v>
      </c>
      <c r="E208" s="198" t="s">
        <v>128</v>
      </c>
      <c r="F208" s="198" t="s">
        <v>21</v>
      </c>
      <c r="G208" s="199" t="s">
        <v>74</v>
      </c>
      <c r="H208" s="199" t="s">
        <v>42</v>
      </c>
      <c r="I208" s="199" t="s">
        <v>167</v>
      </c>
      <c r="J208" s="200" t="s">
        <v>1435</v>
      </c>
      <c r="K208" s="245">
        <v>24000000</v>
      </c>
      <c r="L208" s="201" t="s">
        <v>2057</v>
      </c>
      <c r="M208" s="201" t="s">
        <v>14</v>
      </c>
    </row>
    <row r="209" spans="1:13">
      <c r="A209" s="198" t="s">
        <v>9942</v>
      </c>
      <c r="B209" s="198" t="s">
        <v>9976</v>
      </c>
      <c r="C209" s="198" t="s">
        <v>9944</v>
      </c>
      <c r="D209" s="198" t="s">
        <v>127</v>
      </c>
      <c r="E209" s="198" t="s">
        <v>128</v>
      </c>
      <c r="F209" s="198" t="s">
        <v>21</v>
      </c>
      <c r="G209" s="199" t="s">
        <v>72</v>
      </c>
      <c r="H209" s="199" t="s">
        <v>42</v>
      </c>
      <c r="I209" s="199" t="s">
        <v>167</v>
      </c>
      <c r="J209" s="200" t="s">
        <v>1435</v>
      </c>
      <c r="K209" s="245">
        <v>28000000</v>
      </c>
      <c r="L209" s="201" t="s">
        <v>2057</v>
      </c>
      <c r="M209" s="201" t="s">
        <v>14</v>
      </c>
    </row>
    <row r="210" spans="1:13">
      <c r="A210" s="198" t="s">
        <v>9942</v>
      </c>
      <c r="B210" s="198" t="s">
        <v>9977</v>
      </c>
      <c r="C210" s="198" t="s">
        <v>9944</v>
      </c>
      <c r="D210" s="198" t="s">
        <v>9768</v>
      </c>
      <c r="E210" s="198" t="s">
        <v>133</v>
      </c>
      <c r="F210" s="198" t="s">
        <v>21</v>
      </c>
      <c r="G210" s="199" t="s">
        <v>70</v>
      </c>
      <c r="H210" s="199" t="s">
        <v>26</v>
      </c>
      <c r="I210" s="199" t="s">
        <v>436</v>
      </c>
      <c r="J210" s="200" t="s">
        <v>516</v>
      </c>
      <c r="K210" s="245">
        <v>15000000</v>
      </c>
      <c r="L210" s="201" t="s">
        <v>173</v>
      </c>
      <c r="M210" s="201" t="s">
        <v>14</v>
      </c>
    </row>
    <row r="211" spans="1:13">
      <c r="A211" s="198" t="s">
        <v>9942</v>
      </c>
      <c r="B211" s="198" t="s">
        <v>9978</v>
      </c>
      <c r="C211" s="198" t="s">
        <v>9944</v>
      </c>
      <c r="D211" s="198" t="s">
        <v>9768</v>
      </c>
      <c r="E211" s="198" t="s">
        <v>133</v>
      </c>
      <c r="F211" s="198" t="s">
        <v>21</v>
      </c>
      <c r="G211" s="199" t="s">
        <v>70</v>
      </c>
      <c r="H211" s="199" t="s">
        <v>42</v>
      </c>
      <c r="I211" s="199" t="s">
        <v>436</v>
      </c>
      <c r="J211" s="200" t="s">
        <v>516</v>
      </c>
      <c r="K211" s="245">
        <v>20000000</v>
      </c>
      <c r="L211" s="201" t="s">
        <v>2057</v>
      </c>
      <c r="M211" s="201" t="s">
        <v>14</v>
      </c>
    </row>
    <row r="212" spans="1:13">
      <c r="A212" s="198" t="s">
        <v>9942</v>
      </c>
      <c r="B212" s="198" t="s">
        <v>9979</v>
      </c>
      <c r="C212" s="198" t="s">
        <v>9944</v>
      </c>
      <c r="D212" s="198" t="s">
        <v>9768</v>
      </c>
      <c r="E212" s="198" t="s">
        <v>133</v>
      </c>
      <c r="F212" s="198" t="s">
        <v>21</v>
      </c>
      <c r="G212" s="199" t="s">
        <v>74</v>
      </c>
      <c r="H212" s="199" t="s">
        <v>26</v>
      </c>
      <c r="I212" s="199" t="s">
        <v>436</v>
      </c>
      <c r="J212" s="200" t="s">
        <v>516</v>
      </c>
      <c r="K212" s="245">
        <v>17000000</v>
      </c>
      <c r="L212" s="201" t="s">
        <v>173</v>
      </c>
      <c r="M212" s="201" t="s">
        <v>14</v>
      </c>
    </row>
    <row r="213" spans="1:13">
      <c r="A213" s="198" t="s">
        <v>9942</v>
      </c>
      <c r="B213" s="198" t="s">
        <v>9980</v>
      </c>
      <c r="C213" s="198" t="s">
        <v>9944</v>
      </c>
      <c r="D213" s="198" t="s">
        <v>9768</v>
      </c>
      <c r="E213" s="198" t="s">
        <v>133</v>
      </c>
      <c r="F213" s="198" t="s">
        <v>21</v>
      </c>
      <c r="G213" s="199" t="s">
        <v>74</v>
      </c>
      <c r="H213" s="199" t="s">
        <v>42</v>
      </c>
      <c r="I213" s="199" t="s">
        <v>436</v>
      </c>
      <c r="J213" s="200" t="s">
        <v>516</v>
      </c>
      <c r="K213" s="245">
        <v>20000000</v>
      </c>
      <c r="L213" s="201" t="s">
        <v>2057</v>
      </c>
      <c r="M213" s="201" t="s">
        <v>14</v>
      </c>
    </row>
    <row r="214" spans="1:13">
      <c r="A214" s="198" t="s">
        <v>9942</v>
      </c>
      <c r="B214" s="198" t="s">
        <v>9981</v>
      </c>
      <c r="C214" s="198" t="s">
        <v>9944</v>
      </c>
      <c r="D214" s="198" t="s">
        <v>9768</v>
      </c>
      <c r="E214" s="198" t="s">
        <v>133</v>
      </c>
      <c r="F214" s="198" t="s">
        <v>21</v>
      </c>
      <c r="G214" s="199" t="s">
        <v>72</v>
      </c>
      <c r="H214" s="199" t="s">
        <v>26</v>
      </c>
      <c r="I214" s="199" t="s">
        <v>436</v>
      </c>
      <c r="J214" s="200" t="s">
        <v>516</v>
      </c>
      <c r="K214" s="245">
        <v>19000000</v>
      </c>
      <c r="L214" s="201" t="s">
        <v>173</v>
      </c>
      <c r="M214" s="201" t="s">
        <v>14</v>
      </c>
    </row>
    <row r="215" spans="1:13">
      <c r="A215" s="198" t="s">
        <v>9942</v>
      </c>
      <c r="B215" s="198" t="s">
        <v>9982</v>
      </c>
      <c r="C215" s="198" t="s">
        <v>9944</v>
      </c>
      <c r="D215" s="198" t="s">
        <v>9768</v>
      </c>
      <c r="E215" s="198" t="s">
        <v>133</v>
      </c>
      <c r="F215" s="198" t="s">
        <v>21</v>
      </c>
      <c r="G215" s="199" t="s">
        <v>72</v>
      </c>
      <c r="H215" s="199" t="s">
        <v>42</v>
      </c>
      <c r="I215" s="199" t="s">
        <v>436</v>
      </c>
      <c r="J215" s="200" t="s">
        <v>516</v>
      </c>
      <c r="K215" s="245">
        <v>20000000</v>
      </c>
      <c r="L215" s="201" t="s">
        <v>2057</v>
      </c>
      <c r="M215" s="201" t="s">
        <v>14</v>
      </c>
    </row>
    <row r="216" spans="1:13">
      <c r="A216" s="198" t="s">
        <v>9942</v>
      </c>
      <c r="B216" s="198" t="s">
        <v>9983</v>
      </c>
      <c r="C216" s="198" t="s">
        <v>9944</v>
      </c>
      <c r="D216" s="198" t="s">
        <v>9775</v>
      </c>
      <c r="E216" s="198" t="s">
        <v>141</v>
      </c>
      <c r="F216" s="198" t="s">
        <v>21</v>
      </c>
      <c r="G216" s="199" t="s">
        <v>70</v>
      </c>
      <c r="H216" s="199" t="s">
        <v>26</v>
      </c>
      <c r="I216" s="199" t="s">
        <v>167</v>
      </c>
      <c r="J216" s="200" t="s">
        <v>1435</v>
      </c>
      <c r="K216" s="245">
        <v>120000</v>
      </c>
      <c r="L216" s="201" t="s">
        <v>2057</v>
      </c>
      <c r="M216" s="201" t="s">
        <v>14</v>
      </c>
    </row>
    <row r="217" spans="1:13">
      <c r="A217" s="198" t="s">
        <v>9942</v>
      </c>
      <c r="B217" s="198" t="s">
        <v>9984</v>
      </c>
      <c r="C217" s="198" t="s">
        <v>9944</v>
      </c>
      <c r="D217" s="198" t="s">
        <v>9775</v>
      </c>
      <c r="E217" s="198" t="s">
        <v>141</v>
      </c>
      <c r="F217" s="198" t="s">
        <v>21</v>
      </c>
      <c r="G217" s="199" t="s">
        <v>70</v>
      </c>
      <c r="H217" s="199" t="s">
        <v>42</v>
      </c>
      <c r="I217" s="199" t="s">
        <v>167</v>
      </c>
      <c r="J217" s="200" t="s">
        <v>1435</v>
      </c>
      <c r="K217" s="245">
        <v>150000</v>
      </c>
      <c r="L217" s="201" t="s">
        <v>2057</v>
      </c>
      <c r="M217" s="201" t="s">
        <v>14</v>
      </c>
    </row>
    <row r="218" spans="1:13">
      <c r="A218" s="198" t="s">
        <v>9942</v>
      </c>
      <c r="B218" s="198" t="s">
        <v>9985</v>
      </c>
      <c r="C218" s="198" t="s">
        <v>9944</v>
      </c>
      <c r="D218" s="198" t="s">
        <v>9775</v>
      </c>
      <c r="E218" s="198" t="s">
        <v>141</v>
      </c>
      <c r="F218" s="198" t="s">
        <v>21</v>
      </c>
      <c r="G218" s="199" t="s">
        <v>74</v>
      </c>
      <c r="H218" s="199" t="s">
        <v>26</v>
      </c>
      <c r="I218" s="199" t="s">
        <v>167</v>
      </c>
      <c r="J218" s="200" t="s">
        <v>1435</v>
      </c>
      <c r="K218" s="245">
        <v>130000</v>
      </c>
      <c r="L218" s="201" t="s">
        <v>2057</v>
      </c>
      <c r="M218" s="201" t="s">
        <v>14</v>
      </c>
    </row>
    <row r="219" spans="1:13">
      <c r="A219" s="198" t="s">
        <v>9942</v>
      </c>
      <c r="B219" s="198" t="s">
        <v>9986</v>
      </c>
      <c r="C219" s="198" t="s">
        <v>9944</v>
      </c>
      <c r="D219" s="198" t="s">
        <v>9775</v>
      </c>
      <c r="E219" s="198" t="s">
        <v>141</v>
      </c>
      <c r="F219" s="198" t="s">
        <v>21</v>
      </c>
      <c r="G219" s="199" t="s">
        <v>74</v>
      </c>
      <c r="H219" s="199" t="s">
        <v>42</v>
      </c>
      <c r="I219" s="199" t="s">
        <v>167</v>
      </c>
      <c r="J219" s="200" t="s">
        <v>1435</v>
      </c>
      <c r="K219" s="245">
        <v>160000</v>
      </c>
      <c r="L219" s="201" t="s">
        <v>2057</v>
      </c>
      <c r="M219" s="201" t="s">
        <v>14</v>
      </c>
    </row>
    <row r="220" spans="1:13">
      <c r="A220" s="198" t="s">
        <v>9942</v>
      </c>
      <c r="B220" s="198" t="s">
        <v>9987</v>
      </c>
      <c r="C220" s="198" t="s">
        <v>9944</v>
      </c>
      <c r="D220" s="198" t="s">
        <v>9775</v>
      </c>
      <c r="E220" s="198" t="s">
        <v>141</v>
      </c>
      <c r="F220" s="198" t="s">
        <v>21</v>
      </c>
      <c r="G220" s="199" t="s">
        <v>72</v>
      </c>
      <c r="H220" s="199" t="s">
        <v>26</v>
      </c>
      <c r="I220" s="199" t="s">
        <v>167</v>
      </c>
      <c r="J220" s="200" t="s">
        <v>1435</v>
      </c>
      <c r="K220" s="245">
        <v>140000</v>
      </c>
      <c r="L220" s="201" t="s">
        <v>2057</v>
      </c>
      <c r="M220" s="201" t="s">
        <v>14</v>
      </c>
    </row>
    <row r="221" spans="1:13">
      <c r="A221" s="198" t="s">
        <v>9942</v>
      </c>
      <c r="B221" s="198" t="s">
        <v>9988</v>
      </c>
      <c r="C221" s="198" t="s">
        <v>9944</v>
      </c>
      <c r="D221" s="198" t="s">
        <v>9775</v>
      </c>
      <c r="E221" s="198" t="s">
        <v>141</v>
      </c>
      <c r="F221" s="198" t="s">
        <v>21</v>
      </c>
      <c r="G221" s="199" t="s">
        <v>72</v>
      </c>
      <c r="H221" s="199" t="s">
        <v>42</v>
      </c>
      <c r="I221" s="199" t="s">
        <v>167</v>
      </c>
      <c r="J221" s="200" t="s">
        <v>1435</v>
      </c>
      <c r="K221" s="245">
        <v>170000</v>
      </c>
      <c r="L221" s="201" t="s">
        <v>2057</v>
      </c>
      <c r="M221" s="201" t="s">
        <v>14</v>
      </c>
    </row>
    <row r="222" spans="1:13">
      <c r="A222" s="198" t="s">
        <v>9942</v>
      </c>
      <c r="B222" s="198" t="s">
        <v>9989</v>
      </c>
      <c r="C222" s="198" t="s">
        <v>9944</v>
      </c>
      <c r="D222" s="198" t="s">
        <v>148</v>
      </c>
      <c r="E222" s="198" t="s">
        <v>128</v>
      </c>
      <c r="F222" s="198" t="s">
        <v>21</v>
      </c>
      <c r="G222" s="199" t="s">
        <v>70</v>
      </c>
      <c r="H222" s="199" t="s">
        <v>42</v>
      </c>
      <c r="I222" s="199" t="s">
        <v>436</v>
      </c>
      <c r="J222" s="200" t="s">
        <v>1435</v>
      </c>
      <c r="K222" s="245">
        <v>20000000</v>
      </c>
      <c r="L222" s="201" t="s">
        <v>2057</v>
      </c>
      <c r="M222" s="201" t="s">
        <v>14</v>
      </c>
    </row>
    <row r="223" spans="1:13">
      <c r="A223" s="198" t="s">
        <v>9942</v>
      </c>
      <c r="B223" s="198" t="s">
        <v>9990</v>
      </c>
      <c r="C223" s="198" t="s">
        <v>9944</v>
      </c>
      <c r="D223" s="198" t="s">
        <v>148</v>
      </c>
      <c r="E223" s="198" t="s">
        <v>128</v>
      </c>
      <c r="F223" s="198" t="s">
        <v>21</v>
      </c>
      <c r="G223" s="199" t="s">
        <v>74</v>
      </c>
      <c r="H223" s="199" t="s">
        <v>42</v>
      </c>
      <c r="I223" s="199" t="s">
        <v>436</v>
      </c>
      <c r="J223" s="200" t="s">
        <v>1435</v>
      </c>
      <c r="K223" s="245">
        <v>24000000</v>
      </c>
      <c r="L223" s="201" t="s">
        <v>2057</v>
      </c>
      <c r="M223" s="201" t="s">
        <v>14</v>
      </c>
    </row>
    <row r="224" spans="1:13">
      <c r="A224" s="198" t="s">
        <v>9942</v>
      </c>
      <c r="B224" s="198" t="s">
        <v>9991</v>
      </c>
      <c r="C224" s="198" t="s">
        <v>9944</v>
      </c>
      <c r="D224" s="198" t="s">
        <v>148</v>
      </c>
      <c r="E224" s="198" t="s">
        <v>128</v>
      </c>
      <c r="F224" s="198" t="s">
        <v>21</v>
      </c>
      <c r="G224" s="199" t="s">
        <v>72</v>
      </c>
      <c r="H224" s="199" t="s">
        <v>42</v>
      </c>
      <c r="I224" s="199" t="s">
        <v>436</v>
      </c>
      <c r="J224" s="200" t="s">
        <v>1435</v>
      </c>
      <c r="K224" s="245">
        <v>28000000</v>
      </c>
      <c r="L224" s="201" t="s">
        <v>2057</v>
      </c>
      <c r="M224" s="201" t="s">
        <v>14</v>
      </c>
    </row>
    <row r="225" spans="1:13">
      <c r="A225" s="198" t="s">
        <v>9942</v>
      </c>
      <c r="B225" s="198" t="s">
        <v>9992</v>
      </c>
      <c r="C225" s="198" t="s">
        <v>9944</v>
      </c>
      <c r="D225" s="198" t="s">
        <v>152</v>
      </c>
      <c r="E225" s="198" t="s">
        <v>29</v>
      </c>
      <c r="F225" s="198" t="s">
        <v>21</v>
      </c>
      <c r="G225" s="199" t="s">
        <v>74</v>
      </c>
      <c r="H225" s="199" t="s">
        <v>26</v>
      </c>
      <c r="I225" s="199" t="s">
        <v>436</v>
      </c>
      <c r="J225" s="200" t="s">
        <v>1435</v>
      </c>
      <c r="K225" s="245">
        <v>150000</v>
      </c>
      <c r="L225" s="201" t="s">
        <v>2057</v>
      </c>
      <c r="M225" s="201" t="s">
        <v>14</v>
      </c>
    </row>
    <row r="226" spans="1:13">
      <c r="A226" s="198" t="s">
        <v>9942</v>
      </c>
      <c r="B226" s="198" t="s">
        <v>9993</v>
      </c>
      <c r="C226" s="198" t="s">
        <v>9944</v>
      </c>
      <c r="D226" s="198" t="s">
        <v>152</v>
      </c>
      <c r="E226" s="198" t="s">
        <v>29</v>
      </c>
      <c r="F226" s="198" t="s">
        <v>21</v>
      </c>
      <c r="G226" s="199" t="s">
        <v>74</v>
      </c>
      <c r="H226" s="199" t="s">
        <v>42</v>
      </c>
      <c r="I226" s="199" t="s">
        <v>436</v>
      </c>
      <c r="J226" s="200" t="s">
        <v>1435</v>
      </c>
      <c r="K226" s="245">
        <v>190000</v>
      </c>
      <c r="L226" s="201" t="s">
        <v>2057</v>
      </c>
      <c r="M226" s="201" t="s">
        <v>14</v>
      </c>
    </row>
    <row r="227" spans="1:13">
      <c r="A227" s="198" t="s">
        <v>9942</v>
      </c>
      <c r="B227" s="198" t="s">
        <v>9994</v>
      </c>
      <c r="C227" s="198" t="s">
        <v>9944</v>
      </c>
      <c r="D227" s="198" t="s">
        <v>152</v>
      </c>
      <c r="E227" s="198" t="s">
        <v>29</v>
      </c>
      <c r="F227" s="198" t="s">
        <v>21</v>
      </c>
      <c r="G227" s="199" t="s">
        <v>70</v>
      </c>
      <c r="H227" s="199" t="s">
        <v>26</v>
      </c>
      <c r="I227" s="199" t="s">
        <v>436</v>
      </c>
      <c r="J227" s="200" t="s">
        <v>1435</v>
      </c>
      <c r="K227" s="245">
        <v>250000</v>
      </c>
      <c r="L227" s="201" t="s">
        <v>2057</v>
      </c>
      <c r="M227" s="201" t="s">
        <v>14</v>
      </c>
    </row>
    <row r="228" spans="1:13">
      <c r="A228" s="198" t="s">
        <v>9942</v>
      </c>
      <c r="B228" s="198" t="s">
        <v>9995</v>
      </c>
      <c r="C228" s="198" t="s">
        <v>9944</v>
      </c>
      <c r="D228" s="198" t="s">
        <v>152</v>
      </c>
      <c r="E228" s="198" t="s">
        <v>29</v>
      </c>
      <c r="F228" s="198" t="s">
        <v>21</v>
      </c>
      <c r="G228" s="199" t="s">
        <v>72</v>
      </c>
      <c r="H228" s="199" t="s">
        <v>26</v>
      </c>
      <c r="I228" s="199" t="s">
        <v>436</v>
      </c>
      <c r="J228" s="200" t="s">
        <v>1435</v>
      </c>
      <c r="K228" s="245">
        <v>150000</v>
      </c>
      <c r="L228" s="201" t="s">
        <v>2057</v>
      </c>
      <c r="M228" s="201" t="s">
        <v>14</v>
      </c>
    </row>
    <row r="229" spans="1:13">
      <c r="A229" s="198" t="s">
        <v>9942</v>
      </c>
      <c r="B229" s="198" t="s">
        <v>9996</v>
      </c>
      <c r="C229" s="198" t="s">
        <v>9944</v>
      </c>
      <c r="D229" s="198" t="s">
        <v>152</v>
      </c>
      <c r="E229" s="198" t="s">
        <v>29</v>
      </c>
      <c r="F229" s="198" t="s">
        <v>21</v>
      </c>
      <c r="G229" s="199" t="s">
        <v>72</v>
      </c>
      <c r="H229" s="199" t="s">
        <v>42</v>
      </c>
      <c r="I229" s="199" t="s">
        <v>436</v>
      </c>
      <c r="J229" s="200" t="s">
        <v>1435</v>
      </c>
      <c r="K229" s="245">
        <v>250000</v>
      </c>
      <c r="L229" s="201" t="s">
        <v>2057</v>
      </c>
      <c r="M229" s="201" t="s">
        <v>14</v>
      </c>
    </row>
    <row r="230" spans="1:13">
      <c r="A230" s="198" t="s">
        <v>9942</v>
      </c>
      <c r="B230" s="198" t="s">
        <v>9997</v>
      </c>
      <c r="C230" s="198" t="s">
        <v>9944</v>
      </c>
      <c r="D230" s="198" t="s">
        <v>152</v>
      </c>
      <c r="E230" s="198" t="s">
        <v>29</v>
      </c>
      <c r="F230" s="198" t="s">
        <v>21</v>
      </c>
      <c r="G230" s="199" t="s">
        <v>70</v>
      </c>
      <c r="H230" s="199" t="s">
        <v>42</v>
      </c>
      <c r="I230" s="199" t="s">
        <v>436</v>
      </c>
      <c r="J230" s="200" t="s">
        <v>1435</v>
      </c>
      <c r="K230" s="245">
        <v>170000</v>
      </c>
      <c r="L230" s="201" t="s">
        <v>2057</v>
      </c>
      <c r="M230" s="201" t="s">
        <v>14</v>
      </c>
    </row>
    <row r="231" spans="1:13">
      <c r="A231" s="198" t="s">
        <v>9942</v>
      </c>
      <c r="B231" s="198" t="s">
        <v>9998</v>
      </c>
      <c r="C231" s="198" t="s">
        <v>9944</v>
      </c>
      <c r="D231" s="198" t="s">
        <v>159</v>
      </c>
      <c r="E231" s="198" t="s">
        <v>29</v>
      </c>
      <c r="F231" s="198" t="s">
        <v>21</v>
      </c>
      <c r="G231" s="199" t="s">
        <v>70</v>
      </c>
      <c r="H231" s="199" t="s">
        <v>42</v>
      </c>
      <c r="I231" s="199" t="s">
        <v>436</v>
      </c>
      <c r="J231" s="200" t="s">
        <v>1435</v>
      </c>
      <c r="K231" s="245">
        <v>170000</v>
      </c>
      <c r="L231" s="201" t="s">
        <v>2057</v>
      </c>
      <c r="M231" s="201" t="s">
        <v>14</v>
      </c>
    </row>
    <row r="232" spans="1:13">
      <c r="A232" s="198" t="s">
        <v>9942</v>
      </c>
      <c r="B232" s="198" t="s">
        <v>9999</v>
      </c>
      <c r="C232" s="198" t="s">
        <v>9944</v>
      </c>
      <c r="D232" s="198" t="s">
        <v>159</v>
      </c>
      <c r="E232" s="198" t="s">
        <v>29</v>
      </c>
      <c r="F232" s="198" t="s">
        <v>21</v>
      </c>
      <c r="G232" s="199" t="s">
        <v>74</v>
      </c>
      <c r="H232" s="199" t="s">
        <v>26</v>
      </c>
      <c r="I232" s="199" t="s">
        <v>436</v>
      </c>
      <c r="J232" s="200" t="s">
        <v>1435</v>
      </c>
      <c r="K232" s="245">
        <v>150000</v>
      </c>
      <c r="L232" s="201" t="s">
        <v>2057</v>
      </c>
      <c r="M232" s="201" t="s">
        <v>14</v>
      </c>
    </row>
    <row r="233" spans="1:13">
      <c r="A233" s="198" t="s">
        <v>9942</v>
      </c>
      <c r="B233" s="198" t="s">
        <v>10000</v>
      </c>
      <c r="C233" s="198" t="s">
        <v>9944</v>
      </c>
      <c r="D233" s="198" t="s">
        <v>159</v>
      </c>
      <c r="E233" s="198" t="s">
        <v>29</v>
      </c>
      <c r="F233" s="198" t="s">
        <v>21</v>
      </c>
      <c r="G233" s="199" t="s">
        <v>74</v>
      </c>
      <c r="H233" s="199" t="s">
        <v>42</v>
      </c>
      <c r="I233" s="199" t="s">
        <v>436</v>
      </c>
      <c r="J233" s="200" t="s">
        <v>1435</v>
      </c>
      <c r="K233" s="245">
        <v>190000</v>
      </c>
      <c r="L233" s="201" t="s">
        <v>2057</v>
      </c>
      <c r="M233" s="201" t="s">
        <v>14</v>
      </c>
    </row>
    <row r="234" spans="1:13">
      <c r="A234" s="198" t="s">
        <v>9942</v>
      </c>
      <c r="B234" s="198" t="s">
        <v>10001</v>
      </c>
      <c r="C234" s="198" t="s">
        <v>9944</v>
      </c>
      <c r="D234" s="198" t="s">
        <v>159</v>
      </c>
      <c r="E234" s="198" t="s">
        <v>29</v>
      </c>
      <c r="F234" s="198" t="s">
        <v>21</v>
      </c>
      <c r="G234" s="199" t="s">
        <v>72</v>
      </c>
      <c r="H234" s="199" t="s">
        <v>26</v>
      </c>
      <c r="I234" s="199" t="s">
        <v>436</v>
      </c>
      <c r="J234" s="200" t="s">
        <v>1435</v>
      </c>
      <c r="K234" s="245">
        <v>150000</v>
      </c>
      <c r="L234" s="201" t="s">
        <v>2057</v>
      </c>
      <c r="M234" s="201" t="s">
        <v>14</v>
      </c>
    </row>
    <row r="235" spans="1:13">
      <c r="A235" s="198" t="s">
        <v>9942</v>
      </c>
      <c r="B235" s="198" t="s">
        <v>10002</v>
      </c>
      <c r="C235" s="198" t="s">
        <v>9944</v>
      </c>
      <c r="D235" s="198" t="s">
        <v>159</v>
      </c>
      <c r="E235" s="198" t="s">
        <v>29</v>
      </c>
      <c r="F235" s="198" t="s">
        <v>21</v>
      </c>
      <c r="G235" s="199" t="s">
        <v>72</v>
      </c>
      <c r="H235" s="199" t="s">
        <v>42</v>
      </c>
      <c r="I235" s="199" t="s">
        <v>436</v>
      </c>
      <c r="J235" s="200" t="s">
        <v>1435</v>
      </c>
      <c r="K235" s="245">
        <v>250000</v>
      </c>
      <c r="L235" s="201" t="s">
        <v>2057</v>
      </c>
      <c r="M235" s="201" t="s">
        <v>14</v>
      </c>
    </row>
    <row r="236" spans="1:13">
      <c r="A236" s="198" t="s">
        <v>9942</v>
      </c>
      <c r="B236" s="198" t="s">
        <v>10003</v>
      </c>
      <c r="C236" s="198" t="s">
        <v>9944</v>
      </c>
      <c r="D236" s="198" t="s">
        <v>159</v>
      </c>
      <c r="E236" s="198" t="s">
        <v>29</v>
      </c>
      <c r="F236" s="198" t="s">
        <v>21</v>
      </c>
      <c r="G236" s="199" t="s">
        <v>70</v>
      </c>
      <c r="H236" s="199" t="s">
        <v>26</v>
      </c>
      <c r="I236" s="199" t="s">
        <v>436</v>
      </c>
      <c r="J236" s="200" t="s">
        <v>1435</v>
      </c>
      <c r="K236" s="245">
        <v>150000</v>
      </c>
      <c r="L236" s="201" t="s">
        <v>2057</v>
      </c>
      <c r="M236" s="201" t="s">
        <v>14</v>
      </c>
    </row>
    <row r="237" spans="1:13">
      <c r="A237" s="198" t="s">
        <v>9942</v>
      </c>
      <c r="B237" s="198" t="s">
        <v>10004</v>
      </c>
      <c r="C237" s="198" t="s">
        <v>9944</v>
      </c>
      <c r="D237" s="247" t="s">
        <v>10005</v>
      </c>
      <c r="E237" s="198" t="s">
        <v>9798</v>
      </c>
      <c r="F237" s="198" t="s">
        <v>168</v>
      </c>
      <c r="G237" s="198" t="s">
        <v>251</v>
      </c>
      <c r="H237" s="198" t="s">
        <v>251</v>
      </c>
      <c r="I237" s="198" t="s">
        <v>251</v>
      </c>
      <c r="J237" s="246" t="s">
        <v>516</v>
      </c>
      <c r="K237" s="248">
        <v>80000</v>
      </c>
      <c r="L237" s="201" t="s">
        <v>2057</v>
      </c>
      <c r="M237" s="249" t="s">
        <v>14</v>
      </c>
    </row>
    <row r="238" spans="1:13">
      <c r="A238" s="198" t="s">
        <v>9942</v>
      </c>
      <c r="B238" s="198" t="s">
        <v>10006</v>
      </c>
      <c r="C238" s="198" t="s">
        <v>9944</v>
      </c>
      <c r="D238" s="247" t="s">
        <v>10007</v>
      </c>
      <c r="E238" s="198" t="s">
        <v>9798</v>
      </c>
      <c r="F238" s="198" t="s">
        <v>168</v>
      </c>
      <c r="G238" s="198" t="s">
        <v>251</v>
      </c>
      <c r="H238" s="198" t="s">
        <v>251</v>
      </c>
      <c r="I238" s="198" t="s">
        <v>251</v>
      </c>
      <c r="J238" s="246" t="s">
        <v>516</v>
      </c>
      <c r="K238" s="248">
        <v>60000</v>
      </c>
      <c r="L238" s="201" t="s">
        <v>2057</v>
      </c>
      <c r="M238" s="249" t="s">
        <v>14</v>
      </c>
    </row>
    <row r="239" spans="1:13">
      <c r="A239" s="198" t="s">
        <v>9942</v>
      </c>
      <c r="B239" s="198" t="s">
        <v>10008</v>
      </c>
      <c r="C239" s="198" t="s">
        <v>9944</v>
      </c>
      <c r="D239" s="247" t="s">
        <v>10009</v>
      </c>
      <c r="E239" s="198" t="s">
        <v>9798</v>
      </c>
      <c r="F239" s="198" t="s">
        <v>168</v>
      </c>
      <c r="G239" s="198" t="s">
        <v>251</v>
      </c>
      <c r="H239" s="198" t="s">
        <v>251</v>
      </c>
      <c r="I239" s="198" t="s">
        <v>251</v>
      </c>
      <c r="J239" s="246" t="s">
        <v>516</v>
      </c>
      <c r="K239" s="248">
        <v>45000</v>
      </c>
      <c r="L239" s="201" t="s">
        <v>2057</v>
      </c>
      <c r="M239" s="249" t="s">
        <v>14</v>
      </c>
    </row>
    <row r="240" spans="1:13">
      <c r="A240" s="198" t="s">
        <v>9942</v>
      </c>
      <c r="B240" s="198" t="s">
        <v>10010</v>
      </c>
      <c r="C240" s="198" t="s">
        <v>9944</v>
      </c>
      <c r="D240" s="247" t="s">
        <v>10011</v>
      </c>
      <c r="E240" s="198" t="s">
        <v>9798</v>
      </c>
      <c r="F240" s="198" t="s">
        <v>168</v>
      </c>
      <c r="G240" s="198" t="s">
        <v>251</v>
      </c>
      <c r="H240" s="198" t="s">
        <v>251</v>
      </c>
      <c r="I240" s="198" t="s">
        <v>251</v>
      </c>
      <c r="J240" s="246" t="s">
        <v>516</v>
      </c>
      <c r="K240" s="248">
        <v>35000</v>
      </c>
      <c r="L240" s="201" t="s">
        <v>2057</v>
      </c>
      <c r="M240" s="249" t="s">
        <v>14</v>
      </c>
    </row>
    <row r="241" spans="1:13">
      <c r="A241" s="198" t="s">
        <v>9942</v>
      </c>
      <c r="B241" s="198" t="s">
        <v>10012</v>
      </c>
      <c r="C241" s="198" t="s">
        <v>9944</v>
      </c>
      <c r="D241" s="247" t="s">
        <v>10013</v>
      </c>
      <c r="E241" s="198" t="s">
        <v>9798</v>
      </c>
      <c r="F241" s="198" t="s">
        <v>168</v>
      </c>
      <c r="G241" s="198" t="s">
        <v>251</v>
      </c>
      <c r="H241" s="198" t="s">
        <v>251</v>
      </c>
      <c r="I241" s="198" t="s">
        <v>251</v>
      </c>
      <c r="J241" s="246" t="s">
        <v>516</v>
      </c>
      <c r="K241" s="248">
        <v>500000</v>
      </c>
      <c r="L241" s="201" t="s">
        <v>2057</v>
      </c>
      <c r="M241" s="249" t="s">
        <v>14</v>
      </c>
    </row>
    <row r="242" spans="1:13">
      <c r="A242" s="198" t="s">
        <v>9942</v>
      </c>
      <c r="B242" s="198" t="s">
        <v>10014</v>
      </c>
      <c r="C242" s="198" t="s">
        <v>9944</v>
      </c>
      <c r="D242" s="247" t="s">
        <v>10015</v>
      </c>
      <c r="E242" s="198" t="s">
        <v>76</v>
      </c>
      <c r="F242" s="198" t="s">
        <v>25</v>
      </c>
      <c r="G242" s="198" t="s">
        <v>251</v>
      </c>
      <c r="H242" s="198" t="s">
        <v>251</v>
      </c>
      <c r="I242" s="198" t="s">
        <v>251</v>
      </c>
      <c r="J242" s="246" t="s">
        <v>516</v>
      </c>
      <c r="K242" s="248">
        <v>50000</v>
      </c>
      <c r="L242" s="201" t="s">
        <v>2057</v>
      </c>
      <c r="M242" s="249" t="s">
        <v>14</v>
      </c>
    </row>
    <row r="243" spans="1:13">
      <c r="A243" s="198" t="s">
        <v>9942</v>
      </c>
      <c r="B243" s="198" t="s">
        <v>10016</v>
      </c>
      <c r="C243" s="198" t="s">
        <v>9944</v>
      </c>
      <c r="D243" s="247" t="s">
        <v>10017</v>
      </c>
      <c r="E243" s="198" t="s">
        <v>76</v>
      </c>
      <c r="F243" s="198" t="s">
        <v>25</v>
      </c>
      <c r="G243" s="198" t="s">
        <v>251</v>
      </c>
      <c r="H243" s="198" t="s">
        <v>251</v>
      </c>
      <c r="I243" s="198" t="s">
        <v>251</v>
      </c>
      <c r="J243" s="246" t="s">
        <v>516</v>
      </c>
      <c r="K243" s="248">
        <v>300000</v>
      </c>
      <c r="L243" s="201" t="s">
        <v>2057</v>
      </c>
      <c r="M243" s="201" t="s">
        <v>14</v>
      </c>
    </row>
    <row r="244" spans="1:13">
      <c r="A244" s="198" t="s">
        <v>9942</v>
      </c>
      <c r="B244" s="198" t="s">
        <v>10018</v>
      </c>
      <c r="C244" s="198" t="s">
        <v>9944</v>
      </c>
      <c r="D244" s="247" t="s">
        <v>10019</v>
      </c>
      <c r="E244" s="198" t="s">
        <v>76</v>
      </c>
      <c r="F244" s="198" t="s">
        <v>25</v>
      </c>
      <c r="G244" s="198" t="s">
        <v>70</v>
      </c>
      <c r="H244" s="198" t="s">
        <v>26</v>
      </c>
      <c r="I244" s="198" t="s">
        <v>251</v>
      </c>
      <c r="J244" s="246" t="s">
        <v>516</v>
      </c>
      <c r="K244" s="248">
        <v>52000</v>
      </c>
      <c r="L244" s="201" t="s">
        <v>2057</v>
      </c>
      <c r="M244" s="201" t="s">
        <v>14</v>
      </c>
    </row>
    <row r="245" spans="1:13">
      <c r="A245" s="198" t="s">
        <v>9942</v>
      </c>
      <c r="B245" s="198" t="s">
        <v>10020</v>
      </c>
      <c r="C245" s="198" t="s">
        <v>9944</v>
      </c>
      <c r="D245" s="247" t="s">
        <v>10021</v>
      </c>
      <c r="E245" s="198" t="s">
        <v>76</v>
      </c>
      <c r="F245" s="198" t="s">
        <v>25</v>
      </c>
      <c r="G245" s="198" t="s">
        <v>70</v>
      </c>
      <c r="H245" s="198" t="s">
        <v>26</v>
      </c>
      <c r="I245" s="198" t="s">
        <v>251</v>
      </c>
      <c r="J245" s="246" t="s">
        <v>516</v>
      </c>
      <c r="K245" s="248">
        <v>36000</v>
      </c>
      <c r="L245" s="201" t="s">
        <v>2057</v>
      </c>
      <c r="M245" s="201" t="s">
        <v>14</v>
      </c>
    </row>
    <row r="246" spans="1:13">
      <c r="A246" s="198" t="s">
        <v>9942</v>
      </c>
      <c r="B246" s="198" t="s">
        <v>10022</v>
      </c>
      <c r="C246" s="198" t="s">
        <v>9944</v>
      </c>
      <c r="D246" s="247" t="s">
        <v>10023</v>
      </c>
      <c r="E246" s="198" t="s">
        <v>76</v>
      </c>
      <c r="F246" s="198" t="s">
        <v>25</v>
      </c>
      <c r="G246" s="198" t="s">
        <v>70</v>
      </c>
      <c r="H246" s="198" t="s">
        <v>26</v>
      </c>
      <c r="I246" s="198" t="s">
        <v>251</v>
      </c>
      <c r="J246" s="246" t="s">
        <v>516</v>
      </c>
      <c r="K246" s="248">
        <v>27600</v>
      </c>
      <c r="L246" s="201" t="s">
        <v>2057</v>
      </c>
      <c r="M246" s="201" t="s">
        <v>14</v>
      </c>
    </row>
    <row r="247" spans="1:13">
      <c r="A247" s="198" t="s">
        <v>9942</v>
      </c>
      <c r="B247" s="198" t="s">
        <v>10024</v>
      </c>
      <c r="C247" s="198" t="s">
        <v>9944</v>
      </c>
      <c r="D247" s="247" t="s">
        <v>10025</v>
      </c>
      <c r="E247" s="198" t="s">
        <v>76</v>
      </c>
      <c r="F247" s="198" t="s">
        <v>25</v>
      </c>
      <c r="G247" s="198" t="s">
        <v>70</v>
      </c>
      <c r="H247" s="198" t="s">
        <v>26</v>
      </c>
      <c r="I247" s="198" t="s">
        <v>251</v>
      </c>
      <c r="J247" s="246" t="s">
        <v>516</v>
      </c>
      <c r="K247" s="248">
        <v>19200</v>
      </c>
      <c r="L247" s="201" t="s">
        <v>2057</v>
      </c>
      <c r="M247" s="201" t="s">
        <v>14</v>
      </c>
    </row>
    <row r="248" spans="1:13">
      <c r="A248" s="198" t="s">
        <v>9942</v>
      </c>
      <c r="B248" s="198" t="s">
        <v>10026</v>
      </c>
      <c r="C248" s="198" t="s">
        <v>9944</v>
      </c>
      <c r="D248" s="247" t="s">
        <v>10027</v>
      </c>
      <c r="E248" s="198" t="s">
        <v>76</v>
      </c>
      <c r="F248" s="198" t="s">
        <v>25</v>
      </c>
      <c r="G248" s="198" t="s">
        <v>70</v>
      </c>
      <c r="H248" s="198" t="s">
        <v>26</v>
      </c>
      <c r="I248" s="198" t="s">
        <v>251</v>
      </c>
      <c r="J248" s="246" t="s">
        <v>516</v>
      </c>
      <c r="K248" s="248">
        <v>360000</v>
      </c>
      <c r="L248" s="201" t="s">
        <v>2057</v>
      </c>
      <c r="M248" s="201" t="s">
        <v>14</v>
      </c>
    </row>
    <row r="249" spans="1:13">
      <c r="A249" s="198" t="s">
        <v>9942</v>
      </c>
      <c r="B249" s="198" t="s">
        <v>10028</v>
      </c>
      <c r="C249" s="198" t="s">
        <v>9944</v>
      </c>
      <c r="D249" s="247" t="s">
        <v>10029</v>
      </c>
      <c r="E249" s="198" t="s">
        <v>10030</v>
      </c>
      <c r="F249" s="198" t="s">
        <v>21</v>
      </c>
      <c r="G249" s="198" t="s">
        <v>70</v>
      </c>
      <c r="H249" s="198" t="s">
        <v>26</v>
      </c>
      <c r="I249" s="198" t="s">
        <v>251</v>
      </c>
      <c r="J249" s="246" t="s">
        <v>1435</v>
      </c>
      <c r="K249" s="248">
        <v>5500</v>
      </c>
      <c r="L249" s="249" t="s">
        <v>173</v>
      </c>
      <c r="M249" s="249" t="s">
        <v>14</v>
      </c>
    </row>
    <row r="250" spans="1:13">
      <c r="A250" s="198" t="s">
        <v>9942</v>
      </c>
      <c r="B250" s="198" t="s">
        <v>10031</v>
      </c>
      <c r="C250" s="198" t="s">
        <v>9944</v>
      </c>
      <c r="D250" s="247" t="s">
        <v>10032</v>
      </c>
      <c r="E250" s="198" t="s">
        <v>10030</v>
      </c>
      <c r="F250" s="198" t="s">
        <v>21</v>
      </c>
      <c r="G250" s="198" t="s">
        <v>70</v>
      </c>
      <c r="H250" s="198" t="s">
        <v>26</v>
      </c>
      <c r="I250" s="198" t="s">
        <v>251</v>
      </c>
      <c r="J250" s="246" t="s">
        <v>1435</v>
      </c>
      <c r="K250" s="248">
        <v>4000</v>
      </c>
      <c r="L250" s="249" t="s">
        <v>173</v>
      </c>
      <c r="M250" s="249" t="s">
        <v>14</v>
      </c>
    </row>
    <row r="251" spans="1:13">
      <c r="A251" s="198" t="s">
        <v>9942</v>
      </c>
      <c r="B251" s="198" t="s">
        <v>10033</v>
      </c>
      <c r="C251" s="198" t="s">
        <v>9944</v>
      </c>
      <c r="D251" s="247" t="s">
        <v>10034</v>
      </c>
      <c r="E251" s="198" t="s">
        <v>10030</v>
      </c>
      <c r="F251" s="198" t="s">
        <v>21</v>
      </c>
      <c r="G251" s="198" t="s">
        <v>70</v>
      </c>
      <c r="H251" s="198" t="s">
        <v>26</v>
      </c>
      <c r="I251" s="198" t="s">
        <v>251</v>
      </c>
      <c r="J251" s="246" t="s">
        <v>1435</v>
      </c>
      <c r="K251" s="248">
        <v>3000</v>
      </c>
      <c r="L251" s="249" t="s">
        <v>173</v>
      </c>
      <c r="M251" s="249" t="s">
        <v>14</v>
      </c>
    </row>
    <row r="252" spans="1:13">
      <c r="A252" s="198" t="s">
        <v>9942</v>
      </c>
      <c r="B252" s="198" t="s">
        <v>10035</v>
      </c>
      <c r="C252" s="198" t="s">
        <v>9944</v>
      </c>
      <c r="D252" s="247" t="s">
        <v>10036</v>
      </c>
      <c r="E252" s="198" t="s">
        <v>10030</v>
      </c>
      <c r="F252" s="198" t="s">
        <v>21</v>
      </c>
      <c r="G252" s="198" t="s">
        <v>70</v>
      </c>
      <c r="H252" s="198" t="s">
        <v>26</v>
      </c>
      <c r="I252" s="198" t="s">
        <v>251</v>
      </c>
      <c r="J252" s="246" t="s">
        <v>1435</v>
      </c>
      <c r="K252" s="248">
        <v>2500</v>
      </c>
      <c r="L252" s="249" t="s">
        <v>173</v>
      </c>
      <c r="M252" s="201" t="s">
        <v>14</v>
      </c>
    </row>
    <row r="253" spans="1:13">
      <c r="A253" s="198" t="s">
        <v>9942</v>
      </c>
      <c r="B253" s="198" t="s">
        <v>10037</v>
      </c>
      <c r="C253" s="198" t="s">
        <v>9944</v>
      </c>
      <c r="D253" s="247" t="s">
        <v>10019</v>
      </c>
      <c r="E253" s="198" t="s">
        <v>76</v>
      </c>
      <c r="F253" s="198" t="s">
        <v>25</v>
      </c>
      <c r="G253" s="198" t="s">
        <v>74</v>
      </c>
      <c r="H253" s="198" t="s">
        <v>26</v>
      </c>
      <c r="I253" s="198" t="s">
        <v>251</v>
      </c>
      <c r="J253" s="246" t="s">
        <v>516</v>
      </c>
      <c r="K253" s="248">
        <v>52000</v>
      </c>
      <c r="L253" s="201" t="s">
        <v>2057</v>
      </c>
      <c r="M253" s="201" t="s">
        <v>14</v>
      </c>
    </row>
    <row r="254" spans="1:13">
      <c r="A254" s="198" t="s">
        <v>9942</v>
      </c>
      <c r="B254" s="198" t="s">
        <v>10038</v>
      </c>
      <c r="C254" s="198" t="s">
        <v>9944</v>
      </c>
      <c r="D254" s="247" t="s">
        <v>10021</v>
      </c>
      <c r="E254" s="198" t="s">
        <v>76</v>
      </c>
      <c r="F254" s="198" t="s">
        <v>25</v>
      </c>
      <c r="G254" s="198" t="s">
        <v>74</v>
      </c>
      <c r="H254" s="198" t="s">
        <v>26</v>
      </c>
      <c r="I254" s="198" t="s">
        <v>251</v>
      </c>
      <c r="J254" s="246" t="s">
        <v>516</v>
      </c>
      <c r="K254" s="248">
        <v>36000</v>
      </c>
      <c r="L254" s="201" t="s">
        <v>2057</v>
      </c>
      <c r="M254" s="201" t="s">
        <v>14</v>
      </c>
    </row>
    <row r="255" spans="1:13">
      <c r="A255" s="198" t="s">
        <v>9942</v>
      </c>
      <c r="B255" s="198" t="s">
        <v>10039</v>
      </c>
      <c r="C255" s="198" t="s">
        <v>9944</v>
      </c>
      <c r="D255" s="247" t="s">
        <v>10023</v>
      </c>
      <c r="E255" s="198" t="s">
        <v>76</v>
      </c>
      <c r="F255" s="198" t="s">
        <v>25</v>
      </c>
      <c r="G255" s="198" t="s">
        <v>74</v>
      </c>
      <c r="H255" s="198" t="s">
        <v>26</v>
      </c>
      <c r="I255" s="198" t="s">
        <v>251</v>
      </c>
      <c r="J255" s="246" t="s">
        <v>516</v>
      </c>
      <c r="K255" s="248">
        <v>27600</v>
      </c>
      <c r="L255" s="201" t="s">
        <v>2057</v>
      </c>
      <c r="M255" s="201" t="s">
        <v>14</v>
      </c>
    </row>
    <row r="256" spans="1:13">
      <c r="A256" s="198" t="s">
        <v>9942</v>
      </c>
      <c r="B256" s="198" t="s">
        <v>10040</v>
      </c>
      <c r="C256" s="198" t="s">
        <v>9944</v>
      </c>
      <c r="D256" s="247" t="s">
        <v>10025</v>
      </c>
      <c r="E256" s="198" t="s">
        <v>76</v>
      </c>
      <c r="F256" s="198" t="s">
        <v>25</v>
      </c>
      <c r="G256" s="198" t="s">
        <v>74</v>
      </c>
      <c r="H256" s="198" t="s">
        <v>26</v>
      </c>
      <c r="I256" s="198" t="s">
        <v>251</v>
      </c>
      <c r="J256" s="246" t="s">
        <v>516</v>
      </c>
      <c r="K256" s="248">
        <v>19200</v>
      </c>
      <c r="L256" s="201" t="s">
        <v>2057</v>
      </c>
      <c r="M256" s="201" t="s">
        <v>14</v>
      </c>
    </row>
    <row r="257" spans="1:13">
      <c r="A257" s="198" t="s">
        <v>9942</v>
      </c>
      <c r="B257" s="198" t="s">
        <v>10041</v>
      </c>
      <c r="C257" s="198" t="s">
        <v>9944</v>
      </c>
      <c r="D257" s="247" t="s">
        <v>10027</v>
      </c>
      <c r="E257" s="198" t="s">
        <v>76</v>
      </c>
      <c r="F257" s="198" t="s">
        <v>25</v>
      </c>
      <c r="G257" s="198" t="s">
        <v>74</v>
      </c>
      <c r="H257" s="198" t="s">
        <v>26</v>
      </c>
      <c r="I257" s="198" t="s">
        <v>251</v>
      </c>
      <c r="J257" s="246" t="s">
        <v>516</v>
      </c>
      <c r="K257" s="248">
        <v>360000</v>
      </c>
      <c r="L257" s="201" t="s">
        <v>2057</v>
      </c>
      <c r="M257" s="201" t="s">
        <v>14</v>
      </c>
    </row>
    <row r="258" spans="1:13">
      <c r="A258" s="198" t="s">
        <v>9942</v>
      </c>
      <c r="B258" s="198" t="s">
        <v>10042</v>
      </c>
      <c r="C258" s="198" t="s">
        <v>9944</v>
      </c>
      <c r="D258" s="247" t="s">
        <v>10029</v>
      </c>
      <c r="E258" s="198" t="s">
        <v>10030</v>
      </c>
      <c r="F258" s="198" t="s">
        <v>21</v>
      </c>
      <c r="G258" s="198" t="s">
        <v>74</v>
      </c>
      <c r="H258" s="198" t="s">
        <v>26</v>
      </c>
      <c r="I258" s="198" t="s">
        <v>251</v>
      </c>
      <c r="J258" s="246" t="s">
        <v>1435</v>
      </c>
      <c r="K258" s="248">
        <v>5500</v>
      </c>
      <c r="L258" s="249" t="s">
        <v>173</v>
      </c>
      <c r="M258" s="249" t="s">
        <v>14</v>
      </c>
    </row>
    <row r="259" spans="1:13">
      <c r="A259" s="198" t="s">
        <v>9942</v>
      </c>
      <c r="B259" s="198" t="s">
        <v>10043</v>
      </c>
      <c r="C259" s="198" t="s">
        <v>9944</v>
      </c>
      <c r="D259" s="247" t="s">
        <v>10032</v>
      </c>
      <c r="E259" s="198" t="s">
        <v>10030</v>
      </c>
      <c r="F259" s="198" t="s">
        <v>21</v>
      </c>
      <c r="G259" s="198" t="s">
        <v>74</v>
      </c>
      <c r="H259" s="198" t="s">
        <v>26</v>
      </c>
      <c r="I259" s="198" t="s">
        <v>251</v>
      </c>
      <c r="J259" s="246" t="s">
        <v>1435</v>
      </c>
      <c r="K259" s="248">
        <v>4000</v>
      </c>
      <c r="L259" s="249" t="s">
        <v>173</v>
      </c>
      <c r="M259" s="249" t="s">
        <v>14</v>
      </c>
    </row>
    <row r="260" spans="1:13">
      <c r="A260" s="198" t="s">
        <v>9942</v>
      </c>
      <c r="B260" s="198" t="s">
        <v>10044</v>
      </c>
      <c r="C260" s="198" t="s">
        <v>9944</v>
      </c>
      <c r="D260" s="247" t="s">
        <v>10034</v>
      </c>
      <c r="E260" s="198" t="s">
        <v>10030</v>
      </c>
      <c r="F260" s="198" t="s">
        <v>21</v>
      </c>
      <c r="G260" s="198" t="s">
        <v>74</v>
      </c>
      <c r="H260" s="198" t="s">
        <v>26</v>
      </c>
      <c r="I260" s="198" t="s">
        <v>251</v>
      </c>
      <c r="J260" s="246" t="s">
        <v>1435</v>
      </c>
      <c r="K260" s="248">
        <v>3000</v>
      </c>
      <c r="L260" s="249" t="s">
        <v>173</v>
      </c>
      <c r="M260" s="249" t="s">
        <v>14</v>
      </c>
    </row>
    <row r="261" spans="1:13">
      <c r="A261" s="198" t="s">
        <v>9942</v>
      </c>
      <c r="B261" s="198" t="s">
        <v>10045</v>
      </c>
      <c r="C261" s="198" t="s">
        <v>9944</v>
      </c>
      <c r="D261" s="247" t="s">
        <v>10036</v>
      </c>
      <c r="E261" s="198" t="s">
        <v>10030</v>
      </c>
      <c r="F261" s="198" t="s">
        <v>21</v>
      </c>
      <c r="G261" s="198" t="s">
        <v>74</v>
      </c>
      <c r="H261" s="198" t="s">
        <v>26</v>
      </c>
      <c r="I261" s="198" t="s">
        <v>251</v>
      </c>
      <c r="J261" s="246" t="s">
        <v>1435</v>
      </c>
      <c r="K261" s="248">
        <v>2500</v>
      </c>
      <c r="L261" s="249" t="s">
        <v>173</v>
      </c>
      <c r="M261" s="201" t="s">
        <v>14</v>
      </c>
    </row>
    <row r="262" spans="1:13">
      <c r="A262" s="198" t="s">
        <v>9942</v>
      </c>
      <c r="B262" s="198" t="s">
        <v>10046</v>
      </c>
      <c r="C262" s="198" t="s">
        <v>9944</v>
      </c>
      <c r="D262" s="247" t="s">
        <v>10019</v>
      </c>
      <c r="E262" s="198" t="s">
        <v>76</v>
      </c>
      <c r="F262" s="198" t="s">
        <v>25</v>
      </c>
      <c r="G262" s="198" t="s">
        <v>72</v>
      </c>
      <c r="H262" s="198" t="s">
        <v>26</v>
      </c>
      <c r="I262" s="198" t="s">
        <v>251</v>
      </c>
      <c r="J262" s="246" t="s">
        <v>516</v>
      </c>
      <c r="K262" s="248">
        <v>52000</v>
      </c>
      <c r="L262" s="201" t="s">
        <v>2057</v>
      </c>
      <c r="M262" s="201" t="s">
        <v>14</v>
      </c>
    </row>
    <row r="263" spans="1:13">
      <c r="A263" s="198" t="s">
        <v>9942</v>
      </c>
      <c r="B263" s="198" t="s">
        <v>10047</v>
      </c>
      <c r="C263" s="198" t="s">
        <v>9944</v>
      </c>
      <c r="D263" s="247" t="s">
        <v>10021</v>
      </c>
      <c r="E263" s="198" t="s">
        <v>76</v>
      </c>
      <c r="F263" s="198" t="s">
        <v>25</v>
      </c>
      <c r="G263" s="198" t="s">
        <v>72</v>
      </c>
      <c r="H263" s="198" t="s">
        <v>26</v>
      </c>
      <c r="I263" s="198" t="s">
        <v>251</v>
      </c>
      <c r="J263" s="246" t="s">
        <v>516</v>
      </c>
      <c r="K263" s="248">
        <v>36000</v>
      </c>
      <c r="L263" s="201" t="s">
        <v>2057</v>
      </c>
      <c r="M263" s="201" t="s">
        <v>14</v>
      </c>
    </row>
    <row r="264" spans="1:13">
      <c r="A264" s="198" t="s">
        <v>9942</v>
      </c>
      <c r="B264" s="198" t="s">
        <v>10048</v>
      </c>
      <c r="C264" s="198" t="s">
        <v>9944</v>
      </c>
      <c r="D264" s="247" t="s">
        <v>10023</v>
      </c>
      <c r="E264" s="198" t="s">
        <v>76</v>
      </c>
      <c r="F264" s="198" t="s">
        <v>25</v>
      </c>
      <c r="G264" s="198" t="s">
        <v>72</v>
      </c>
      <c r="H264" s="198" t="s">
        <v>26</v>
      </c>
      <c r="I264" s="198" t="s">
        <v>251</v>
      </c>
      <c r="J264" s="246" t="s">
        <v>516</v>
      </c>
      <c r="K264" s="248">
        <v>27600</v>
      </c>
      <c r="L264" s="201" t="s">
        <v>2057</v>
      </c>
      <c r="M264" s="201" t="s">
        <v>14</v>
      </c>
    </row>
    <row r="265" spans="1:13">
      <c r="A265" s="198" t="s">
        <v>9942</v>
      </c>
      <c r="B265" s="198" t="s">
        <v>10049</v>
      </c>
      <c r="C265" s="198" t="s">
        <v>9944</v>
      </c>
      <c r="D265" s="247" t="s">
        <v>10025</v>
      </c>
      <c r="E265" s="198" t="s">
        <v>76</v>
      </c>
      <c r="F265" s="198" t="s">
        <v>25</v>
      </c>
      <c r="G265" s="198" t="s">
        <v>72</v>
      </c>
      <c r="H265" s="198" t="s">
        <v>26</v>
      </c>
      <c r="I265" s="198" t="s">
        <v>251</v>
      </c>
      <c r="J265" s="246" t="s">
        <v>516</v>
      </c>
      <c r="K265" s="248">
        <v>19200</v>
      </c>
      <c r="L265" s="201" t="s">
        <v>2057</v>
      </c>
      <c r="M265" s="201" t="s">
        <v>14</v>
      </c>
    </row>
    <row r="266" spans="1:13">
      <c r="A266" s="198" t="s">
        <v>9942</v>
      </c>
      <c r="B266" s="198" t="s">
        <v>10050</v>
      </c>
      <c r="C266" s="198" t="s">
        <v>9944</v>
      </c>
      <c r="D266" s="247" t="s">
        <v>10027</v>
      </c>
      <c r="E266" s="198" t="s">
        <v>76</v>
      </c>
      <c r="F266" s="198" t="s">
        <v>25</v>
      </c>
      <c r="G266" s="198" t="s">
        <v>72</v>
      </c>
      <c r="H266" s="198" t="s">
        <v>26</v>
      </c>
      <c r="I266" s="198" t="s">
        <v>251</v>
      </c>
      <c r="J266" s="246" t="s">
        <v>516</v>
      </c>
      <c r="K266" s="248">
        <v>360000</v>
      </c>
      <c r="L266" s="201" t="s">
        <v>2057</v>
      </c>
      <c r="M266" s="201" t="s">
        <v>14</v>
      </c>
    </row>
    <row r="267" spans="1:13">
      <c r="A267" s="198" t="s">
        <v>9942</v>
      </c>
      <c r="B267" s="198" t="s">
        <v>10051</v>
      </c>
      <c r="C267" s="198" t="s">
        <v>9944</v>
      </c>
      <c r="D267" s="247" t="s">
        <v>10029</v>
      </c>
      <c r="E267" s="198" t="s">
        <v>10030</v>
      </c>
      <c r="F267" s="198" t="s">
        <v>21</v>
      </c>
      <c r="G267" s="198" t="s">
        <v>72</v>
      </c>
      <c r="H267" s="198" t="s">
        <v>26</v>
      </c>
      <c r="I267" s="198" t="s">
        <v>251</v>
      </c>
      <c r="J267" s="246" t="s">
        <v>1435</v>
      </c>
      <c r="K267" s="248">
        <v>5500</v>
      </c>
      <c r="L267" s="249" t="s">
        <v>173</v>
      </c>
      <c r="M267" s="249" t="s">
        <v>14</v>
      </c>
    </row>
    <row r="268" spans="1:13">
      <c r="A268" s="198" t="s">
        <v>9942</v>
      </c>
      <c r="B268" s="198" t="s">
        <v>10052</v>
      </c>
      <c r="C268" s="198" t="s">
        <v>9944</v>
      </c>
      <c r="D268" s="247" t="s">
        <v>10032</v>
      </c>
      <c r="E268" s="198" t="s">
        <v>10030</v>
      </c>
      <c r="F268" s="198" t="s">
        <v>21</v>
      </c>
      <c r="G268" s="198" t="s">
        <v>72</v>
      </c>
      <c r="H268" s="198" t="s">
        <v>26</v>
      </c>
      <c r="I268" s="198" t="s">
        <v>251</v>
      </c>
      <c r="J268" s="246" t="s">
        <v>1435</v>
      </c>
      <c r="K268" s="248">
        <v>4000</v>
      </c>
      <c r="L268" s="249" t="s">
        <v>173</v>
      </c>
      <c r="M268" s="249" t="s">
        <v>14</v>
      </c>
    </row>
    <row r="269" spans="1:13">
      <c r="A269" s="198" t="s">
        <v>9942</v>
      </c>
      <c r="B269" s="198" t="s">
        <v>10053</v>
      </c>
      <c r="C269" s="198" t="s">
        <v>9944</v>
      </c>
      <c r="D269" s="247" t="s">
        <v>10034</v>
      </c>
      <c r="E269" s="198" t="s">
        <v>10030</v>
      </c>
      <c r="F269" s="198" t="s">
        <v>21</v>
      </c>
      <c r="G269" s="198" t="s">
        <v>72</v>
      </c>
      <c r="H269" s="198" t="s">
        <v>26</v>
      </c>
      <c r="I269" s="198" t="s">
        <v>251</v>
      </c>
      <c r="J269" s="246" t="s">
        <v>1435</v>
      </c>
      <c r="K269" s="248">
        <v>3000</v>
      </c>
      <c r="L269" s="249" t="s">
        <v>173</v>
      </c>
      <c r="M269" s="249" t="s">
        <v>14</v>
      </c>
    </row>
    <row r="270" spans="1:13">
      <c r="A270" s="198" t="s">
        <v>9942</v>
      </c>
      <c r="B270" s="198" t="s">
        <v>10054</v>
      </c>
      <c r="C270" s="198" t="s">
        <v>9944</v>
      </c>
      <c r="D270" s="247" t="s">
        <v>10036</v>
      </c>
      <c r="E270" s="198" t="s">
        <v>10030</v>
      </c>
      <c r="F270" s="198" t="s">
        <v>21</v>
      </c>
      <c r="G270" s="198" t="s">
        <v>72</v>
      </c>
      <c r="H270" s="198" t="s">
        <v>26</v>
      </c>
      <c r="I270" s="198" t="s">
        <v>251</v>
      </c>
      <c r="J270" s="246" t="s">
        <v>1435</v>
      </c>
      <c r="K270" s="248">
        <v>2500</v>
      </c>
      <c r="L270" s="249" t="s">
        <v>173</v>
      </c>
      <c r="M270" s="201" t="s">
        <v>14</v>
      </c>
    </row>
    <row r="271" spans="1:13">
      <c r="A271" s="198" t="s">
        <v>9942</v>
      </c>
      <c r="B271" s="198" t="s">
        <v>10055</v>
      </c>
      <c r="C271" s="198" t="s">
        <v>9944</v>
      </c>
      <c r="D271" s="247" t="s">
        <v>10056</v>
      </c>
      <c r="E271" s="198" t="s">
        <v>29</v>
      </c>
      <c r="F271" s="198" t="s">
        <v>21</v>
      </c>
      <c r="G271" s="198" t="s">
        <v>70</v>
      </c>
      <c r="H271" s="198" t="s">
        <v>26</v>
      </c>
      <c r="I271" s="198" t="s">
        <v>167</v>
      </c>
      <c r="J271" s="246" t="s">
        <v>1435</v>
      </c>
      <c r="K271" s="248">
        <v>150000</v>
      </c>
      <c r="L271" s="201" t="s">
        <v>2057</v>
      </c>
      <c r="M271" s="201" t="s">
        <v>14</v>
      </c>
    </row>
    <row r="272" spans="1:13">
      <c r="A272" s="198" t="s">
        <v>9942</v>
      </c>
      <c r="B272" s="198" t="s">
        <v>10057</v>
      </c>
      <c r="C272" s="198" t="s">
        <v>9944</v>
      </c>
      <c r="D272" s="247" t="s">
        <v>10056</v>
      </c>
      <c r="E272" s="198" t="s">
        <v>29</v>
      </c>
      <c r="F272" s="198" t="s">
        <v>21</v>
      </c>
      <c r="G272" s="198" t="s">
        <v>74</v>
      </c>
      <c r="H272" s="198" t="s">
        <v>26</v>
      </c>
      <c r="I272" s="198" t="s">
        <v>167</v>
      </c>
      <c r="J272" s="246" t="s">
        <v>1435</v>
      </c>
      <c r="K272" s="248">
        <v>150000</v>
      </c>
      <c r="L272" s="201" t="s">
        <v>2057</v>
      </c>
      <c r="M272" s="201" t="s">
        <v>14</v>
      </c>
    </row>
    <row r="273" spans="1:13">
      <c r="A273" s="198" t="s">
        <v>9942</v>
      </c>
      <c r="B273" s="198" t="s">
        <v>10058</v>
      </c>
      <c r="C273" s="198" t="s">
        <v>9944</v>
      </c>
      <c r="D273" s="247" t="s">
        <v>10056</v>
      </c>
      <c r="E273" s="198" t="s">
        <v>29</v>
      </c>
      <c r="F273" s="198" t="s">
        <v>21</v>
      </c>
      <c r="G273" s="198" t="s">
        <v>72</v>
      </c>
      <c r="H273" s="198" t="s">
        <v>26</v>
      </c>
      <c r="I273" s="198" t="s">
        <v>167</v>
      </c>
      <c r="J273" s="246" t="s">
        <v>1435</v>
      </c>
      <c r="K273" s="248">
        <v>150000</v>
      </c>
      <c r="L273" s="201" t="s">
        <v>2057</v>
      </c>
      <c r="M273" s="201" t="s">
        <v>14</v>
      </c>
    </row>
    <row r="274" spans="1:13">
      <c r="A274" s="198" t="s">
        <v>9942</v>
      </c>
      <c r="B274" s="198" t="s">
        <v>10059</v>
      </c>
      <c r="C274" s="198" t="s">
        <v>9944</v>
      </c>
      <c r="D274" s="247" t="s">
        <v>10056</v>
      </c>
      <c r="E274" s="198" t="s">
        <v>29</v>
      </c>
      <c r="F274" s="198" t="s">
        <v>21</v>
      </c>
      <c r="G274" s="198" t="s">
        <v>70</v>
      </c>
      <c r="H274" s="198" t="s">
        <v>42</v>
      </c>
      <c r="I274" s="198" t="s">
        <v>167</v>
      </c>
      <c r="J274" s="246" t="s">
        <v>1435</v>
      </c>
      <c r="K274" s="248">
        <v>190000</v>
      </c>
      <c r="L274" s="201" t="s">
        <v>2057</v>
      </c>
      <c r="M274" s="201" t="s">
        <v>14</v>
      </c>
    </row>
    <row r="275" spans="1:13">
      <c r="A275" s="198" t="s">
        <v>9942</v>
      </c>
      <c r="B275" s="198" t="s">
        <v>10060</v>
      </c>
      <c r="C275" s="198" t="s">
        <v>9944</v>
      </c>
      <c r="D275" s="247" t="s">
        <v>10061</v>
      </c>
      <c r="E275" s="198" t="s">
        <v>29</v>
      </c>
      <c r="F275" s="198" t="s">
        <v>21</v>
      </c>
      <c r="G275" s="198" t="s">
        <v>70</v>
      </c>
      <c r="H275" s="198" t="s">
        <v>26</v>
      </c>
      <c r="I275" s="198" t="s">
        <v>167</v>
      </c>
      <c r="J275" s="246" t="s">
        <v>1435</v>
      </c>
      <c r="K275" s="248">
        <v>150000</v>
      </c>
      <c r="L275" s="201" t="s">
        <v>2057</v>
      </c>
      <c r="M275" s="201" t="s">
        <v>14</v>
      </c>
    </row>
    <row r="276" spans="1:13">
      <c r="A276" s="198" t="s">
        <v>9942</v>
      </c>
      <c r="B276" s="198" t="s">
        <v>10062</v>
      </c>
      <c r="C276" s="198" t="s">
        <v>9944</v>
      </c>
      <c r="D276" s="247" t="s">
        <v>10061</v>
      </c>
      <c r="E276" s="198" t="s">
        <v>29</v>
      </c>
      <c r="F276" s="198" t="s">
        <v>21</v>
      </c>
      <c r="G276" s="198" t="s">
        <v>74</v>
      </c>
      <c r="H276" s="198" t="s">
        <v>26</v>
      </c>
      <c r="I276" s="198" t="s">
        <v>167</v>
      </c>
      <c r="J276" s="246" t="s">
        <v>1435</v>
      </c>
      <c r="K276" s="248">
        <v>150000</v>
      </c>
      <c r="L276" s="201" t="s">
        <v>2057</v>
      </c>
      <c r="M276" s="249" t="s">
        <v>14</v>
      </c>
    </row>
    <row r="277" spans="1:13">
      <c r="A277" s="198" t="s">
        <v>9942</v>
      </c>
      <c r="B277" s="198" t="s">
        <v>10063</v>
      </c>
      <c r="C277" s="198" t="s">
        <v>9944</v>
      </c>
      <c r="D277" s="247" t="s">
        <v>10061</v>
      </c>
      <c r="E277" s="198" t="s">
        <v>29</v>
      </c>
      <c r="F277" s="198" t="s">
        <v>21</v>
      </c>
      <c r="G277" s="198" t="s">
        <v>72</v>
      </c>
      <c r="H277" s="198" t="s">
        <v>26</v>
      </c>
      <c r="I277" s="198" t="s">
        <v>167</v>
      </c>
      <c r="J277" s="246" t="s">
        <v>1435</v>
      </c>
      <c r="K277" s="248">
        <v>150000</v>
      </c>
      <c r="L277" s="201" t="s">
        <v>2057</v>
      </c>
      <c r="M277" s="249" t="s">
        <v>14</v>
      </c>
    </row>
    <row r="278" spans="1:13">
      <c r="A278" s="198" t="s">
        <v>9942</v>
      </c>
      <c r="B278" s="198" t="s">
        <v>10064</v>
      </c>
      <c r="C278" s="198" t="s">
        <v>9944</v>
      </c>
      <c r="D278" s="247" t="s">
        <v>10061</v>
      </c>
      <c r="E278" s="198" t="s">
        <v>29</v>
      </c>
      <c r="F278" s="198" t="s">
        <v>21</v>
      </c>
      <c r="G278" s="198" t="s">
        <v>70</v>
      </c>
      <c r="H278" s="198" t="s">
        <v>42</v>
      </c>
      <c r="I278" s="198" t="s">
        <v>167</v>
      </c>
      <c r="J278" s="246" t="s">
        <v>1435</v>
      </c>
      <c r="K278" s="248">
        <v>190000</v>
      </c>
      <c r="L278" s="201" t="s">
        <v>2057</v>
      </c>
      <c r="M278" s="249" t="s">
        <v>14</v>
      </c>
    </row>
    <row r="279" spans="1:13">
      <c r="A279" s="198" t="s">
        <v>9942</v>
      </c>
      <c r="B279" s="198" t="s">
        <v>10065</v>
      </c>
      <c r="C279" s="198" t="s">
        <v>9944</v>
      </c>
      <c r="D279" s="247" t="s">
        <v>10066</v>
      </c>
      <c r="E279" s="198" t="s">
        <v>29</v>
      </c>
      <c r="F279" s="198" t="s">
        <v>21</v>
      </c>
      <c r="G279" s="198" t="s">
        <v>70</v>
      </c>
      <c r="H279" s="198" t="s">
        <v>26</v>
      </c>
      <c r="I279" s="198" t="s">
        <v>167</v>
      </c>
      <c r="J279" s="246" t="s">
        <v>1435</v>
      </c>
      <c r="K279" s="248">
        <v>150000</v>
      </c>
      <c r="L279" s="201" t="s">
        <v>2057</v>
      </c>
      <c r="M279" s="201" t="s">
        <v>14</v>
      </c>
    </row>
    <row r="280" spans="1:13">
      <c r="A280" s="198" t="s">
        <v>9942</v>
      </c>
      <c r="B280" s="198" t="s">
        <v>10067</v>
      </c>
      <c r="C280" s="198" t="s">
        <v>9944</v>
      </c>
      <c r="D280" s="247" t="s">
        <v>10066</v>
      </c>
      <c r="E280" s="198" t="s">
        <v>29</v>
      </c>
      <c r="F280" s="198" t="s">
        <v>21</v>
      </c>
      <c r="G280" s="198" t="s">
        <v>74</v>
      </c>
      <c r="H280" s="198" t="s">
        <v>26</v>
      </c>
      <c r="I280" s="198" t="s">
        <v>167</v>
      </c>
      <c r="J280" s="246" t="s">
        <v>1435</v>
      </c>
      <c r="K280" s="248">
        <v>150000</v>
      </c>
      <c r="L280" s="201" t="s">
        <v>2057</v>
      </c>
      <c r="M280" s="201" t="s">
        <v>14</v>
      </c>
    </row>
    <row r="281" spans="1:13">
      <c r="A281" s="198" t="s">
        <v>9942</v>
      </c>
      <c r="B281" s="198" t="s">
        <v>10068</v>
      </c>
      <c r="C281" s="198" t="s">
        <v>9944</v>
      </c>
      <c r="D281" s="247" t="s">
        <v>10066</v>
      </c>
      <c r="E281" s="198" t="s">
        <v>29</v>
      </c>
      <c r="F281" s="198" t="s">
        <v>21</v>
      </c>
      <c r="G281" s="198" t="s">
        <v>72</v>
      </c>
      <c r="H281" s="198" t="s">
        <v>26</v>
      </c>
      <c r="I281" s="198" t="s">
        <v>167</v>
      </c>
      <c r="J281" s="246" t="s">
        <v>1435</v>
      </c>
      <c r="K281" s="248">
        <v>150000</v>
      </c>
      <c r="L281" s="201" t="s">
        <v>2057</v>
      </c>
      <c r="M281" s="201" t="s">
        <v>14</v>
      </c>
    </row>
    <row r="282" spans="1:13">
      <c r="A282" s="198" t="s">
        <v>9942</v>
      </c>
      <c r="B282" s="198" t="s">
        <v>10069</v>
      </c>
      <c r="C282" s="198" t="s">
        <v>9944</v>
      </c>
      <c r="D282" s="247" t="s">
        <v>10066</v>
      </c>
      <c r="E282" s="198" t="s">
        <v>29</v>
      </c>
      <c r="F282" s="198" t="s">
        <v>21</v>
      </c>
      <c r="G282" s="198" t="s">
        <v>70</v>
      </c>
      <c r="H282" s="198" t="s">
        <v>42</v>
      </c>
      <c r="I282" s="198" t="s">
        <v>167</v>
      </c>
      <c r="J282" s="246" t="s">
        <v>1435</v>
      </c>
      <c r="K282" s="248">
        <v>190000</v>
      </c>
      <c r="L282" s="201" t="s">
        <v>2057</v>
      </c>
      <c r="M282" s="201" t="s">
        <v>14</v>
      </c>
    </row>
    <row r="283" spans="1:13">
      <c r="A283" s="198" t="s">
        <v>9942</v>
      </c>
      <c r="B283" s="198" t="s">
        <v>10070</v>
      </c>
      <c r="C283" s="198" t="s">
        <v>9944</v>
      </c>
      <c r="D283" s="247" t="s">
        <v>10071</v>
      </c>
      <c r="E283" s="198" t="s">
        <v>29</v>
      </c>
      <c r="F283" s="198" t="s">
        <v>21</v>
      </c>
      <c r="G283" s="198" t="s">
        <v>70</v>
      </c>
      <c r="H283" s="198" t="s">
        <v>26</v>
      </c>
      <c r="I283" s="198" t="s">
        <v>167</v>
      </c>
      <c r="J283" s="246" t="s">
        <v>1435</v>
      </c>
      <c r="K283" s="248">
        <v>150000</v>
      </c>
      <c r="L283" s="201" t="s">
        <v>2057</v>
      </c>
      <c r="M283" s="201" t="s">
        <v>14</v>
      </c>
    </row>
    <row r="284" spans="1:13">
      <c r="A284" s="198" t="s">
        <v>9942</v>
      </c>
      <c r="B284" s="198" t="s">
        <v>10072</v>
      </c>
      <c r="C284" s="198" t="s">
        <v>9944</v>
      </c>
      <c r="D284" s="247" t="s">
        <v>10071</v>
      </c>
      <c r="E284" s="198" t="s">
        <v>29</v>
      </c>
      <c r="F284" s="198" t="s">
        <v>21</v>
      </c>
      <c r="G284" s="198" t="s">
        <v>74</v>
      </c>
      <c r="H284" s="198" t="s">
        <v>26</v>
      </c>
      <c r="I284" s="198" t="s">
        <v>167</v>
      </c>
      <c r="J284" s="246" t="s">
        <v>1435</v>
      </c>
      <c r="K284" s="248">
        <v>150000</v>
      </c>
      <c r="L284" s="201" t="s">
        <v>2057</v>
      </c>
      <c r="M284" s="201" t="s">
        <v>14</v>
      </c>
    </row>
    <row r="285" spans="1:13">
      <c r="A285" s="198" t="s">
        <v>9942</v>
      </c>
      <c r="B285" s="198" t="s">
        <v>10073</v>
      </c>
      <c r="C285" s="198" t="s">
        <v>9944</v>
      </c>
      <c r="D285" s="247" t="s">
        <v>10071</v>
      </c>
      <c r="E285" s="198" t="s">
        <v>29</v>
      </c>
      <c r="F285" s="198" t="s">
        <v>21</v>
      </c>
      <c r="G285" s="198" t="s">
        <v>72</v>
      </c>
      <c r="H285" s="198" t="s">
        <v>26</v>
      </c>
      <c r="I285" s="198" t="s">
        <v>167</v>
      </c>
      <c r="J285" s="200" t="s">
        <v>1435</v>
      </c>
      <c r="K285" s="245">
        <v>150000</v>
      </c>
      <c r="L285" s="201" t="s">
        <v>2057</v>
      </c>
      <c r="M285" s="201" t="s">
        <v>14</v>
      </c>
    </row>
    <row r="286" spans="1:13">
      <c r="A286" s="198" t="s">
        <v>9942</v>
      </c>
      <c r="B286" s="198" t="s">
        <v>10074</v>
      </c>
      <c r="C286" s="198" t="s">
        <v>9944</v>
      </c>
      <c r="D286" s="247" t="s">
        <v>10071</v>
      </c>
      <c r="E286" s="198" t="s">
        <v>29</v>
      </c>
      <c r="F286" s="198" t="s">
        <v>21</v>
      </c>
      <c r="G286" s="198" t="s">
        <v>70</v>
      </c>
      <c r="H286" s="198" t="s">
        <v>42</v>
      </c>
      <c r="I286" s="198" t="s">
        <v>167</v>
      </c>
      <c r="J286" s="200" t="s">
        <v>1435</v>
      </c>
      <c r="K286" s="245">
        <v>190000</v>
      </c>
      <c r="L286" s="201" t="s">
        <v>2057</v>
      </c>
      <c r="M286" s="201" t="s">
        <v>14</v>
      </c>
    </row>
    <row r="287" spans="1:13">
      <c r="A287" s="198" t="s">
        <v>9942</v>
      </c>
      <c r="B287" s="198" t="s">
        <v>10075</v>
      </c>
      <c r="C287" s="198" t="s">
        <v>9944</v>
      </c>
      <c r="D287" s="247" t="s">
        <v>10076</v>
      </c>
      <c r="E287" s="198" t="s">
        <v>29</v>
      </c>
      <c r="F287" s="198" t="s">
        <v>21</v>
      </c>
      <c r="G287" s="198" t="s">
        <v>70</v>
      </c>
      <c r="H287" s="198" t="s">
        <v>26</v>
      </c>
      <c r="I287" s="198" t="s">
        <v>436</v>
      </c>
      <c r="J287" s="200" t="s">
        <v>1435</v>
      </c>
      <c r="K287" s="245">
        <v>150000</v>
      </c>
      <c r="L287" s="201" t="s">
        <v>2057</v>
      </c>
      <c r="M287" s="201" t="s">
        <v>14</v>
      </c>
    </row>
    <row r="288" spans="1:13">
      <c r="A288" s="198" t="s">
        <v>9942</v>
      </c>
      <c r="B288" s="198" t="s">
        <v>10077</v>
      </c>
      <c r="C288" s="198" t="s">
        <v>9944</v>
      </c>
      <c r="D288" s="247" t="s">
        <v>10076</v>
      </c>
      <c r="E288" s="198" t="s">
        <v>29</v>
      </c>
      <c r="F288" s="198" t="s">
        <v>21</v>
      </c>
      <c r="G288" s="198" t="s">
        <v>74</v>
      </c>
      <c r="H288" s="198" t="s">
        <v>26</v>
      </c>
      <c r="I288" s="198" t="s">
        <v>436</v>
      </c>
      <c r="J288" s="200" t="s">
        <v>1435</v>
      </c>
      <c r="K288" s="248">
        <v>150000</v>
      </c>
      <c r="L288" s="201" t="s">
        <v>2057</v>
      </c>
      <c r="M288" s="201" t="s">
        <v>14</v>
      </c>
    </row>
    <row r="289" spans="1:13">
      <c r="A289" s="198" t="s">
        <v>9942</v>
      </c>
      <c r="B289" s="198" t="s">
        <v>10078</v>
      </c>
      <c r="C289" s="198" t="s">
        <v>9944</v>
      </c>
      <c r="D289" s="247" t="s">
        <v>10076</v>
      </c>
      <c r="E289" s="198" t="s">
        <v>29</v>
      </c>
      <c r="F289" s="198" t="s">
        <v>21</v>
      </c>
      <c r="G289" s="198" t="s">
        <v>72</v>
      </c>
      <c r="H289" s="198" t="s">
        <v>26</v>
      </c>
      <c r="I289" s="198" t="s">
        <v>436</v>
      </c>
      <c r="J289" s="200" t="s">
        <v>1435</v>
      </c>
      <c r="K289" s="245">
        <v>150000</v>
      </c>
      <c r="L289" s="201" t="s">
        <v>2057</v>
      </c>
      <c r="M289" s="201" t="s">
        <v>14</v>
      </c>
    </row>
    <row r="290" spans="1:13">
      <c r="A290" s="198" t="s">
        <v>9942</v>
      </c>
      <c r="B290" s="198" t="s">
        <v>10079</v>
      </c>
      <c r="C290" s="198" t="s">
        <v>9944</v>
      </c>
      <c r="D290" s="247" t="s">
        <v>10076</v>
      </c>
      <c r="E290" s="198" t="s">
        <v>29</v>
      </c>
      <c r="F290" s="198" t="s">
        <v>21</v>
      </c>
      <c r="G290" s="198" t="s">
        <v>70</v>
      </c>
      <c r="H290" s="198" t="s">
        <v>42</v>
      </c>
      <c r="I290" s="198" t="s">
        <v>436</v>
      </c>
      <c r="J290" s="200" t="s">
        <v>1435</v>
      </c>
      <c r="K290" s="245">
        <v>190000</v>
      </c>
      <c r="L290" s="201" t="s">
        <v>2057</v>
      </c>
      <c r="M290" s="201" t="s">
        <v>14</v>
      </c>
    </row>
    <row r="291" spans="1:13">
      <c r="A291" s="198" t="s">
        <v>9942</v>
      </c>
      <c r="B291" s="198" t="s">
        <v>10080</v>
      </c>
      <c r="C291" s="198" t="s">
        <v>9944</v>
      </c>
      <c r="D291" s="247" t="s">
        <v>10081</v>
      </c>
      <c r="E291" s="198" t="s">
        <v>29</v>
      </c>
      <c r="F291" s="198" t="s">
        <v>21</v>
      </c>
      <c r="G291" s="198" t="s">
        <v>70</v>
      </c>
      <c r="H291" s="198" t="s">
        <v>26</v>
      </c>
      <c r="I291" s="198" t="s">
        <v>436</v>
      </c>
      <c r="J291" s="200" t="s">
        <v>1435</v>
      </c>
      <c r="K291" s="245">
        <v>150000</v>
      </c>
      <c r="L291" s="201" t="s">
        <v>2057</v>
      </c>
      <c r="M291" s="201" t="s">
        <v>14</v>
      </c>
    </row>
    <row r="292" spans="1:13">
      <c r="A292" s="198" t="s">
        <v>9942</v>
      </c>
      <c r="B292" s="198" t="s">
        <v>10082</v>
      </c>
      <c r="C292" s="198" t="s">
        <v>9944</v>
      </c>
      <c r="D292" s="247" t="s">
        <v>10081</v>
      </c>
      <c r="E292" s="198" t="s">
        <v>29</v>
      </c>
      <c r="F292" s="198" t="s">
        <v>21</v>
      </c>
      <c r="G292" s="198" t="s">
        <v>74</v>
      </c>
      <c r="H292" s="198" t="s">
        <v>26</v>
      </c>
      <c r="I292" s="198" t="s">
        <v>436</v>
      </c>
      <c r="J292" s="200" t="s">
        <v>1435</v>
      </c>
      <c r="K292" s="248">
        <v>150000</v>
      </c>
      <c r="L292" s="201" t="s">
        <v>2057</v>
      </c>
      <c r="M292" s="201" t="s">
        <v>14</v>
      </c>
    </row>
    <row r="293" spans="1:13">
      <c r="A293" s="198" t="s">
        <v>9942</v>
      </c>
      <c r="B293" s="198" t="s">
        <v>10083</v>
      </c>
      <c r="C293" s="198" t="s">
        <v>9944</v>
      </c>
      <c r="D293" s="247" t="s">
        <v>10081</v>
      </c>
      <c r="E293" s="198" t="s">
        <v>29</v>
      </c>
      <c r="F293" s="198" t="s">
        <v>21</v>
      </c>
      <c r="G293" s="198" t="s">
        <v>72</v>
      </c>
      <c r="H293" s="198" t="s">
        <v>26</v>
      </c>
      <c r="I293" s="198" t="s">
        <v>436</v>
      </c>
      <c r="J293" s="200" t="s">
        <v>1435</v>
      </c>
      <c r="K293" s="245">
        <v>150000</v>
      </c>
      <c r="L293" s="201" t="s">
        <v>2057</v>
      </c>
      <c r="M293" s="201" t="s">
        <v>14</v>
      </c>
    </row>
    <row r="294" spans="1:13">
      <c r="A294" s="198" t="s">
        <v>9942</v>
      </c>
      <c r="B294" s="198" t="s">
        <v>10084</v>
      </c>
      <c r="C294" s="198" t="s">
        <v>9944</v>
      </c>
      <c r="D294" s="247" t="s">
        <v>10081</v>
      </c>
      <c r="E294" s="198" t="s">
        <v>29</v>
      </c>
      <c r="F294" s="198" t="s">
        <v>21</v>
      </c>
      <c r="G294" s="198" t="s">
        <v>70</v>
      </c>
      <c r="H294" s="198" t="s">
        <v>42</v>
      </c>
      <c r="I294" s="198" t="s">
        <v>436</v>
      </c>
      <c r="J294" s="200" t="s">
        <v>1435</v>
      </c>
      <c r="K294" s="245">
        <v>190000</v>
      </c>
      <c r="L294" s="201" t="s">
        <v>2057</v>
      </c>
      <c r="M294" s="201" t="s">
        <v>14</v>
      </c>
    </row>
    <row r="295" spans="1:13">
      <c r="A295" s="198" t="s">
        <v>9942</v>
      </c>
      <c r="B295" s="198" t="s">
        <v>10085</v>
      </c>
      <c r="C295" s="198" t="s">
        <v>9944</v>
      </c>
      <c r="D295" s="247" t="s">
        <v>10086</v>
      </c>
      <c r="E295" s="198" t="s">
        <v>29</v>
      </c>
      <c r="F295" s="198" t="s">
        <v>21</v>
      </c>
      <c r="G295" s="198" t="s">
        <v>70</v>
      </c>
      <c r="H295" s="198" t="s">
        <v>26</v>
      </c>
      <c r="I295" s="198" t="s">
        <v>436</v>
      </c>
      <c r="J295" s="200" t="s">
        <v>1435</v>
      </c>
      <c r="K295" s="245">
        <v>150000</v>
      </c>
      <c r="L295" s="201" t="s">
        <v>2057</v>
      </c>
      <c r="M295" s="201" t="s">
        <v>14</v>
      </c>
    </row>
    <row r="296" spans="1:13">
      <c r="A296" s="198" t="s">
        <v>9942</v>
      </c>
      <c r="B296" s="198" t="s">
        <v>10087</v>
      </c>
      <c r="C296" s="198" t="s">
        <v>9944</v>
      </c>
      <c r="D296" s="247" t="s">
        <v>10086</v>
      </c>
      <c r="E296" s="198" t="s">
        <v>29</v>
      </c>
      <c r="F296" s="198" t="s">
        <v>21</v>
      </c>
      <c r="G296" s="198" t="s">
        <v>74</v>
      </c>
      <c r="H296" s="198" t="s">
        <v>26</v>
      </c>
      <c r="I296" s="198" t="s">
        <v>436</v>
      </c>
      <c r="J296" s="200" t="s">
        <v>1435</v>
      </c>
      <c r="K296" s="248">
        <v>150000</v>
      </c>
      <c r="L296" s="201" t="s">
        <v>2057</v>
      </c>
      <c r="M296" s="201" t="s">
        <v>14</v>
      </c>
    </row>
    <row r="297" spans="1:13">
      <c r="A297" s="198" t="s">
        <v>9942</v>
      </c>
      <c r="B297" s="198" t="s">
        <v>10088</v>
      </c>
      <c r="C297" s="198" t="s">
        <v>9944</v>
      </c>
      <c r="D297" s="247" t="s">
        <v>10086</v>
      </c>
      <c r="E297" s="198" t="s">
        <v>29</v>
      </c>
      <c r="F297" s="198" t="s">
        <v>21</v>
      </c>
      <c r="G297" s="198" t="s">
        <v>72</v>
      </c>
      <c r="H297" s="198" t="s">
        <v>26</v>
      </c>
      <c r="I297" s="198" t="s">
        <v>436</v>
      </c>
      <c r="J297" s="200" t="s">
        <v>1435</v>
      </c>
      <c r="K297" s="245">
        <v>150000</v>
      </c>
      <c r="L297" s="201" t="s">
        <v>2057</v>
      </c>
      <c r="M297" s="201" t="s">
        <v>14</v>
      </c>
    </row>
    <row r="298" spans="1:13">
      <c r="A298" s="198" t="s">
        <v>9942</v>
      </c>
      <c r="B298" s="198" t="s">
        <v>10089</v>
      </c>
      <c r="C298" s="198" t="s">
        <v>9944</v>
      </c>
      <c r="D298" s="247" t="s">
        <v>10086</v>
      </c>
      <c r="E298" s="198" t="s">
        <v>29</v>
      </c>
      <c r="F298" s="198" t="s">
        <v>21</v>
      </c>
      <c r="G298" s="198" t="s">
        <v>70</v>
      </c>
      <c r="H298" s="198" t="s">
        <v>42</v>
      </c>
      <c r="I298" s="198" t="s">
        <v>436</v>
      </c>
      <c r="J298" s="200" t="s">
        <v>1435</v>
      </c>
      <c r="K298" s="245">
        <v>190000</v>
      </c>
      <c r="L298" s="201" t="s">
        <v>2057</v>
      </c>
      <c r="M298" s="201" t="s">
        <v>14</v>
      </c>
    </row>
    <row r="299" spans="1:13">
      <c r="A299" s="198" t="s">
        <v>9942</v>
      </c>
      <c r="B299" s="198" t="s">
        <v>10090</v>
      </c>
      <c r="C299" s="198" t="s">
        <v>9944</v>
      </c>
      <c r="D299" s="247" t="s">
        <v>10091</v>
      </c>
      <c r="E299" s="198" t="s">
        <v>29</v>
      </c>
      <c r="F299" s="198" t="s">
        <v>21</v>
      </c>
      <c r="G299" s="198" t="s">
        <v>70</v>
      </c>
      <c r="H299" s="198" t="s">
        <v>26</v>
      </c>
      <c r="I299" s="198" t="s">
        <v>436</v>
      </c>
      <c r="J299" s="200" t="s">
        <v>1435</v>
      </c>
      <c r="K299" s="245">
        <v>150000</v>
      </c>
      <c r="L299" s="201" t="s">
        <v>2057</v>
      </c>
      <c r="M299" s="201" t="s">
        <v>14</v>
      </c>
    </row>
    <row r="300" spans="1:13">
      <c r="A300" s="198" t="s">
        <v>9942</v>
      </c>
      <c r="B300" s="198" t="s">
        <v>10092</v>
      </c>
      <c r="C300" s="198" t="s">
        <v>9944</v>
      </c>
      <c r="D300" s="247" t="s">
        <v>10091</v>
      </c>
      <c r="E300" s="198" t="s">
        <v>29</v>
      </c>
      <c r="F300" s="198" t="s">
        <v>21</v>
      </c>
      <c r="G300" s="198" t="s">
        <v>74</v>
      </c>
      <c r="H300" s="198" t="s">
        <v>26</v>
      </c>
      <c r="I300" s="198" t="s">
        <v>436</v>
      </c>
      <c r="J300" s="200" t="s">
        <v>1435</v>
      </c>
      <c r="K300" s="248">
        <v>150000</v>
      </c>
      <c r="L300" s="201" t="s">
        <v>2057</v>
      </c>
      <c r="M300" s="201" t="s">
        <v>14</v>
      </c>
    </row>
    <row r="301" spans="1:13">
      <c r="A301" s="198" t="s">
        <v>9942</v>
      </c>
      <c r="B301" s="198" t="s">
        <v>10093</v>
      </c>
      <c r="C301" s="198" t="s">
        <v>9944</v>
      </c>
      <c r="D301" s="247" t="s">
        <v>10091</v>
      </c>
      <c r="E301" s="198" t="s">
        <v>29</v>
      </c>
      <c r="F301" s="198" t="s">
        <v>21</v>
      </c>
      <c r="G301" s="198" t="s">
        <v>72</v>
      </c>
      <c r="H301" s="198" t="s">
        <v>26</v>
      </c>
      <c r="I301" s="198" t="s">
        <v>436</v>
      </c>
      <c r="J301" s="200" t="s">
        <v>1435</v>
      </c>
      <c r="K301" s="245">
        <v>150000</v>
      </c>
      <c r="L301" s="201" t="s">
        <v>2057</v>
      </c>
      <c r="M301" s="201" t="s">
        <v>14</v>
      </c>
    </row>
    <row r="302" spans="1:13">
      <c r="A302" s="198" t="s">
        <v>9942</v>
      </c>
      <c r="B302" s="198" t="s">
        <v>10094</v>
      </c>
      <c r="C302" s="198" t="s">
        <v>9944</v>
      </c>
      <c r="D302" s="247" t="s">
        <v>10095</v>
      </c>
      <c r="E302" s="198" t="s">
        <v>29</v>
      </c>
      <c r="F302" s="198" t="s">
        <v>21</v>
      </c>
      <c r="G302" s="198" t="s">
        <v>70</v>
      </c>
      <c r="H302" s="198" t="s">
        <v>26</v>
      </c>
      <c r="I302" s="198" t="s">
        <v>436</v>
      </c>
      <c r="J302" s="200" t="s">
        <v>1435</v>
      </c>
      <c r="K302" s="245">
        <v>150000</v>
      </c>
      <c r="L302" s="201" t="s">
        <v>2057</v>
      </c>
      <c r="M302" s="201" t="s">
        <v>14</v>
      </c>
    </row>
    <row r="303" spans="1:13">
      <c r="A303" s="198" t="s">
        <v>9942</v>
      </c>
      <c r="B303" s="198" t="s">
        <v>10096</v>
      </c>
      <c r="C303" s="198" t="s">
        <v>9944</v>
      </c>
      <c r="D303" s="247" t="s">
        <v>10095</v>
      </c>
      <c r="E303" s="198" t="s">
        <v>29</v>
      </c>
      <c r="F303" s="198" t="s">
        <v>21</v>
      </c>
      <c r="G303" s="198" t="s">
        <v>74</v>
      </c>
      <c r="H303" s="198" t="s">
        <v>26</v>
      </c>
      <c r="I303" s="198" t="s">
        <v>436</v>
      </c>
      <c r="J303" s="200" t="s">
        <v>1435</v>
      </c>
      <c r="K303" s="245">
        <v>150000</v>
      </c>
      <c r="L303" s="201" t="s">
        <v>2057</v>
      </c>
      <c r="M303" s="201" t="s">
        <v>14</v>
      </c>
    </row>
    <row r="304" spans="1:13">
      <c r="A304" s="198" t="s">
        <v>9942</v>
      </c>
      <c r="B304" s="198" t="s">
        <v>10097</v>
      </c>
      <c r="C304" s="198" t="s">
        <v>9944</v>
      </c>
      <c r="D304" s="247" t="s">
        <v>10095</v>
      </c>
      <c r="E304" s="198" t="s">
        <v>29</v>
      </c>
      <c r="F304" s="198" t="s">
        <v>21</v>
      </c>
      <c r="G304" s="198" t="s">
        <v>72</v>
      </c>
      <c r="H304" s="198" t="s">
        <v>26</v>
      </c>
      <c r="I304" s="198" t="s">
        <v>436</v>
      </c>
      <c r="J304" s="200" t="s">
        <v>1435</v>
      </c>
      <c r="K304" s="248">
        <v>150000</v>
      </c>
      <c r="L304" s="201" t="s">
        <v>2057</v>
      </c>
      <c r="M304" s="201" t="s">
        <v>14</v>
      </c>
    </row>
    <row r="305" spans="1:13">
      <c r="A305" s="198" t="s">
        <v>9942</v>
      </c>
      <c r="B305" s="198" t="s">
        <v>10098</v>
      </c>
      <c r="C305" s="198" t="s">
        <v>9944</v>
      </c>
      <c r="D305" s="247" t="s">
        <v>10091</v>
      </c>
      <c r="E305" s="198" t="s">
        <v>29</v>
      </c>
      <c r="F305" s="198" t="s">
        <v>21</v>
      </c>
      <c r="G305" s="198" t="s">
        <v>70</v>
      </c>
      <c r="H305" s="198" t="s">
        <v>42</v>
      </c>
      <c r="I305" s="198" t="s">
        <v>436</v>
      </c>
      <c r="J305" s="200" t="s">
        <v>1435</v>
      </c>
      <c r="K305" s="245">
        <v>190000</v>
      </c>
      <c r="L305" s="201" t="s">
        <v>2057</v>
      </c>
      <c r="M305" s="201" t="s">
        <v>14</v>
      </c>
    </row>
    <row r="306" spans="1:13">
      <c r="A306" s="198" t="s">
        <v>9942</v>
      </c>
      <c r="B306" s="198" t="s">
        <v>10099</v>
      </c>
      <c r="C306" s="198" t="s">
        <v>9944</v>
      </c>
      <c r="D306" s="247" t="s">
        <v>10100</v>
      </c>
      <c r="E306" s="198" t="s">
        <v>29</v>
      </c>
      <c r="F306" s="198" t="s">
        <v>21</v>
      </c>
      <c r="G306" s="198" t="s">
        <v>70</v>
      </c>
      <c r="H306" s="198" t="s">
        <v>26</v>
      </c>
      <c r="I306" s="198" t="s">
        <v>436</v>
      </c>
      <c r="J306" s="200" t="s">
        <v>1435</v>
      </c>
      <c r="K306" s="245">
        <v>150000</v>
      </c>
      <c r="L306" s="201" t="s">
        <v>2057</v>
      </c>
      <c r="M306" s="201" t="s">
        <v>14</v>
      </c>
    </row>
    <row r="307" spans="1:13">
      <c r="A307" s="198" t="s">
        <v>9942</v>
      </c>
      <c r="B307" s="198" t="s">
        <v>10101</v>
      </c>
      <c r="C307" s="198" t="s">
        <v>9944</v>
      </c>
      <c r="D307" s="247" t="s">
        <v>10100</v>
      </c>
      <c r="E307" s="198" t="s">
        <v>29</v>
      </c>
      <c r="F307" s="198" t="s">
        <v>21</v>
      </c>
      <c r="G307" s="198" t="s">
        <v>74</v>
      </c>
      <c r="H307" s="198" t="s">
        <v>26</v>
      </c>
      <c r="I307" s="198" t="s">
        <v>436</v>
      </c>
      <c r="J307" s="200" t="s">
        <v>1435</v>
      </c>
      <c r="K307" s="245">
        <v>150000</v>
      </c>
      <c r="L307" s="201" t="s">
        <v>2057</v>
      </c>
      <c r="M307" s="201" t="s">
        <v>14</v>
      </c>
    </row>
    <row r="308" spans="1:13">
      <c r="A308" s="198" t="s">
        <v>9942</v>
      </c>
      <c r="B308" s="198" t="s">
        <v>10102</v>
      </c>
      <c r="C308" s="198" t="s">
        <v>9944</v>
      </c>
      <c r="D308" s="247" t="s">
        <v>10100</v>
      </c>
      <c r="E308" s="198" t="s">
        <v>29</v>
      </c>
      <c r="F308" s="198" t="s">
        <v>21</v>
      </c>
      <c r="G308" s="198" t="s">
        <v>72</v>
      </c>
      <c r="H308" s="198" t="s">
        <v>26</v>
      </c>
      <c r="I308" s="198" t="s">
        <v>436</v>
      </c>
      <c r="J308" s="200" t="s">
        <v>1435</v>
      </c>
      <c r="K308" s="248">
        <v>150000</v>
      </c>
      <c r="L308" s="201" t="s">
        <v>2057</v>
      </c>
      <c r="M308" s="201" t="s">
        <v>14</v>
      </c>
    </row>
    <row r="309" spans="1:13">
      <c r="A309" s="198" t="s">
        <v>9942</v>
      </c>
      <c r="B309" s="198" t="s">
        <v>10103</v>
      </c>
      <c r="C309" s="198" t="s">
        <v>9944</v>
      </c>
      <c r="D309" s="247" t="s">
        <v>10100</v>
      </c>
      <c r="E309" s="198" t="s">
        <v>29</v>
      </c>
      <c r="F309" s="198" t="s">
        <v>21</v>
      </c>
      <c r="G309" s="198" t="s">
        <v>70</v>
      </c>
      <c r="H309" s="198" t="s">
        <v>42</v>
      </c>
      <c r="I309" s="198" t="s">
        <v>436</v>
      </c>
      <c r="J309" s="200" t="s">
        <v>1435</v>
      </c>
      <c r="K309" s="245">
        <v>190000</v>
      </c>
      <c r="L309" s="201" t="s">
        <v>2057</v>
      </c>
      <c r="M309" s="201" t="s">
        <v>14</v>
      </c>
    </row>
    <row r="310" spans="1:13">
      <c r="A310" s="198" t="s">
        <v>9942</v>
      </c>
      <c r="B310" s="198" t="s">
        <v>10104</v>
      </c>
      <c r="C310" s="198" t="s">
        <v>9944</v>
      </c>
      <c r="D310" s="247" t="s">
        <v>10056</v>
      </c>
      <c r="E310" s="198" t="s">
        <v>128</v>
      </c>
      <c r="F310" s="198" t="s">
        <v>21</v>
      </c>
      <c r="G310" s="198" t="s">
        <v>70</v>
      </c>
      <c r="H310" s="198" t="s">
        <v>42</v>
      </c>
      <c r="I310" s="198" t="s">
        <v>167</v>
      </c>
      <c r="J310" s="200" t="s">
        <v>1435</v>
      </c>
      <c r="K310" s="245">
        <v>20000000</v>
      </c>
      <c r="L310" s="201" t="s">
        <v>2057</v>
      </c>
      <c r="M310" s="201" t="s">
        <v>14</v>
      </c>
    </row>
    <row r="311" spans="1:13">
      <c r="A311" s="198" t="s">
        <v>9942</v>
      </c>
      <c r="B311" s="198" t="s">
        <v>10105</v>
      </c>
      <c r="C311" s="198" t="s">
        <v>9944</v>
      </c>
      <c r="D311" s="247" t="s">
        <v>10056</v>
      </c>
      <c r="E311" s="198" t="s">
        <v>128</v>
      </c>
      <c r="F311" s="198" t="s">
        <v>21</v>
      </c>
      <c r="G311" s="198" t="s">
        <v>74</v>
      </c>
      <c r="H311" s="198" t="s">
        <v>42</v>
      </c>
      <c r="I311" s="198" t="s">
        <v>167</v>
      </c>
      <c r="J311" s="200" t="s">
        <v>1435</v>
      </c>
      <c r="K311" s="245">
        <v>24000000</v>
      </c>
      <c r="L311" s="201" t="s">
        <v>2057</v>
      </c>
      <c r="M311" s="201" t="s">
        <v>14</v>
      </c>
    </row>
    <row r="312" spans="1:13">
      <c r="A312" s="198" t="s">
        <v>9942</v>
      </c>
      <c r="B312" s="198" t="s">
        <v>10106</v>
      </c>
      <c r="C312" s="198" t="s">
        <v>9944</v>
      </c>
      <c r="D312" s="247" t="s">
        <v>10061</v>
      </c>
      <c r="E312" s="198" t="s">
        <v>128</v>
      </c>
      <c r="F312" s="198" t="s">
        <v>21</v>
      </c>
      <c r="G312" s="198" t="s">
        <v>70</v>
      </c>
      <c r="H312" s="198" t="s">
        <v>42</v>
      </c>
      <c r="I312" s="198" t="s">
        <v>167</v>
      </c>
      <c r="J312" s="200" t="s">
        <v>1435</v>
      </c>
      <c r="K312" s="248">
        <v>20000000</v>
      </c>
      <c r="L312" s="201" t="s">
        <v>2057</v>
      </c>
      <c r="M312" s="201" t="s">
        <v>14</v>
      </c>
    </row>
    <row r="313" spans="1:13">
      <c r="A313" s="198" t="s">
        <v>9942</v>
      </c>
      <c r="B313" s="198" t="s">
        <v>10107</v>
      </c>
      <c r="C313" s="198" t="s">
        <v>9944</v>
      </c>
      <c r="D313" s="247" t="s">
        <v>10061</v>
      </c>
      <c r="E313" s="198" t="s">
        <v>128</v>
      </c>
      <c r="F313" s="198" t="s">
        <v>21</v>
      </c>
      <c r="G313" s="198" t="s">
        <v>74</v>
      </c>
      <c r="H313" s="198" t="s">
        <v>42</v>
      </c>
      <c r="I313" s="198" t="s">
        <v>167</v>
      </c>
      <c r="J313" s="200" t="s">
        <v>1435</v>
      </c>
      <c r="K313" s="245">
        <v>24000000</v>
      </c>
      <c r="L313" s="201" t="s">
        <v>2057</v>
      </c>
      <c r="M313" s="201" t="s">
        <v>14</v>
      </c>
    </row>
    <row r="314" spans="1:13">
      <c r="A314" s="198" t="s">
        <v>9942</v>
      </c>
      <c r="B314" s="198" t="s">
        <v>10108</v>
      </c>
      <c r="C314" s="198" t="s">
        <v>9944</v>
      </c>
      <c r="D314" s="247" t="s">
        <v>10066</v>
      </c>
      <c r="E314" s="198" t="s">
        <v>128</v>
      </c>
      <c r="F314" s="198" t="s">
        <v>21</v>
      </c>
      <c r="G314" s="198" t="s">
        <v>70</v>
      </c>
      <c r="H314" s="198" t="s">
        <v>42</v>
      </c>
      <c r="I314" s="198" t="s">
        <v>167</v>
      </c>
      <c r="J314" s="200" t="s">
        <v>1435</v>
      </c>
      <c r="K314" s="245">
        <v>20000000</v>
      </c>
      <c r="L314" s="201" t="s">
        <v>2057</v>
      </c>
      <c r="M314" s="201" t="s">
        <v>14</v>
      </c>
    </row>
    <row r="315" spans="1:13">
      <c r="A315" s="198" t="s">
        <v>9942</v>
      </c>
      <c r="B315" s="198" t="s">
        <v>10109</v>
      </c>
      <c r="C315" s="198" t="s">
        <v>9944</v>
      </c>
      <c r="D315" s="247" t="s">
        <v>10066</v>
      </c>
      <c r="E315" s="198" t="s">
        <v>128</v>
      </c>
      <c r="F315" s="198" t="s">
        <v>21</v>
      </c>
      <c r="G315" s="198" t="s">
        <v>74</v>
      </c>
      <c r="H315" s="198" t="s">
        <v>42</v>
      </c>
      <c r="I315" s="198" t="s">
        <v>167</v>
      </c>
      <c r="J315" s="200" t="s">
        <v>1435</v>
      </c>
      <c r="K315" s="245">
        <v>24000000</v>
      </c>
      <c r="L315" s="201" t="s">
        <v>2057</v>
      </c>
      <c r="M315" s="201" t="s">
        <v>14</v>
      </c>
    </row>
    <row r="316" spans="1:13">
      <c r="A316" s="198" t="s">
        <v>9942</v>
      </c>
      <c r="B316" s="198" t="s">
        <v>10110</v>
      </c>
      <c r="C316" s="198" t="s">
        <v>9944</v>
      </c>
      <c r="D316" s="247" t="s">
        <v>10071</v>
      </c>
      <c r="E316" s="198" t="s">
        <v>128</v>
      </c>
      <c r="F316" s="198" t="s">
        <v>21</v>
      </c>
      <c r="G316" s="198" t="s">
        <v>70</v>
      </c>
      <c r="H316" s="198" t="s">
        <v>42</v>
      </c>
      <c r="I316" s="198" t="s">
        <v>167</v>
      </c>
      <c r="J316" s="200" t="s">
        <v>1435</v>
      </c>
      <c r="K316" s="245">
        <v>20000000</v>
      </c>
      <c r="L316" s="201" t="s">
        <v>2057</v>
      </c>
      <c r="M316" s="201" t="s">
        <v>14</v>
      </c>
    </row>
    <row r="317" spans="1:13">
      <c r="A317" s="198" t="s">
        <v>9942</v>
      </c>
      <c r="B317" s="198" t="s">
        <v>10111</v>
      </c>
      <c r="C317" s="198" t="s">
        <v>9944</v>
      </c>
      <c r="D317" s="247" t="s">
        <v>10071</v>
      </c>
      <c r="E317" s="198" t="s">
        <v>128</v>
      </c>
      <c r="F317" s="198" t="s">
        <v>21</v>
      </c>
      <c r="G317" s="198" t="s">
        <v>74</v>
      </c>
      <c r="H317" s="198" t="s">
        <v>42</v>
      </c>
      <c r="I317" s="198" t="s">
        <v>167</v>
      </c>
      <c r="J317" s="200" t="s">
        <v>1435</v>
      </c>
      <c r="K317" s="245">
        <v>24000000</v>
      </c>
      <c r="L317" s="201" t="s">
        <v>2057</v>
      </c>
      <c r="M317" s="201" t="s">
        <v>14</v>
      </c>
    </row>
    <row r="318" spans="1:13">
      <c r="A318" s="198" t="s">
        <v>9942</v>
      </c>
      <c r="B318" s="198" t="s">
        <v>10112</v>
      </c>
      <c r="C318" s="198" t="s">
        <v>9944</v>
      </c>
      <c r="D318" s="247" t="s">
        <v>10076</v>
      </c>
      <c r="E318" s="198" t="s">
        <v>128</v>
      </c>
      <c r="F318" s="198" t="s">
        <v>21</v>
      </c>
      <c r="G318" s="198" t="s">
        <v>70</v>
      </c>
      <c r="H318" s="198" t="s">
        <v>42</v>
      </c>
      <c r="I318" s="198" t="s">
        <v>436</v>
      </c>
      <c r="J318" s="200" t="s">
        <v>1435</v>
      </c>
      <c r="K318" s="245">
        <v>20000000</v>
      </c>
      <c r="L318" s="201" t="s">
        <v>2057</v>
      </c>
      <c r="M318" s="201" t="s">
        <v>14</v>
      </c>
    </row>
    <row r="319" spans="1:13">
      <c r="A319" s="198" t="s">
        <v>9942</v>
      </c>
      <c r="B319" s="198" t="s">
        <v>10113</v>
      </c>
      <c r="C319" s="198" t="s">
        <v>9944</v>
      </c>
      <c r="D319" s="247" t="s">
        <v>10076</v>
      </c>
      <c r="E319" s="198" t="s">
        <v>128</v>
      </c>
      <c r="F319" s="198" t="s">
        <v>21</v>
      </c>
      <c r="G319" s="198" t="s">
        <v>74</v>
      </c>
      <c r="H319" s="198" t="s">
        <v>42</v>
      </c>
      <c r="I319" s="198" t="s">
        <v>436</v>
      </c>
      <c r="J319" s="200" t="s">
        <v>1435</v>
      </c>
      <c r="K319" s="248">
        <v>24000000</v>
      </c>
      <c r="L319" s="201" t="s">
        <v>2057</v>
      </c>
      <c r="M319" s="201" t="s">
        <v>14</v>
      </c>
    </row>
    <row r="320" spans="1:13">
      <c r="A320" s="198" t="s">
        <v>9942</v>
      </c>
      <c r="B320" s="198" t="s">
        <v>10114</v>
      </c>
      <c r="C320" s="198" t="s">
        <v>9944</v>
      </c>
      <c r="D320" s="247" t="s">
        <v>10081</v>
      </c>
      <c r="E320" s="198" t="s">
        <v>128</v>
      </c>
      <c r="F320" s="198" t="s">
        <v>21</v>
      </c>
      <c r="G320" s="198" t="s">
        <v>70</v>
      </c>
      <c r="H320" s="198" t="s">
        <v>42</v>
      </c>
      <c r="I320" s="198" t="s">
        <v>436</v>
      </c>
      <c r="J320" s="200" t="s">
        <v>1435</v>
      </c>
      <c r="K320" s="245">
        <v>20000000</v>
      </c>
      <c r="L320" s="201" t="s">
        <v>2057</v>
      </c>
      <c r="M320" s="201" t="s">
        <v>14</v>
      </c>
    </row>
    <row r="321" spans="1:13">
      <c r="A321" s="198" t="s">
        <v>9942</v>
      </c>
      <c r="B321" s="198" t="s">
        <v>10115</v>
      </c>
      <c r="C321" s="198" t="s">
        <v>9944</v>
      </c>
      <c r="D321" s="247" t="s">
        <v>10081</v>
      </c>
      <c r="E321" s="198" t="s">
        <v>128</v>
      </c>
      <c r="F321" s="198" t="s">
        <v>21</v>
      </c>
      <c r="G321" s="198" t="s">
        <v>74</v>
      </c>
      <c r="H321" s="198" t="s">
        <v>42</v>
      </c>
      <c r="I321" s="198" t="s">
        <v>436</v>
      </c>
      <c r="J321" s="200" t="s">
        <v>1435</v>
      </c>
      <c r="K321" s="245">
        <v>24000000</v>
      </c>
      <c r="L321" s="201" t="s">
        <v>2057</v>
      </c>
      <c r="M321" s="201" t="s">
        <v>14</v>
      </c>
    </row>
    <row r="322" spans="1:13">
      <c r="A322" s="198" t="s">
        <v>9942</v>
      </c>
      <c r="B322" s="198" t="s">
        <v>10116</v>
      </c>
      <c r="C322" s="198" t="s">
        <v>9944</v>
      </c>
      <c r="D322" s="247" t="s">
        <v>10086</v>
      </c>
      <c r="E322" s="198" t="s">
        <v>128</v>
      </c>
      <c r="F322" s="198" t="s">
        <v>21</v>
      </c>
      <c r="G322" s="198" t="s">
        <v>70</v>
      </c>
      <c r="H322" s="198" t="s">
        <v>42</v>
      </c>
      <c r="I322" s="198" t="s">
        <v>436</v>
      </c>
      <c r="J322" s="200" t="s">
        <v>1435</v>
      </c>
      <c r="K322" s="245">
        <v>20000000</v>
      </c>
      <c r="L322" s="201" t="s">
        <v>2057</v>
      </c>
      <c r="M322" s="201" t="s">
        <v>14</v>
      </c>
    </row>
    <row r="323" spans="1:13">
      <c r="A323" s="198" t="s">
        <v>9942</v>
      </c>
      <c r="B323" s="198" t="s">
        <v>10117</v>
      </c>
      <c r="C323" s="198" t="s">
        <v>9944</v>
      </c>
      <c r="D323" s="247" t="s">
        <v>10086</v>
      </c>
      <c r="E323" s="198" t="s">
        <v>128</v>
      </c>
      <c r="F323" s="198" t="s">
        <v>21</v>
      </c>
      <c r="G323" s="198" t="s">
        <v>74</v>
      </c>
      <c r="H323" s="198" t="s">
        <v>42</v>
      </c>
      <c r="I323" s="198" t="s">
        <v>436</v>
      </c>
      <c r="J323" s="200" t="s">
        <v>1435</v>
      </c>
      <c r="K323" s="248">
        <v>24000000</v>
      </c>
      <c r="L323" s="201" t="s">
        <v>2057</v>
      </c>
      <c r="M323" s="201" t="s">
        <v>14</v>
      </c>
    </row>
    <row r="324" spans="1:13">
      <c r="A324" s="198" t="s">
        <v>9942</v>
      </c>
      <c r="B324" s="198" t="s">
        <v>10118</v>
      </c>
      <c r="C324" s="198" t="s">
        <v>9944</v>
      </c>
      <c r="D324" s="247" t="s">
        <v>10091</v>
      </c>
      <c r="E324" s="198" t="s">
        <v>128</v>
      </c>
      <c r="F324" s="198" t="s">
        <v>21</v>
      </c>
      <c r="G324" s="198" t="s">
        <v>70</v>
      </c>
      <c r="H324" s="198" t="s">
        <v>42</v>
      </c>
      <c r="I324" s="198" t="s">
        <v>436</v>
      </c>
      <c r="J324" s="200" t="s">
        <v>1435</v>
      </c>
      <c r="K324" s="248">
        <v>20000000</v>
      </c>
      <c r="L324" s="201" t="s">
        <v>2057</v>
      </c>
      <c r="M324" s="201" t="s">
        <v>14</v>
      </c>
    </row>
    <row r="325" spans="1:13">
      <c r="A325" s="198" t="s">
        <v>9942</v>
      </c>
      <c r="B325" s="198" t="s">
        <v>10119</v>
      </c>
      <c r="C325" s="198" t="s">
        <v>9944</v>
      </c>
      <c r="D325" s="247" t="s">
        <v>10091</v>
      </c>
      <c r="E325" s="198" t="s">
        <v>128</v>
      </c>
      <c r="F325" s="198" t="s">
        <v>21</v>
      </c>
      <c r="G325" s="198" t="s">
        <v>74</v>
      </c>
      <c r="H325" s="198" t="s">
        <v>42</v>
      </c>
      <c r="I325" s="198" t="s">
        <v>436</v>
      </c>
      <c r="J325" s="200" t="s">
        <v>1435</v>
      </c>
      <c r="K325" s="248">
        <v>24000000</v>
      </c>
      <c r="L325" s="201" t="s">
        <v>2057</v>
      </c>
      <c r="M325" s="201" t="s">
        <v>14</v>
      </c>
    </row>
    <row r="326" spans="1:13">
      <c r="A326" s="198" t="s">
        <v>9942</v>
      </c>
      <c r="B326" s="198" t="s">
        <v>10120</v>
      </c>
      <c r="C326" s="198" t="s">
        <v>9944</v>
      </c>
      <c r="D326" s="247" t="s">
        <v>10100</v>
      </c>
      <c r="E326" s="198" t="s">
        <v>128</v>
      </c>
      <c r="F326" s="198" t="s">
        <v>21</v>
      </c>
      <c r="G326" s="198" t="s">
        <v>70</v>
      </c>
      <c r="H326" s="198" t="s">
        <v>42</v>
      </c>
      <c r="I326" s="198" t="s">
        <v>436</v>
      </c>
      <c r="J326" s="200" t="s">
        <v>1435</v>
      </c>
      <c r="K326" s="248">
        <v>20000000</v>
      </c>
      <c r="L326" s="201" t="s">
        <v>2057</v>
      </c>
      <c r="M326" s="201" t="s">
        <v>14</v>
      </c>
    </row>
    <row r="327" spans="1:13">
      <c r="A327" s="198" t="s">
        <v>9942</v>
      </c>
      <c r="B327" s="198" t="s">
        <v>10121</v>
      </c>
      <c r="C327" s="198" t="s">
        <v>9944</v>
      </c>
      <c r="D327" s="247" t="s">
        <v>10100</v>
      </c>
      <c r="E327" s="198" t="s">
        <v>128</v>
      </c>
      <c r="F327" s="198" t="s">
        <v>21</v>
      </c>
      <c r="G327" s="198" t="s">
        <v>74</v>
      </c>
      <c r="H327" s="198" t="s">
        <v>42</v>
      </c>
      <c r="I327" s="198" t="s">
        <v>436</v>
      </c>
      <c r="J327" s="200" t="s">
        <v>1435</v>
      </c>
      <c r="K327" s="248">
        <v>24000000</v>
      </c>
      <c r="L327" s="201" t="s">
        <v>2057</v>
      </c>
      <c r="M327" s="201" t="s">
        <v>14</v>
      </c>
    </row>
    <row r="328" spans="1:13">
      <c r="A328" s="198" t="s">
        <v>9942</v>
      </c>
      <c r="B328" s="198" t="s">
        <v>10122</v>
      </c>
      <c r="C328" s="198" t="s">
        <v>9944</v>
      </c>
      <c r="D328" s="247" t="s">
        <v>10123</v>
      </c>
      <c r="E328" s="198" t="s">
        <v>6660</v>
      </c>
      <c r="F328" s="198" t="s">
        <v>21</v>
      </c>
      <c r="G328" s="198" t="s">
        <v>70</v>
      </c>
      <c r="H328" s="198" t="s">
        <v>251</v>
      </c>
      <c r="I328" s="198" t="s">
        <v>251</v>
      </c>
      <c r="J328" s="200" t="s">
        <v>1435</v>
      </c>
      <c r="K328" s="250">
        <v>0.2</v>
      </c>
      <c r="L328" s="249" t="s">
        <v>173</v>
      </c>
      <c r="M328" s="201" t="s">
        <v>175</v>
      </c>
    </row>
    <row r="329" spans="1:13">
      <c r="A329" s="198" t="s">
        <v>9942</v>
      </c>
      <c r="B329" s="198" t="s">
        <v>10124</v>
      </c>
      <c r="C329" s="198" t="s">
        <v>9944</v>
      </c>
      <c r="D329" s="247" t="s">
        <v>10125</v>
      </c>
      <c r="E329" s="198" t="s">
        <v>6666</v>
      </c>
      <c r="F329" s="198" t="s">
        <v>21</v>
      </c>
      <c r="G329" s="198" t="s">
        <v>74</v>
      </c>
      <c r="H329" s="198" t="s">
        <v>251</v>
      </c>
      <c r="I329" s="198" t="s">
        <v>251</v>
      </c>
      <c r="J329" s="200" t="s">
        <v>1435</v>
      </c>
      <c r="K329" s="250">
        <v>0.2</v>
      </c>
      <c r="L329" s="249" t="s">
        <v>173</v>
      </c>
      <c r="M329" s="201" t="s">
        <v>175</v>
      </c>
    </row>
    <row r="330" spans="1:13">
      <c r="A330" s="198" t="s">
        <v>9942</v>
      </c>
      <c r="B330" s="198" t="s">
        <v>10126</v>
      </c>
      <c r="C330" s="198" t="s">
        <v>9944</v>
      </c>
      <c r="D330" s="247" t="s">
        <v>10127</v>
      </c>
      <c r="E330" s="198" t="s">
        <v>6666</v>
      </c>
      <c r="F330" s="198" t="s">
        <v>21</v>
      </c>
      <c r="G330" s="198" t="s">
        <v>72</v>
      </c>
      <c r="H330" s="198" t="s">
        <v>251</v>
      </c>
      <c r="I330" s="198" t="s">
        <v>251</v>
      </c>
      <c r="J330" s="200" t="s">
        <v>1435</v>
      </c>
      <c r="K330" s="250">
        <v>0.2</v>
      </c>
      <c r="L330" s="249" t="s">
        <v>173</v>
      </c>
      <c r="M330" s="201" t="s">
        <v>175</v>
      </c>
    </row>
    <row r="331" spans="1:13">
      <c r="A331" s="198" t="s">
        <v>9942</v>
      </c>
      <c r="B331" s="198" t="s">
        <v>10128</v>
      </c>
      <c r="C331" s="198" t="s">
        <v>9944</v>
      </c>
      <c r="D331" s="247" t="s">
        <v>10123</v>
      </c>
      <c r="E331" s="198" t="s">
        <v>6660</v>
      </c>
      <c r="F331" s="198" t="s">
        <v>21</v>
      </c>
      <c r="G331" s="198" t="s">
        <v>70</v>
      </c>
      <c r="H331" s="198" t="s">
        <v>251</v>
      </c>
      <c r="I331" s="198" t="s">
        <v>251</v>
      </c>
      <c r="J331" s="200" t="s">
        <v>1435</v>
      </c>
      <c r="K331" s="250">
        <v>0.2</v>
      </c>
      <c r="L331" s="249" t="s">
        <v>173</v>
      </c>
      <c r="M331" s="201" t="s">
        <v>175</v>
      </c>
    </row>
    <row r="332" spans="1:13">
      <c r="A332" s="198" t="s">
        <v>9942</v>
      </c>
      <c r="B332" s="198" t="s">
        <v>10129</v>
      </c>
      <c r="C332" s="198" t="s">
        <v>9944</v>
      </c>
      <c r="D332" s="247" t="s">
        <v>10125</v>
      </c>
      <c r="E332" s="198" t="s">
        <v>6666</v>
      </c>
      <c r="F332" s="198" t="s">
        <v>21</v>
      </c>
      <c r="G332" s="198" t="s">
        <v>74</v>
      </c>
      <c r="H332" s="198" t="s">
        <v>251</v>
      </c>
      <c r="I332" s="198" t="s">
        <v>251</v>
      </c>
      <c r="J332" s="200" t="s">
        <v>1435</v>
      </c>
      <c r="K332" s="250">
        <v>0.2</v>
      </c>
      <c r="L332" s="249" t="s">
        <v>173</v>
      </c>
      <c r="M332" s="201" t="s">
        <v>175</v>
      </c>
    </row>
    <row r="333" spans="1:13">
      <c r="A333" s="198" t="s">
        <v>9942</v>
      </c>
      <c r="B333" s="198" t="s">
        <v>10130</v>
      </c>
      <c r="C333" s="198" t="s">
        <v>9944</v>
      </c>
      <c r="D333" s="247" t="s">
        <v>10127</v>
      </c>
      <c r="E333" s="198" t="s">
        <v>6666</v>
      </c>
      <c r="F333" s="198" t="s">
        <v>21</v>
      </c>
      <c r="G333" s="198" t="s">
        <v>72</v>
      </c>
      <c r="H333" s="198" t="s">
        <v>251</v>
      </c>
      <c r="I333" s="198" t="s">
        <v>251</v>
      </c>
      <c r="J333" s="200" t="s">
        <v>1435</v>
      </c>
      <c r="K333" s="250">
        <v>0.2</v>
      </c>
      <c r="L333" s="249" t="s">
        <v>173</v>
      </c>
      <c r="M333" s="201" t="s">
        <v>175</v>
      </c>
    </row>
    <row r="334" spans="1:13">
      <c r="A334" s="198" t="s">
        <v>9942</v>
      </c>
      <c r="B334" s="198" t="s">
        <v>10131</v>
      </c>
      <c r="C334" s="198" t="s">
        <v>9944</v>
      </c>
      <c r="D334" s="247" t="s">
        <v>10123</v>
      </c>
      <c r="E334" s="198" t="s">
        <v>6660</v>
      </c>
      <c r="F334" s="198" t="s">
        <v>21</v>
      </c>
      <c r="G334" s="198" t="s">
        <v>70</v>
      </c>
      <c r="H334" s="198" t="s">
        <v>251</v>
      </c>
      <c r="I334" s="198" t="s">
        <v>251</v>
      </c>
      <c r="J334" s="200" t="s">
        <v>1435</v>
      </c>
      <c r="K334" s="250">
        <v>0.2</v>
      </c>
      <c r="L334" s="249" t="s">
        <v>173</v>
      </c>
      <c r="M334" s="201" t="s">
        <v>175</v>
      </c>
    </row>
    <row r="335" spans="1:13">
      <c r="A335" s="198" t="s">
        <v>9942</v>
      </c>
      <c r="B335" s="198" t="s">
        <v>10132</v>
      </c>
      <c r="C335" s="198" t="s">
        <v>9944</v>
      </c>
      <c r="D335" s="247" t="s">
        <v>10125</v>
      </c>
      <c r="E335" s="198" t="s">
        <v>6666</v>
      </c>
      <c r="F335" s="198" t="s">
        <v>21</v>
      </c>
      <c r="G335" s="198" t="s">
        <v>74</v>
      </c>
      <c r="H335" s="198" t="s">
        <v>251</v>
      </c>
      <c r="I335" s="198" t="s">
        <v>251</v>
      </c>
      <c r="J335" s="200" t="s">
        <v>1435</v>
      </c>
      <c r="K335" s="250">
        <v>0.2</v>
      </c>
      <c r="L335" s="249" t="s">
        <v>173</v>
      </c>
      <c r="M335" s="201" t="s">
        <v>175</v>
      </c>
    </row>
    <row r="336" spans="1:13">
      <c r="A336" s="198" t="s">
        <v>9942</v>
      </c>
      <c r="B336" s="198" t="s">
        <v>10133</v>
      </c>
      <c r="C336" s="198" t="s">
        <v>9944</v>
      </c>
      <c r="D336" s="247" t="s">
        <v>10127</v>
      </c>
      <c r="E336" s="198" t="s">
        <v>6666</v>
      </c>
      <c r="F336" s="198" t="s">
        <v>21</v>
      </c>
      <c r="G336" s="198" t="s">
        <v>72</v>
      </c>
      <c r="H336" s="198" t="s">
        <v>251</v>
      </c>
      <c r="I336" s="198" t="s">
        <v>251</v>
      </c>
      <c r="J336" s="200" t="s">
        <v>1435</v>
      </c>
      <c r="K336" s="250">
        <v>0.2</v>
      </c>
      <c r="L336" s="249" t="s">
        <v>173</v>
      </c>
      <c r="M336" s="201" t="s">
        <v>175</v>
      </c>
    </row>
  </sheetData>
  <mergeCells count="1">
    <mergeCell ref="A1:M1"/>
  </mergeCells>
  <conditionalFormatting sqref="B3:B176">
    <cfRule type="duplicateValues" dxfId="4" priority="2"/>
  </conditionalFormatting>
  <conditionalFormatting sqref="B177:B336">
    <cfRule type="duplicateValues" dxfId="3" priority="1"/>
  </conditionalFormatting>
  <dataValidations count="1">
    <dataValidation type="list" allowBlank="1" showInputMessage="1" showErrorMessage="1" sqref="L177:L209 L211 L213 L215:L248 L253:L257 L262:L266 L271:L327">
      <formula1>"Sí,No"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0"/>
  <sheetViews>
    <sheetView topLeftCell="A132" workbookViewId="0">
      <selection activeCell="A135" sqref="A135"/>
    </sheetView>
  </sheetViews>
  <sheetFormatPr baseColWidth="10" defaultColWidth="11.54296875" defaultRowHeight="14.5"/>
  <cols>
    <col min="1" max="1" width="14.453125" style="8" bestFit="1" customWidth="1"/>
    <col min="2" max="2" width="17.90625" style="8" customWidth="1"/>
    <col min="3" max="3" width="22.36328125" style="8" bestFit="1" customWidth="1"/>
    <col min="4" max="4" width="42.36328125" style="8" customWidth="1"/>
    <col min="5" max="5" width="17.36328125" style="8" bestFit="1" customWidth="1"/>
    <col min="6" max="6" width="9" style="8" bestFit="1" customWidth="1"/>
    <col min="7" max="7" width="12.08984375" style="8" bestFit="1" customWidth="1"/>
    <col min="8" max="8" width="10" style="8" bestFit="1" customWidth="1"/>
    <col min="9" max="9" width="5.90625" style="8" bestFit="1" customWidth="1"/>
    <col min="10" max="10" width="17.54296875" style="8" bestFit="1" customWidth="1"/>
    <col min="11" max="11" width="16.453125" style="8" customWidth="1"/>
    <col min="12" max="12" width="16.6328125" style="8" bestFit="1" customWidth="1"/>
    <col min="13" max="13" width="8.36328125" style="8" bestFit="1" customWidth="1"/>
    <col min="14" max="16384" width="11.54296875" style="8"/>
  </cols>
  <sheetData>
    <row r="1" spans="1:13">
      <c r="A1" s="3" t="s">
        <v>1445</v>
      </c>
      <c r="B1" s="3" t="s">
        <v>1430</v>
      </c>
      <c r="C1" s="3" t="s">
        <v>1446</v>
      </c>
      <c r="D1" s="3" t="s">
        <v>4</v>
      </c>
      <c r="E1" s="3" t="s">
        <v>5</v>
      </c>
      <c r="F1" s="3" t="s">
        <v>6</v>
      </c>
      <c r="G1" s="3" t="s">
        <v>7</v>
      </c>
      <c r="H1" s="3" t="s">
        <v>8</v>
      </c>
      <c r="I1" s="3" t="s">
        <v>9</v>
      </c>
      <c r="J1" s="3" t="s">
        <v>1434</v>
      </c>
      <c r="K1" s="3" t="s">
        <v>1432</v>
      </c>
      <c r="L1" s="3" t="s">
        <v>1433</v>
      </c>
      <c r="M1" s="3" t="s">
        <v>3</v>
      </c>
    </row>
    <row r="2" spans="1:13" ht="29">
      <c r="A2" s="258" t="s">
        <v>920</v>
      </c>
      <c r="B2" s="259" t="s">
        <v>921</v>
      </c>
      <c r="C2" s="259" t="s">
        <v>1065</v>
      </c>
      <c r="D2" s="260" t="s">
        <v>10256</v>
      </c>
      <c r="E2" s="261" t="s">
        <v>1095</v>
      </c>
      <c r="F2" s="261" t="s">
        <v>1096</v>
      </c>
      <c r="G2" s="262" t="s">
        <v>17</v>
      </c>
      <c r="H2" s="263" t="s">
        <v>177</v>
      </c>
      <c r="I2" s="262" t="s">
        <v>176</v>
      </c>
      <c r="J2" s="263" t="s">
        <v>1099</v>
      </c>
      <c r="K2" s="264">
        <v>1500000</v>
      </c>
      <c r="L2" s="265" t="s">
        <v>2057</v>
      </c>
      <c r="M2" s="266" t="s">
        <v>14</v>
      </c>
    </row>
    <row r="3" spans="1:13" ht="29">
      <c r="A3" s="258" t="s">
        <v>920</v>
      </c>
      <c r="B3" s="259" t="s">
        <v>922</v>
      </c>
      <c r="C3" s="259" t="s">
        <v>1065</v>
      </c>
      <c r="D3" s="260" t="s">
        <v>1066</v>
      </c>
      <c r="E3" s="261" t="s">
        <v>25</v>
      </c>
      <c r="F3" s="261" t="s">
        <v>1097</v>
      </c>
      <c r="G3" s="262" t="s">
        <v>17</v>
      </c>
      <c r="H3" s="263" t="s">
        <v>177</v>
      </c>
      <c r="I3" s="262" t="s">
        <v>176</v>
      </c>
      <c r="J3" s="263" t="s">
        <v>76</v>
      </c>
      <c r="K3" s="264">
        <v>300000</v>
      </c>
      <c r="L3" s="265" t="s">
        <v>2057</v>
      </c>
      <c r="M3" s="266" t="s">
        <v>14</v>
      </c>
    </row>
    <row r="4" spans="1:13" ht="43.5">
      <c r="A4" s="258" t="s">
        <v>920</v>
      </c>
      <c r="B4" s="259" t="s">
        <v>923</v>
      </c>
      <c r="C4" s="259" t="s">
        <v>1065</v>
      </c>
      <c r="D4" s="260" t="s">
        <v>10257</v>
      </c>
      <c r="E4" s="261" t="s">
        <v>1095</v>
      </c>
      <c r="F4" s="261" t="s">
        <v>1096</v>
      </c>
      <c r="G4" s="262" t="s">
        <v>17</v>
      </c>
      <c r="H4" s="263" t="s">
        <v>177</v>
      </c>
      <c r="I4" s="262" t="s">
        <v>176</v>
      </c>
      <c r="J4" s="263" t="s">
        <v>1099</v>
      </c>
      <c r="K4" s="264">
        <v>1723750</v>
      </c>
      <c r="L4" s="265" t="s">
        <v>2057</v>
      </c>
      <c r="M4" s="266" t="s">
        <v>14</v>
      </c>
    </row>
    <row r="5" spans="1:13" ht="29">
      <c r="A5" s="258" t="s">
        <v>920</v>
      </c>
      <c r="B5" s="259" t="s">
        <v>924</v>
      </c>
      <c r="C5" s="259" t="s">
        <v>1065</v>
      </c>
      <c r="D5" s="260" t="s">
        <v>1067</v>
      </c>
      <c r="E5" s="261" t="s">
        <v>1095</v>
      </c>
      <c r="F5" s="261" t="s">
        <v>1097</v>
      </c>
      <c r="G5" s="262" t="s">
        <v>17</v>
      </c>
      <c r="H5" s="263" t="s">
        <v>177</v>
      </c>
      <c r="I5" s="262" t="s">
        <v>176</v>
      </c>
      <c r="J5" s="263" t="s">
        <v>76</v>
      </c>
      <c r="K5" s="264">
        <v>344750</v>
      </c>
      <c r="L5" s="265" t="s">
        <v>2057</v>
      </c>
      <c r="M5" s="266" t="s">
        <v>14</v>
      </c>
    </row>
    <row r="6" spans="1:13" ht="43.5">
      <c r="A6" s="258" t="s">
        <v>920</v>
      </c>
      <c r="B6" s="259" t="s">
        <v>925</v>
      </c>
      <c r="C6" s="259" t="s">
        <v>1065</v>
      </c>
      <c r="D6" s="260" t="s">
        <v>10258</v>
      </c>
      <c r="E6" s="261" t="s">
        <v>1095</v>
      </c>
      <c r="F6" s="261" t="s">
        <v>1096</v>
      </c>
      <c r="G6" s="262" t="s">
        <v>17</v>
      </c>
      <c r="H6" s="263" t="s">
        <v>177</v>
      </c>
      <c r="I6" s="262" t="s">
        <v>176</v>
      </c>
      <c r="J6" s="263" t="s">
        <v>1099</v>
      </c>
      <c r="K6" s="264">
        <v>1948750</v>
      </c>
      <c r="L6" s="265" t="s">
        <v>2057</v>
      </c>
      <c r="M6" s="266" t="s">
        <v>14</v>
      </c>
    </row>
    <row r="7" spans="1:13" ht="29">
      <c r="A7" s="258" t="s">
        <v>920</v>
      </c>
      <c r="B7" s="259" t="s">
        <v>926</v>
      </c>
      <c r="C7" s="259" t="s">
        <v>1065</v>
      </c>
      <c r="D7" s="260" t="s">
        <v>1068</v>
      </c>
      <c r="E7" s="261" t="s">
        <v>1095</v>
      </c>
      <c r="F7" s="261" t="s">
        <v>1097</v>
      </c>
      <c r="G7" s="262" t="s">
        <v>17</v>
      </c>
      <c r="H7" s="263" t="s">
        <v>177</v>
      </c>
      <c r="I7" s="262" t="s">
        <v>176</v>
      </c>
      <c r="J7" s="263" t="s">
        <v>76</v>
      </c>
      <c r="K7" s="264">
        <v>389750</v>
      </c>
      <c r="L7" s="265" t="s">
        <v>2057</v>
      </c>
      <c r="M7" s="266" t="s">
        <v>14</v>
      </c>
    </row>
    <row r="8" spans="1:13" ht="43.5">
      <c r="A8" s="258" t="s">
        <v>920</v>
      </c>
      <c r="B8" s="259" t="s">
        <v>927</v>
      </c>
      <c r="C8" s="259" t="s">
        <v>1065</v>
      </c>
      <c r="D8" s="260" t="s">
        <v>10259</v>
      </c>
      <c r="E8" s="261" t="s">
        <v>1095</v>
      </c>
      <c r="F8" s="261" t="s">
        <v>1096</v>
      </c>
      <c r="G8" s="262" t="s">
        <v>17</v>
      </c>
      <c r="H8" s="263" t="s">
        <v>177</v>
      </c>
      <c r="I8" s="262" t="s">
        <v>176</v>
      </c>
      <c r="J8" s="263" t="s">
        <v>1099</v>
      </c>
      <c r="K8" s="264">
        <v>2173750</v>
      </c>
      <c r="L8" s="265" t="s">
        <v>2057</v>
      </c>
      <c r="M8" s="266" t="s">
        <v>14</v>
      </c>
    </row>
    <row r="9" spans="1:13" ht="29">
      <c r="A9" s="258" t="s">
        <v>920</v>
      </c>
      <c r="B9" s="259" t="s">
        <v>928</v>
      </c>
      <c r="C9" s="259" t="s">
        <v>1065</v>
      </c>
      <c r="D9" s="260" t="s">
        <v>1069</v>
      </c>
      <c r="E9" s="261" t="s">
        <v>1095</v>
      </c>
      <c r="F9" s="261" t="s">
        <v>1097</v>
      </c>
      <c r="G9" s="262" t="s">
        <v>17</v>
      </c>
      <c r="H9" s="263" t="s">
        <v>177</v>
      </c>
      <c r="I9" s="262" t="s">
        <v>176</v>
      </c>
      <c r="J9" s="263" t="s">
        <v>76</v>
      </c>
      <c r="K9" s="264">
        <v>434750</v>
      </c>
      <c r="L9" s="265" t="s">
        <v>2057</v>
      </c>
      <c r="M9" s="266" t="s">
        <v>14</v>
      </c>
    </row>
    <row r="10" spans="1:13" ht="29">
      <c r="A10" s="258" t="s">
        <v>920</v>
      </c>
      <c r="B10" s="259" t="s">
        <v>929</v>
      </c>
      <c r="C10" s="259" t="s">
        <v>1065</v>
      </c>
      <c r="D10" s="260" t="s">
        <v>1070</v>
      </c>
      <c r="E10" s="261" t="s">
        <v>168</v>
      </c>
      <c r="F10" s="261" t="s">
        <v>1096</v>
      </c>
      <c r="G10" s="262" t="s">
        <v>17</v>
      </c>
      <c r="H10" s="263" t="s">
        <v>177</v>
      </c>
      <c r="I10" s="262" t="s">
        <v>176</v>
      </c>
      <c r="J10" s="263" t="s">
        <v>1099</v>
      </c>
      <c r="K10" s="264">
        <v>625000000</v>
      </c>
      <c r="L10" s="265" t="s">
        <v>2057</v>
      </c>
      <c r="M10" s="266" t="s">
        <v>14</v>
      </c>
    </row>
    <row r="11" spans="1:13">
      <c r="A11" s="258" t="s">
        <v>920</v>
      </c>
      <c r="B11" s="259" t="s">
        <v>930</v>
      </c>
      <c r="C11" s="259" t="s">
        <v>1065</v>
      </c>
      <c r="D11" s="260" t="s">
        <v>1071</v>
      </c>
      <c r="E11" s="261" t="s">
        <v>168</v>
      </c>
      <c r="F11" s="261" t="s">
        <v>1097</v>
      </c>
      <c r="G11" s="262" t="s">
        <v>17</v>
      </c>
      <c r="H11" s="263" t="s">
        <v>177</v>
      </c>
      <c r="I11" s="262" t="s">
        <v>176</v>
      </c>
      <c r="J11" s="263" t="s">
        <v>76</v>
      </c>
      <c r="K11" s="264">
        <v>125000000</v>
      </c>
      <c r="L11" s="265" t="s">
        <v>2057</v>
      </c>
      <c r="M11" s="266" t="s">
        <v>14</v>
      </c>
    </row>
    <row r="12" spans="1:13" ht="29">
      <c r="A12" s="258" t="s">
        <v>920</v>
      </c>
      <c r="B12" s="259" t="s">
        <v>931</v>
      </c>
      <c r="C12" s="259" t="s">
        <v>1065</v>
      </c>
      <c r="D12" s="260" t="s">
        <v>1072</v>
      </c>
      <c r="E12" s="261" t="s">
        <v>168</v>
      </c>
      <c r="F12" s="261" t="s">
        <v>1096</v>
      </c>
      <c r="G12" s="262" t="s">
        <v>17</v>
      </c>
      <c r="H12" s="263" t="s">
        <v>177</v>
      </c>
      <c r="I12" s="262" t="s">
        <v>176</v>
      </c>
      <c r="J12" s="263" t="s">
        <v>1099</v>
      </c>
      <c r="K12" s="264">
        <v>718750000</v>
      </c>
      <c r="L12" s="265" t="s">
        <v>2057</v>
      </c>
      <c r="M12" s="266" t="s">
        <v>14</v>
      </c>
    </row>
    <row r="13" spans="1:13" ht="29">
      <c r="A13" s="258" t="s">
        <v>920</v>
      </c>
      <c r="B13" s="259" t="s">
        <v>932</v>
      </c>
      <c r="C13" s="259" t="s">
        <v>1065</v>
      </c>
      <c r="D13" s="260" t="s">
        <v>1073</v>
      </c>
      <c r="E13" s="261" t="s">
        <v>168</v>
      </c>
      <c r="F13" s="261" t="s">
        <v>1097</v>
      </c>
      <c r="G13" s="262" t="s">
        <v>17</v>
      </c>
      <c r="H13" s="263" t="s">
        <v>177</v>
      </c>
      <c r="I13" s="262" t="s">
        <v>176</v>
      </c>
      <c r="J13" s="263" t="s">
        <v>76</v>
      </c>
      <c r="K13" s="264">
        <v>143750000</v>
      </c>
      <c r="L13" s="265" t="s">
        <v>2057</v>
      </c>
      <c r="M13" s="266" t="s">
        <v>14</v>
      </c>
    </row>
    <row r="14" spans="1:13" ht="43.5">
      <c r="A14" s="258" t="s">
        <v>920</v>
      </c>
      <c r="B14" s="259" t="s">
        <v>933</v>
      </c>
      <c r="C14" s="259" t="s">
        <v>1065</v>
      </c>
      <c r="D14" s="260" t="s">
        <v>1074</v>
      </c>
      <c r="E14" s="261" t="s">
        <v>168</v>
      </c>
      <c r="F14" s="261" t="s">
        <v>1096</v>
      </c>
      <c r="G14" s="262" t="s">
        <v>17</v>
      </c>
      <c r="H14" s="263" t="s">
        <v>177</v>
      </c>
      <c r="I14" s="262" t="s">
        <v>176</v>
      </c>
      <c r="J14" s="263" t="s">
        <v>1099</v>
      </c>
      <c r="K14" s="264">
        <v>812500000</v>
      </c>
      <c r="L14" s="265" t="s">
        <v>2057</v>
      </c>
      <c r="M14" s="266" t="s">
        <v>14</v>
      </c>
    </row>
    <row r="15" spans="1:13" ht="29">
      <c r="A15" s="258" t="s">
        <v>920</v>
      </c>
      <c r="B15" s="259" t="s">
        <v>934</v>
      </c>
      <c r="C15" s="259" t="s">
        <v>1065</v>
      </c>
      <c r="D15" s="260" t="s">
        <v>1075</v>
      </c>
      <c r="E15" s="261" t="s">
        <v>168</v>
      </c>
      <c r="F15" s="261" t="s">
        <v>1097</v>
      </c>
      <c r="G15" s="262" t="s">
        <v>17</v>
      </c>
      <c r="H15" s="263" t="s">
        <v>177</v>
      </c>
      <c r="I15" s="262" t="s">
        <v>176</v>
      </c>
      <c r="J15" s="263" t="s">
        <v>76</v>
      </c>
      <c r="K15" s="264">
        <v>162500000</v>
      </c>
      <c r="L15" s="265" t="s">
        <v>2057</v>
      </c>
      <c r="M15" s="266" t="s">
        <v>14</v>
      </c>
    </row>
    <row r="16" spans="1:13" ht="43.5">
      <c r="A16" s="258" t="s">
        <v>920</v>
      </c>
      <c r="B16" s="259" t="s">
        <v>935</v>
      </c>
      <c r="C16" s="259" t="s">
        <v>1065</v>
      </c>
      <c r="D16" s="260" t="s">
        <v>1076</v>
      </c>
      <c r="E16" s="261" t="s">
        <v>168</v>
      </c>
      <c r="F16" s="261" t="s">
        <v>1096</v>
      </c>
      <c r="G16" s="262" t="s">
        <v>17</v>
      </c>
      <c r="H16" s="263" t="s">
        <v>177</v>
      </c>
      <c r="I16" s="262" t="s">
        <v>176</v>
      </c>
      <c r="J16" s="263" t="s">
        <v>1099</v>
      </c>
      <c r="K16" s="264">
        <v>906250000</v>
      </c>
      <c r="L16" s="265" t="s">
        <v>2057</v>
      </c>
      <c r="M16" s="266" t="s">
        <v>14</v>
      </c>
    </row>
    <row r="17" spans="1:13" ht="29">
      <c r="A17" s="258" t="s">
        <v>920</v>
      </c>
      <c r="B17" s="259" t="s">
        <v>936</v>
      </c>
      <c r="C17" s="259" t="s">
        <v>1065</v>
      </c>
      <c r="D17" s="260" t="s">
        <v>1077</v>
      </c>
      <c r="E17" s="261" t="s">
        <v>168</v>
      </c>
      <c r="F17" s="261" t="s">
        <v>1097</v>
      </c>
      <c r="G17" s="262" t="s">
        <v>17</v>
      </c>
      <c r="H17" s="263" t="s">
        <v>177</v>
      </c>
      <c r="I17" s="262" t="s">
        <v>176</v>
      </c>
      <c r="J17" s="263" t="s">
        <v>76</v>
      </c>
      <c r="K17" s="264">
        <v>181250000</v>
      </c>
      <c r="L17" s="265" t="s">
        <v>2057</v>
      </c>
      <c r="M17" s="266" t="s">
        <v>14</v>
      </c>
    </row>
    <row r="18" spans="1:13" ht="43.5">
      <c r="A18" s="258" t="s">
        <v>920</v>
      </c>
      <c r="B18" s="259" t="s">
        <v>937</v>
      </c>
      <c r="C18" s="259" t="s">
        <v>1065</v>
      </c>
      <c r="D18" s="260" t="s">
        <v>10260</v>
      </c>
      <c r="E18" s="261" t="s">
        <v>1095</v>
      </c>
      <c r="F18" s="261" t="s">
        <v>1098</v>
      </c>
      <c r="G18" s="262" t="s">
        <v>17</v>
      </c>
      <c r="H18" s="263" t="s">
        <v>177</v>
      </c>
      <c r="I18" s="262" t="s">
        <v>176</v>
      </c>
      <c r="J18" s="263" t="s">
        <v>76</v>
      </c>
      <c r="K18" s="264">
        <v>675000</v>
      </c>
      <c r="L18" s="265" t="s">
        <v>173</v>
      </c>
      <c r="M18" s="266" t="s">
        <v>14</v>
      </c>
    </row>
    <row r="19" spans="1:13" ht="43.5">
      <c r="A19" s="258" t="s">
        <v>920</v>
      </c>
      <c r="B19" s="259" t="s">
        <v>938</v>
      </c>
      <c r="C19" s="259" t="s">
        <v>1065</v>
      </c>
      <c r="D19" s="260" t="s">
        <v>10261</v>
      </c>
      <c r="E19" s="261" t="s">
        <v>25</v>
      </c>
      <c r="F19" s="261" t="s">
        <v>1098</v>
      </c>
      <c r="G19" s="262" t="s">
        <v>17</v>
      </c>
      <c r="H19" s="263" t="s">
        <v>177</v>
      </c>
      <c r="I19" s="262" t="s">
        <v>176</v>
      </c>
      <c r="J19" s="263" t="s">
        <v>64</v>
      </c>
      <c r="K19" s="264">
        <v>62500</v>
      </c>
      <c r="L19" s="265" t="s">
        <v>173</v>
      </c>
      <c r="M19" s="266" t="s">
        <v>14</v>
      </c>
    </row>
    <row r="20" spans="1:13" ht="43.5">
      <c r="A20" s="258" t="s">
        <v>920</v>
      </c>
      <c r="B20" s="259" t="s">
        <v>939</v>
      </c>
      <c r="C20" s="259" t="s">
        <v>1065</v>
      </c>
      <c r="D20" s="260" t="s">
        <v>10262</v>
      </c>
      <c r="E20" s="261" t="s">
        <v>25</v>
      </c>
      <c r="F20" s="261" t="s">
        <v>1098</v>
      </c>
      <c r="G20" s="262" t="s">
        <v>17</v>
      </c>
      <c r="H20" s="263" t="s">
        <v>177</v>
      </c>
      <c r="I20" s="262" t="s">
        <v>176</v>
      </c>
      <c r="J20" s="263" t="s">
        <v>76</v>
      </c>
      <c r="K20" s="264">
        <v>783000</v>
      </c>
      <c r="L20" s="265" t="s">
        <v>173</v>
      </c>
      <c r="M20" s="266" t="s">
        <v>14</v>
      </c>
    </row>
    <row r="21" spans="1:13" ht="43.5">
      <c r="A21" s="258" t="s">
        <v>920</v>
      </c>
      <c r="B21" s="259" t="s">
        <v>940</v>
      </c>
      <c r="C21" s="259" t="s">
        <v>1065</v>
      </c>
      <c r="D21" s="260" t="s">
        <v>10263</v>
      </c>
      <c r="E21" s="261" t="s">
        <v>25</v>
      </c>
      <c r="F21" s="261" t="s">
        <v>1098</v>
      </c>
      <c r="G21" s="262" t="s">
        <v>17</v>
      </c>
      <c r="H21" s="263" t="s">
        <v>177</v>
      </c>
      <c r="I21" s="262" t="s">
        <v>176</v>
      </c>
      <c r="J21" s="263" t="s">
        <v>64</v>
      </c>
      <c r="K21" s="264">
        <v>72500</v>
      </c>
      <c r="L21" s="265" t="s">
        <v>173</v>
      </c>
      <c r="M21" s="266" t="s">
        <v>14</v>
      </c>
    </row>
    <row r="22" spans="1:13" ht="43.5">
      <c r="A22" s="258" t="s">
        <v>920</v>
      </c>
      <c r="B22" s="259" t="s">
        <v>941</v>
      </c>
      <c r="C22" s="259" t="s">
        <v>1065</v>
      </c>
      <c r="D22" s="260" t="s">
        <v>10264</v>
      </c>
      <c r="E22" s="261" t="s">
        <v>25</v>
      </c>
      <c r="F22" s="261" t="s">
        <v>1098</v>
      </c>
      <c r="G22" s="262" t="s">
        <v>17</v>
      </c>
      <c r="H22" s="263" t="s">
        <v>177</v>
      </c>
      <c r="I22" s="262" t="s">
        <v>176</v>
      </c>
      <c r="J22" s="263" t="s">
        <v>76</v>
      </c>
      <c r="K22" s="264">
        <v>877500</v>
      </c>
      <c r="L22" s="265" t="s">
        <v>173</v>
      </c>
      <c r="M22" s="266" t="s">
        <v>14</v>
      </c>
    </row>
    <row r="23" spans="1:13" ht="58">
      <c r="A23" s="258" t="s">
        <v>920</v>
      </c>
      <c r="B23" s="259" t="s">
        <v>942</v>
      </c>
      <c r="C23" s="259" t="s">
        <v>1065</v>
      </c>
      <c r="D23" s="260" t="s">
        <v>10265</v>
      </c>
      <c r="E23" s="261" t="s">
        <v>25</v>
      </c>
      <c r="F23" s="261" t="s">
        <v>1098</v>
      </c>
      <c r="G23" s="262" t="s">
        <v>17</v>
      </c>
      <c r="H23" s="263" t="s">
        <v>177</v>
      </c>
      <c r="I23" s="262" t="s">
        <v>176</v>
      </c>
      <c r="J23" s="263" t="s">
        <v>64</v>
      </c>
      <c r="K23" s="264">
        <v>81250</v>
      </c>
      <c r="L23" s="265" t="s">
        <v>173</v>
      </c>
      <c r="M23" s="266" t="s">
        <v>14</v>
      </c>
    </row>
    <row r="24" spans="1:13" ht="58">
      <c r="A24" s="258" t="s">
        <v>920</v>
      </c>
      <c r="B24" s="259" t="s">
        <v>943</v>
      </c>
      <c r="C24" s="259" t="s">
        <v>1065</v>
      </c>
      <c r="D24" s="260" t="s">
        <v>10266</v>
      </c>
      <c r="E24" s="261" t="s">
        <v>25</v>
      </c>
      <c r="F24" s="261" t="s">
        <v>1098</v>
      </c>
      <c r="G24" s="262" t="s">
        <v>17</v>
      </c>
      <c r="H24" s="263" t="s">
        <v>177</v>
      </c>
      <c r="I24" s="262" t="s">
        <v>176</v>
      </c>
      <c r="J24" s="263" t="s">
        <v>76</v>
      </c>
      <c r="K24" s="264">
        <v>985500</v>
      </c>
      <c r="L24" s="265" t="s">
        <v>173</v>
      </c>
      <c r="M24" s="266" t="s">
        <v>14</v>
      </c>
    </row>
    <row r="25" spans="1:13" ht="58">
      <c r="A25" s="258" t="s">
        <v>920</v>
      </c>
      <c r="B25" s="259" t="s">
        <v>944</v>
      </c>
      <c r="C25" s="259" t="s">
        <v>1065</v>
      </c>
      <c r="D25" s="260" t="s">
        <v>10267</v>
      </c>
      <c r="E25" s="261" t="s">
        <v>25</v>
      </c>
      <c r="F25" s="261" t="s">
        <v>1098</v>
      </c>
      <c r="G25" s="262" t="s">
        <v>17</v>
      </c>
      <c r="H25" s="263" t="s">
        <v>177</v>
      </c>
      <c r="I25" s="262" t="s">
        <v>176</v>
      </c>
      <c r="J25" s="263" t="s">
        <v>64</v>
      </c>
      <c r="K25" s="264">
        <v>91250</v>
      </c>
      <c r="L25" s="265" t="s">
        <v>173</v>
      </c>
      <c r="M25" s="266" t="s">
        <v>14</v>
      </c>
    </row>
    <row r="26" spans="1:13" ht="43.5">
      <c r="A26" s="258" t="s">
        <v>920</v>
      </c>
      <c r="B26" s="259" t="s">
        <v>945</v>
      </c>
      <c r="C26" s="259" t="s">
        <v>1065</v>
      </c>
      <c r="D26" s="260" t="s">
        <v>10268</v>
      </c>
      <c r="E26" s="261" t="s">
        <v>25</v>
      </c>
      <c r="F26" s="261" t="s">
        <v>1096</v>
      </c>
      <c r="G26" s="262" t="s">
        <v>17</v>
      </c>
      <c r="H26" s="263" t="s">
        <v>177</v>
      </c>
      <c r="I26" s="262" t="s">
        <v>176</v>
      </c>
      <c r="J26" s="263" t="s">
        <v>1099</v>
      </c>
      <c r="K26" s="264">
        <v>1500000</v>
      </c>
      <c r="L26" s="265" t="s">
        <v>2057</v>
      </c>
      <c r="M26" s="266" t="s">
        <v>14</v>
      </c>
    </row>
    <row r="27" spans="1:13" ht="29">
      <c r="A27" s="258" t="s">
        <v>920</v>
      </c>
      <c r="B27" s="259" t="s">
        <v>946</v>
      </c>
      <c r="C27" s="259" t="s">
        <v>1065</v>
      </c>
      <c r="D27" s="260" t="s">
        <v>1078</v>
      </c>
      <c r="E27" s="261" t="s">
        <v>25</v>
      </c>
      <c r="F27" s="261" t="s">
        <v>1097</v>
      </c>
      <c r="G27" s="262" t="s">
        <v>17</v>
      </c>
      <c r="H27" s="263" t="s">
        <v>177</v>
      </c>
      <c r="I27" s="262" t="s">
        <v>176</v>
      </c>
      <c r="J27" s="263" t="s">
        <v>76</v>
      </c>
      <c r="K27" s="264">
        <v>300000</v>
      </c>
      <c r="L27" s="265" t="s">
        <v>2057</v>
      </c>
      <c r="M27" s="266" t="s">
        <v>14</v>
      </c>
    </row>
    <row r="28" spans="1:13" ht="43.5">
      <c r="A28" s="258" t="s">
        <v>920</v>
      </c>
      <c r="B28" s="259" t="s">
        <v>947</v>
      </c>
      <c r="C28" s="259" t="s">
        <v>1065</v>
      </c>
      <c r="D28" s="260" t="s">
        <v>10269</v>
      </c>
      <c r="E28" s="261" t="s">
        <v>25</v>
      </c>
      <c r="F28" s="261" t="s">
        <v>1098</v>
      </c>
      <c r="G28" s="262" t="s">
        <v>17</v>
      </c>
      <c r="H28" s="263" t="s">
        <v>177</v>
      </c>
      <c r="I28" s="262" t="s">
        <v>176</v>
      </c>
      <c r="J28" s="263" t="s">
        <v>76</v>
      </c>
      <c r="K28" s="264">
        <v>675000</v>
      </c>
      <c r="L28" s="265" t="s">
        <v>173</v>
      </c>
      <c r="M28" s="266" t="s">
        <v>14</v>
      </c>
    </row>
    <row r="29" spans="1:13" ht="43.5">
      <c r="A29" s="258" t="s">
        <v>920</v>
      </c>
      <c r="B29" s="259" t="s">
        <v>948</v>
      </c>
      <c r="C29" s="259" t="s">
        <v>1065</v>
      </c>
      <c r="D29" s="260" t="s">
        <v>10270</v>
      </c>
      <c r="E29" s="261" t="s">
        <v>25</v>
      </c>
      <c r="F29" s="261" t="s">
        <v>1098</v>
      </c>
      <c r="G29" s="262" t="s">
        <v>17</v>
      </c>
      <c r="H29" s="263" t="s">
        <v>177</v>
      </c>
      <c r="I29" s="262" t="s">
        <v>176</v>
      </c>
      <c r="J29" s="263" t="s">
        <v>64</v>
      </c>
      <c r="K29" s="264">
        <v>62500</v>
      </c>
      <c r="L29" s="265" t="s">
        <v>173</v>
      </c>
      <c r="M29" s="266" t="s">
        <v>14</v>
      </c>
    </row>
    <row r="30" spans="1:13" ht="29">
      <c r="A30" s="258" t="s">
        <v>920</v>
      </c>
      <c r="B30" s="259" t="s">
        <v>949</v>
      </c>
      <c r="C30" s="259" t="s">
        <v>1065</v>
      </c>
      <c r="D30" s="260" t="s">
        <v>1079</v>
      </c>
      <c r="E30" s="261" t="s">
        <v>168</v>
      </c>
      <c r="F30" s="261" t="s">
        <v>1096</v>
      </c>
      <c r="G30" s="262" t="s">
        <v>17</v>
      </c>
      <c r="H30" s="263" t="s">
        <v>177</v>
      </c>
      <c r="I30" s="262" t="s">
        <v>176</v>
      </c>
      <c r="J30" s="263" t="s">
        <v>1099</v>
      </c>
      <c r="K30" s="264">
        <v>625000000</v>
      </c>
      <c r="L30" s="265" t="s">
        <v>2057</v>
      </c>
      <c r="M30" s="266" t="s">
        <v>14</v>
      </c>
    </row>
    <row r="31" spans="1:13" ht="29">
      <c r="A31" s="258" t="s">
        <v>920</v>
      </c>
      <c r="B31" s="259" t="s">
        <v>950</v>
      </c>
      <c r="C31" s="259" t="s">
        <v>1065</v>
      </c>
      <c r="D31" s="260" t="s">
        <v>1080</v>
      </c>
      <c r="E31" s="261" t="s">
        <v>168</v>
      </c>
      <c r="F31" s="261" t="s">
        <v>1097</v>
      </c>
      <c r="G31" s="262" t="s">
        <v>17</v>
      </c>
      <c r="H31" s="263" t="s">
        <v>177</v>
      </c>
      <c r="I31" s="262" t="s">
        <v>176</v>
      </c>
      <c r="J31" s="263" t="s">
        <v>76</v>
      </c>
      <c r="K31" s="264">
        <v>125000000</v>
      </c>
      <c r="L31" s="265" t="s">
        <v>2057</v>
      </c>
      <c r="M31" s="266" t="s">
        <v>14</v>
      </c>
    </row>
    <row r="32" spans="1:13" ht="58">
      <c r="A32" s="258" t="s">
        <v>920</v>
      </c>
      <c r="B32" s="259" t="s">
        <v>951</v>
      </c>
      <c r="C32" s="259" t="s">
        <v>1065</v>
      </c>
      <c r="D32" s="260" t="s">
        <v>1081</v>
      </c>
      <c r="E32" s="261" t="s">
        <v>91</v>
      </c>
      <c r="F32" s="261" t="s">
        <v>21</v>
      </c>
      <c r="G32" s="262" t="s">
        <v>70</v>
      </c>
      <c r="H32" s="263" t="s">
        <v>26</v>
      </c>
      <c r="I32" s="262" t="s">
        <v>166</v>
      </c>
      <c r="J32" s="263" t="s">
        <v>174</v>
      </c>
      <c r="K32" s="264">
        <v>869400</v>
      </c>
      <c r="L32" s="265" t="s">
        <v>2057</v>
      </c>
      <c r="M32" s="266" t="s">
        <v>14</v>
      </c>
    </row>
    <row r="33" spans="1:13" ht="58">
      <c r="A33" s="258" t="s">
        <v>920</v>
      </c>
      <c r="B33" s="259" t="s">
        <v>952</v>
      </c>
      <c r="C33" s="259" t="s">
        <v>1065</v>
      </c>
      <c r="D33" s="260" t="s">
        <v>1081</v>
      </c>
      <c r="E33" s="261" t="s">
        <v>91</v>
      </c>
      <c r="F33" s="261" t="s">
        <v>21</v>
      </c>
      <c r="G33" s="262" t="s">
        <v>70</v>
      </c>
      <c r="H33" s="263" t="s">
        <v>42</v>
      </c>
      <c r="I33" s="262" t="s">
        <v>166</v>
      </c>
      <c r="J33" s="263" t="s">
        <v>174</v>
      </c>
      <c r="K33" s="264">
        <v>1593900</v>
      </c>
      <c r="L33" s="265" t="s">
        <v>2057</v>
      </c>
      <c r="M33" s="266" t="s">
        <v>14</v>
      </c>
    </row>
    <row r="34" spans="1:13" ht="58">
      <c r="A34" s="258" t="s">
        <v>920</v>
      </c>
      <c r="B34" s="259" t="s">
        <v>953</v>
      </c>
      <c r="C34" s="259" t="s">
        <v>1065</v>
      </c>
      <c r="D34" s="260" t="s">
        <v>1081</v>
      </c>
      <c r="E34" s="261" t="s">
        <v>91</v>
      </c>
      <c r="F34" s="261" t="s">
        <v>21</v>
      </c>
      <c r="G34" s="262" t="s">
        <v>74</v>
      </c>
      <c r="H34" s="263" t="s">
        <v>26</v>
      </c>
      <c r="I34" s="262" t="s">
        <v>166</v>
      </c>
      <c r="J34" s="263" t="s">
        <v>174</v>
      </c>
      <c r="K34" s="264">
        <v>869400</v>
      </c>
      <c r="L34" s="265" t="s">
        <v>2057</v>
      </c>
      <c r="M34" s="266" t="s">
        <v>14</v>
      </c>
    </row>
    <row r="35" spans="1:13" ht="58">
      <c r="A35" s="258" t="s">
        <v>920</v>
      </c>
      <c r="B35" s="259" t="s">
        <v>954</v>
      </c>
      <c r="C35" s="259" t="s">
        <v>1065</v>
      </c>
      <c r="D35" s="260" t="s">
        <v>1081</v>
      </c>
      <c r="E35" s="261" t="s">
        <v>91</v>
      </c>
      <c r="F35" s="261" t="s">
        <v>21</v>
      </c>
      <c r="G35" s="262" t="s">
        <v>74</v>
      </c>
      <c r="H35" s="263" t="s">
        <v>42</v>
      </c>
      <c r="I35" s="262" t="s">
        <v>166</v>
      </c>
      <c r="J35" s="263" t="s">
        <v>174</v>
      </c>
      <c r="K35" s="264">
        <v>1666350</v>
      </c>
      <c r="L35" s="265" t="s">
        <v>2057</v>
      </c>
      <c r="M35" s="266" t="s">
        <v>14</v>
      </c>
    </row>
    <row r="36" spans="1:13" ht="58">
      <c r="A36" s="258" t="s">
        <v>920</v>
      </c>
      <c r="B36" s="259" t="s">
        <v>955</v>
      </c>
      <c r="C36" s="259" t="s">
        <v>1065</v>
      </c>
      <c r="D36" s="260" t="s">
        <v>1081</v>
      </c>
      <c r="E36" s="261" t="s">
        <v>91</v>
      </c>
      <c r="F36" s="261" t="s">
        <v>21</v>
      </c>
      <c r="G36" s="262" t="s">
        <v>72</v>
      </c>
      <c r="H36" s="263" t="s">
        <v>26</v>
      </c>
      <c r="I36" s="262" t="s">
        <v>166</v>
      </c>
      <c r="J36" s="263" t="s">
        <v>174</v>
      </c>
      <c r="K36" s="264">
        <v>869400</v>
      </c>
      <c r="L36" s="265" t="s">
        <v>2057</v>
      </c>
      <c r="M36" s="266" t="s">
        <v>14</v>
      </c>
    </row>
    <row r="37" spans="1:13" ht="58">
      <c r="A37" s="258" t="s">
        <v>920</v>
      </c>
      <c r="B37" s="259" t="s">
        <v>956</v>
      </c>
      <c r="C37" s="259" t="s">
        <v>1065</v>
      </c>
      <c r="D37" s="260" t="s">
        <v>1081</v>
      </c>
      <c r="E37" s="261" t="s">
        <v>91</v>
      </c>
      <c r="F37" s="261" t="s">
        <v>21</v>
      </c>
      <c r="G37" s="262" t="s">
        <v>72</v>
      </c>
      <c r="H37" s="263" t="s">
        <v>42</v>
      </c>
      <c r="I37" s="262" t="s">
        <v>166</v>
      </c>
      <c r="J37" s="263" t="s">
        <v>174</v>
      </c>
      <c r="K37" s="264">
        <v>1811250</v>
      </c>
      <c r="L37" s="265" t="s">
        <v>2057</v>
      </c>
      <c r="M37" s="266" t="s">
        <v>14</v>
      </c>
    </row>
    <row r="38" spans="1:13" ht="58">
      <c r="A38" s="258" t="s">
        <v>920</v>
      </c>
      <c r="B38" s="259" t="s">
        <v>957</v>
      </c>
      <c r="C38" s="259" t="s">
        <v>1065</v>
      </c>
      <c r="D38" s="260" t="s">
        <v>1082</v>
      </c>
      <c r="E38" s="261" t="s">
        <v>99</v>
      </c>
      <c r="F38" s="261" t="s">
        <v>21</v>
      </c>
      <c r="G38" s="262" t="s">
        <v>70</v>
      </c>
      <c r="H38" s="263" t="s">
        <v>26</v>
      </c>
      <c r="I38" s="262" t="s">
        <v>166</v>
      </c>
      <c r="J38" s="263" t="s">
        <v>174</v>
      </c>
      <c r="K38" s="264">
        <v>1738800</v>
      </c>
      <c r="L38" s="265" t="s">
        <v>2057</v>
      </c>
      <c r="M38" s="266" t="s">
        <v>14</v>
      </c>
    </row>
    <row r="39" spans="1:13" ht="58">
      <c r="A39" s="258" t="s">
        <v>920</v>
      </c>
      <c r="B39" s="259" t="s">
        <v>958</v>
      </c>
      <c r="C39" s="259" t="s">
        <v>1065</v>
      </c>
      <c r="D39" s="260" t="s">
        <v>1082</v>
      </c>
      <c r="E39" s="261" t="s">
        <v>99</v>
      </c>
      <c r="F39" s="261" t="s">
        <v>21</v>
      </c>
      <c r="G39" s="262" t="s">
        <v>70</v>
      </c>
      <c r="H39" s="263" t="s">
        <v>42</v>
      </c>
      <c r="I39" s="262" t="s">
        <v>166</v>
      </c>
      <c r="J39" s="263" t="s">
        <v>174</v>
      </c>
      <c r="K39" s="264">
        <v>3187800</v>
      </c>
      <c r="L39" s="265" t="s">
        <v>2057</v>
      </c>
      <c r="M39" s="266" t="s">
        <v>14</v>
      </c>
    </row>
    <row r="40" spans="1:13" ht="58">
      <c r="A40" s="258" t="s">
        <v>920</v>
      </c>
      <c r="B40" s="259" t="s">
        <v>959</v>
      </c>
      <c r="C40" s="259" t="s">
        <v>1065</v>
      </c>
      <c r="D40" s="260" t="s">
        <v>10271</v>
      </c>
      <c r="E40" s="261" t="s">
        <v>99</v>
      </c>
      <c r="F40" s="261" t="s">
        <v>21</v>
      </c>
      <c r="G40" s="262" t="s">
        <v>74</v>
      </c>
      <c r="H40" s="263" t="s">
        <v>26</v>
      </c>
      <c r="I40" s="262" t="s">
        <v>166</v>
      </c>
      <c r="J40" s="263" t="s">
        <v>174</v>
      </c>
      <c r="K40" s="264">
        <v>1738800</v>
      </c>
      <c r="L40" s="265" t="s">
        <v>2057</v>
      </c>
      <c r="M40" s="266" t="s">
        <v>14</v>
      </c>
    </row>
    <row r="41" spans="1:13" ht="58">
      <c r="A41" s="258" t="s">
        <v>920</v>
      </c>
      <c r="B41" s="259" t="s">
        <v>960</v>
      </c>
      <c r="C41" s="259" t="s">
        <v>1065</v>
      </c>
      <c r="D41" s="260" t="s">
        <v>10271</v>
      </c>
      <c r="E41" s="261" t="s">
        <v>99</v>
      </c>
      <c r="F41" s="261" t="s">
        <v>21</v>
      </c>
      <c r="G41" s="262" t="s">
        <v>74</v>
      </c>
      <c r="H41" s="263" t="s">
        <v>42</v>
      </c>
      <c r="I41" s="262" t="s">
        <v>166</v>
      </c>
      <c r="J41" s="263" t="s">
        <v>174</v>
      </c>
      <c r="K41" s="264">
        <v>3332700</v>
      </c>
      <c r="L41" s="265" t="s">
        <v>2057</v>
      </c>
      <c r="M41" s="266" t="s">
        <v>14</v>
      </c>
    </row>
    <row r="42" spans="1:13" ht="58">
      <c r="A42" s="258" t="s">
        <v>920</v>
      </c>
      <c r="B42" s="259" t="s">
        <v>961</v>
      </c>
      <c r="C42" s="259" t="s">
        <v>1065</v>
      </c>
      <c r="D42" s="260" t="s">
        <v>10271</v>
      </c>
      <c r="E42" s="261" t="s">
        <v>99</v>
      </c>
      <c r="F42" s="261" t="s">
        <v>21</v>
      </c>
      <c r="G42" s="262" t="s">
        <v>72</v>
      </c>
      <c r="H42" s="263" t="s">
        <v>26</v>
      </c>
      <c r="I42" s="262" t="s">
        <v>166</v>
      </c>
      <c r="J42" s="263" t="s">
        <v>174</v>
      </c>
      <c r="K42" s="264">
        <v>1738800</v>
      </c>
      <c r="L42" s="265" t="s">
        <v>2057</v>
      </c>
      <c r="M42" s="266" t="s">
        <v>14</v>
      </c>
    </row>
    <row r="43" spans="1:13" ht="58">
      <c r="A43" s="258" t="s">
        <v>920</v>
      </c>
      <c r="B43" s="259" t="s">
        <v>962</v>
      </c>
      <c r="C43" s="259" t="s">
        <v>1065</v>
      </c>
      <c r="D43" s="260" t="s">
        <v>10271</v>
      </c>
      <c r="E43" s="261" t="s">
        <v>99</v>
      </c>
      <c r="F43" s="261" t="s">
        <v>21</v>
      </c>
      <c r="G43" s="262" t="s">
        <v>72</v>
      </c>
      <c r="H43" s="263" t="s">
        <v>42</v>
      </c>
      <c r="I43" s="262" t="s">
        <v>166</v>
      </c>
      <c r="J43" s="263" t="s">
        <v>174</v>
      </c>
      <c r="K43" s="264">
        <v>3622500</v>
      </c>
      <c r="L43" s="265" t="s">
        <v>2057</v>
      </c>
      <c r="M43" s="266" t="s">
        <v>14</v>
      </c>
    </row>
    <row r="44" spans="1:13" ht="58">
      <c r="A44" s="258" t="s">
        <v>920</v>
      </c>
      <c r="B44" s="259" t="s">
        <v>963</v>
      </c>
      <c r="C44" s="259" t="s">
        <v>1065</v>
      </c>
      <c r="D44" s="260" t="s">
        <v>10272</v>
      </c>
      <c r="E44" s="261" t="s">
        <v>91</v>
      </c>
      <c r="F44" s="261" t="s">
        <v>21</v>
      </c>
      <c r="G44" s="262" t="s">
        <v>70</v>
      </c>
      <c r="H44" s="263" t="s">
        <v>26</v>
      </c>
      <c r="I44" s="262" t="s">
        <v>166</v>
      </c>
      <c r="J44" s="263" t="s">
        <v>174</v>
      </c>
      <c r="K44" s="264">
        <v>1376550</v>
      </c>
      <c r="L44" s="265" t="s">
        <v>2057</v>
      </c>
      <c r="M44" s="266" t="s">
        <v>14</v>
      </c>
    </row>
    <row r="45" spans="1:13" ht="58">
      <c r="A45" s="258" t="s">
        <v>920</v>
      </c>
      <c r="B45" s="259" t="s">
        <v>964</v>
      </c>
      <c r="C45" s="259" t="s">
        <v>1065</v>
      </c>
      <c r="D45" s="260" t="s">
        <v>10272</v>
      </c>
      <c r="E45" s="261" t="s">
        <v>91</v>
      </c>
      <c r="F45" s="261" t="s">
        <v>21</v>
      </c>
      <c r="G45" s="262" t="s">
        <v>70</v>
      </c>
      <c r="H45" s="263" t="s">
        <v>42</v>
      </c>
      <c r="I45" s="262" t="s">
        <v>166</v>
      </c>
      <c r="J45" s="263" t="s">
        <v>174</v>
      </c>
      <c r="K45" s="264">
        <v>2101050</v>
      </c>
      <c r="L45" s="265" t="s">
        <v>2057</v>
      </c>
      <c r="M45" s="266" t="s">
        <v>14</v>
      </c>
    </row>
    <row r="46" spans="1:13" ht="58">
      <c r="A46" s="258" t="s">
        <v>920</v>
      </c>
      <c r="B46" s="259" t="s">
        <v>965</v>
      </c>
      <c r="C46" s="259" t="s">
        <v>1065</v>
      </c>
      <c r="D46" s="260" t="s">
        <v>10272</v>
      </c>
      <c r="E46" s="261" t="s">
        <v>91</v>
      </c>
      <c r="F46" s="261" t="s">
        <v>21</v>
      </c>
      <c r="G46" s="262" t="s">
        <v>74</v>
      </c>
      <c r="H46" s="263" t="s">
        <v>26</v>
      </c>
      <c r="I46" s="262" t="s">
        <v>166</v>
      </c>
      <c r="J46" s="263" t="s">
        <v>174</v>
      </c>
      <c r="K46" s="264">
        <v>1376550</v>
      </c>
      <c r="L46" s="265" t="s">
        <v>2057</v>
      </c>
      <c r="M46" s="266" t="s">
        <v>14</v>
      </c>
    </row>
    <row r="47" spans="1:13" ht="58">
      <c r="A47" s="258" t="s">
        <v>920</v>
      </c>
      <c r="B47" s="259" t="s">
        <v>966</v>
      </c>
      <c r="C47" s="259" t="s">
        <v>1065</v>
      </c>
      <c r="D47" s="260" t="s">
        <v>10272</v>
      </c>
      <c r="E47" s="261" t="s">
        <v>91</v>
      </c>
      <c r="F47" s="261" t="s">
        <v>21</v>
      </c>
      <c r="G47" s="262" t="s">
        <v>74</v>
      </c>
      <c r="H47" s="263" t="s">
        <v>42</v>
      </c>
      <c r="I47" s="262" t="s">
        <v>166</v>
      </c>
      <c r="J47" s="263" t="s">
        <v>174</v>
      </c>
      <c r="K47" s="264">
        <v>2173500</v>
      </c>
      <c r="L47" s="265" t="s">
        <v>2057</v>
      </c>
      <c r="M47" s="266" t="s">
        <v>14</v>
      </c>
    </row>
    <row r="48" spans="1:13" ht="58">
      <c r="A48" s="258" t="s">
        <v>920</v>
      </c>
      <c r="B48" s="259" t="s">
        <v>967</v>
      </c>
      <c r="C48" s="259" t="s">
        <v>1065</v>
      </c>
      <c r="D48" s="260" t="s">
        <v>10272</v>
      </c>
      <c r="E48" s="261" t="s">
        <v>91</v>
      </c>
      <c r="F48" s="261" t="s">
        <v>21</v>
      </c>
      <c r="G48" s="262" t="s">
        <v>72</v>
      </c>
      <c r="H48" s="263" t="s">
        <v>26</v>
      </c>
      <c r="I48" s="262" t="s">
        <v>166</v>
      </c>
      <c r="J48" s="263" t="s">
        <v>174</v>
      </c>
      <c r="K48" s="264">
        <v>1376550</v>
      </c>
      <c r="L48" s="265" t="s">
        <v>2057</v>
      </c>
      <c r="M48" s="266" t="s">
        <v>14</v>
      </c>
    </row>
    <row r="49" spans="1:13" ht="58">
      <c r="A49" s="258" t="s">
        <v>920</v>
      </c>
      <c r="B49" s="259" t="s">
        <v>968</v>
      </c>
      <c r="C49" s="259" t="s">
        <v>1065</v>
      </c>
      <c r="D49" s="260" t="s">
        <v>10273</v>
      </c>
      <c r="E49" s="261" t="s">
        <v>91</v>
      </c>
      <c r="F49" s="261" t="s">
        <v>21</v>
      </c>
      <c r="G49" s="262" t="s">
        <v>72</v>
      </c>
      <c r="H49" s="263" t="s">
        <v>42</v>
      </c>
      <c r="I49" s="262" t="s">
        <v>166</v>
      </c>
      <c r="J49" s="263" t="s">
        <v>174</v>
      </c>
      <c r="K49" s="264">
        <v>2245950</v>
      </c>
      <c r="L49" s="265" t="s">
        <v>2057</v>
      </c>
      <c r="M49" s="266" t="s">
        <v>14</v>
      </c>
    </row>
    <row r="50" spans="1:13" ht="58">
      <c r="A50" s="258" t="s">
        <v>920</v>
      </c>
      <c r="B50" s="259" t="s">
        <v>969</v>
      </c>
      <c r="C50" s="259" t="s">
        <v>1065</v>
      </c>
      <c r="D50" s="260" t="s">
        <v>10274</v>
      </c>
      <c r="E50" s="261" t="s">
        <v>99</v>
      </c>
      <c r="F50" s="261" t="s">
        <v>21</v>
      </c>
      <c r="G50" s="262" t="s">
        <v>70</v>
      </c>
      <c r="H50" s="263" t="s">
        <v>26</v>
      </c>
      <c r="I50" s="262" t="s">
        <v>166</v>
      </c>
      <c r="J50" s="263" t="s">
        <v>174</v>
      </c>
      <c r="K50" s="264">
        <v>2753100</v>
      </c>
      <c r="L50" s="265" t="s">
        <v>2057</v>
      </c>
      <c r="M50" s="266" t="s">
        <v>14</v>
      </c>
    </row>
    <row r="51" spans="1:13" ht="58">
      <c r="A51" s="258" t="s">
        <v>920</v>
      </c>
      <c r="B51" s="259" t="s">
        <v>970</v>
      </c>
      <c r="C51" s="259" t="s">
        <v>1065</v>
      </c>
      <c r="D51" s="260" t="s">
        <v>10274</v>
      </c>
      <c r="E51" s="261" t="s">
        <v>99</v>
      </c>
      <c r="F51" s="261" t="s">
        <v>21</v>
      </c>
      <c r="G51" s="262" t="s">
        <v>70</v>
      </c>
      <c r="H51" s="263" t="s">
        <v>42</v>
      </c>
      <c r="I51" s="262" t="s">
        <v>166</v>
      </c>
      <c r="J51" s="263" t="s">
        <v>174</v>
      </c>
      <c r="K51" s="264">
        <v>4202100</v>
      </c>
      <c r="L51" s="265" t="s">
        <v>2057</v>
      </c>
      <c r="M51" s="266" t="s">
        <v>14</v>
      </c>
    </row>
    <row r="52" spans="1:13" ht="58">
      <c r="A52" s="258" t="s">
        <v>920</v>
      </c>
      <c r="B52" s="259" t="s">
        <v>971</v>
      </c>
      <c r="C52" s="259" t="s">
        <v>1065</v>
      </c>
      <c r="D52" s="260" t="s">
        <v>10274</v>
      </c>
      <c r="E52" s="261" t="s">
        <v>99</v>
      </c>
      <c r="F52" s="261" t="s">
        <v>21</v>
      </c>
      <c r="G52" s="262" t="s">
        <v>74</v>
      </c>
      <c r="H52" s="263" t="s">
        <v>26</v>
      </c>
      <c r="I52" s="262" t="s">
        <v>166</v>
      </c>
      <c r="J52" s="263" t="s">
        <v>174</v>
      </c>
      <c r="K52" s="264">
        <v>2753100</v>
      </c>
      <c r="L52" s="265" t="s">
        <v>2057</v>
      </c>
      <c r="M52" s="266" t="s">
        <v>14</v>
      </c>
    </row>
    <row r="53" spans="1:13" ht="58">
      <c r="A53" s="258" t="s">
        <v>920</v>
      </c>
      <c r="B53" s="259" t="s">
        <v>972</v>
      </c>
      <c r="C53" s="259" t="s">
        <v>1065</v>
      </c>
      <c r="D53" s="260" t="s">
        <v>10274</v>
      </c>
      <c r="E53" s="261" t="s">
        <v>99</v>
      </c>
      <c r="F53" s="261" t="s">
        <v>21</v>
      </c>
      <c r="G53" s="262" t="s">
        <v>74</v>
      </c>
      <c r="H53" s="263" t="s">
        <v>42</v>
      </c>
      <c r="I53" s="262" t="s">
        <v>166</v>
      </c>
      <c r="J53" s="263" t="s">
        <v>174</v>
      </c>
      <c r="K53" s="264">
        <v>4347000</v>
      </c>
      <c r="L53" s="265" t="s">
        <v>2057</v>
      </c>
      <c r="M53" s="266" t="s">
        <v>14</v>
      </c>
    </row>
    <row r="54" spans="1:13" ht="58">
      <c r="A54" s="258" t="s">
        <v>920</v>
      </c>
      <c r="B54" s="259" t="s">
        <v>973</v>
      </c>
      <c r="C54" s="259" t="s">
        <v>1065</v>
      </c>
      <c r="D54" s="260" t="s">
        <v>10274</v>
      </c>
      <c r="E54" s="261" t="s">
        <v>99</v>
      </c>
      <c r="F54" s="261" t="s">
        <v>21</v>
      </c>
      <c r="G54" s="262" t="s">
        <v>72</v>
      </c>
      <c r="H54" s="263" t="s">
        <v>26</v>
      </c>
      <c r="I54" s="262" t="s">
        <v>166</v>
      </c>
      <c r="J54" s="263" t="s">
        <v>174</v>
      </c>
      <c r="K54" s="264">
        <v>2753100</v>
      </c>
      <c r="L54" s="265" t="s">
        <v>2057</v>
      </c>
      <c r="M54" s="266" t="s">
        <v>14</v>
      </c>
    </row>
    <row r="55" spans="1:13" ht="58">
      <c r="A55" s="258" t="s">
        <v>920</v>
      </c>
      <c r="B55" s="259" t="s">
        <v>974</v>
      </c>
      <c r="C55" s="259" t="s">
        <v>1065</v>
      </c>
      <c r="D55" s="260" t="s">
        <v>10274</v>
      </c>
      <c r="E55" s="261" t="s">
        <v>99</v>
      </c>
      <c r="F55" s="261" t="s">
        <v>21</v>
      </c>
      <c r="G55" s="262" t="s">
        <v>72</v>
      </c>
      <c r="H55" s="263" t="s">
        <v>42</v>
      </c>
      <c r="I55" s="262" t="s">
        <v>166</v>
      </c>
      <c r="J55" s="263" t="s">
        <v>174</v>
      </c>
      <c r="K55" s="264">
        <v>4491900</v>
      </c>
      <c r="L55" s="265" t="s">
        <v>2057</v>
      </c>
      <c r="M55" s="266" t="s">
        <v>14</v>
      </c>
    </row>
    <row r="56" spans="1:13" ht="58">
      <c r="A56" s="258" t="s">
        <v>920</v>
      </c>
      <c r="B56" s="259" t="s">
        <v>975</v>
      </c>
      <c r="C56" s="259" t="s">
        <v>1065</v>
      </c>
      <c r="D56" s="260" t="s">
        <v>10275</v>
      </c>
      <c r="E56" s="261" t="s">
        <v>29</v>
      </c>
      <c r="F56" s="261" t="s">
        <v>21</v>
      </c>
      <c r="G56" s="262" t="s">
        <v>70</v>
      </c>
      <c r="H56" s="263" t="s">
        <v>26</v>
      </c>
      <c r="I56" s="262" t="s">
        <v>167</v>
      </c>
      <c r="J56" s="263" t="s">
        <v>174</v>
      </c>
      <c r="K56" s="264">
        <v>186000</v>
      </c>
      <c r="L56" s="265" t="s">
        <v>2057</v>
      </c>
      <c r="M56" s="266" t="s">
        <v>14</v>
      </c>
    </row>
    <row r="57" spans="1:13" ht="58">
      <c r="A57" s="258" t="s">
        <v>920</v>
      </c>
      <c r="B57" s="259" t="s">
        <v>976</v>
      </c>
      <c r="C57" s="259" t="s">
        <v>1065</v>
      </c>
      <c r="D57" s="260" t="s">
        <v>10275</v>
      </c>
      <c r="E57" s="261" t="s">
        <v>29</v>
      </c>
      <c r="F57" s="261" t="s">
        <v>21</v>
      </c>
      <c r="G57" s="262" t="s">
        <v>70</v>
      </c>
      <c r="H57" s="263" t="s">
        <v>42</v>
      </c>
      <c r="I57" s="262" t="s">
        <v>167</v>
      </c>
      <c r="J57" s="263" t="s">
        <v>174</v>
      </c>
      <c r="K57" s="264">
        <v>223200</v>
      </c>
      <c r="L57" s="265" t="s">
        <v>2057</v>
      </c>
      <c r="M57" s="266" t="s">
        <v>14</v>
      </c>
    </row>
    <row r="58" spans="1:13" ht="58">
      <c r="A58" s="258" t="s">
        <v>920</v>
      </c>
      <c r="B58" s="259" t="s">
        <v>977</v>
      </c>
      <c r="C58" s="259" t="s">
        <v>1065</v>
      </c>
      <c r="D58" s="260" t="s">
        <v>10275</v>
      </c>
      <c r="E58" s="261" t="s">
        <v>29</v>
      </c>
      <c r="F58" s="261" t="s">
        <v>21</v>
      </c>
      <c r="G58" s="262" t="s">
        <v>74</v>
      </c>
      <c r="H58" s="263" t="s">
        <v>26</v>
      </c>
      <c r="I58" s="262" t="s">
        <v>167</v>
      </c>
      <c r="J58" s="263" t="s">
        <v>174</v>
      </c>
      <c r="K58" s="264">
        <v>186000</v>
      </c>
      <c r="L58" s="265" t="s">
        <v>2057</v>
      </c>
      <c r="M58" s="266" t="s">
        <v>14</v>
      </c>
    </row>
    <row r="59" spans="1:13" ht="58">
      <c r="A59" s="258" t="s">
        <v>920</v>
      </c>
      <c r="B59" s="259" t="s">
        <v>978</v>
      </c>
      <c r="C59" s="259" t="s">
        <v>1065</v>
      </c>
      <c r="D59" s="260" t="s">
        <v>10275</v>
      </c>
      <c r="E59" s="261" t="s">
        <v>29</v>
      </c>
      <c r="F59" s="261" t="s">
        <v>21</v>
      </c>
      <c r="G59" s="262" t="s">
        <v>74</v>
      </c>
      <c r="H59" s="263" t="s">
        <v>42</v>
      </c>
      <c r="I59" s="262" t="s">
        <v>167</v>
      </c>
      <c r="J59" s="263" t="s">
        <v>174</v>
      </c>
      <c r="K59" s="264">
        <v>267840</v>
      </c>
      <c r="L59" s="265" t="s">
        <v>2057</v>
      </c>
      <c r="M59" s="266" t="s">
        <v>14</v>
      </c>
    </row>
    <row r="60" spans="1:13" ht="58">
      <c r="A60" s="258" t="s">
        <v>920</v>
      </c>
      <c r="B60" s="259" t="s">
        <v>979</v>
      </c>
      <c r="C60" s="259" t="s">
        <v>1065</v>
      </c>
      <c r="D60" s="260" t="s">
        <v>10275</v>
      </c>
      <c r="E60" s="261" t="s">
        <v>29</v>
      </c>
      <c r="F60" s="261" t="s">
        <v>21</v>
      </c>
      <c r="G60" s="262" t="s">
        <v>72</v>
      </c>
      <c r="H60" s="263" t="s">
        <v>26</v>
      </c>
      <c r="I60" s="262" t="s">
        <v>167</v>
      </c>
      <c r="J60" s="263" t="s">
        <v>174</v>
      </c>
      <c r="K60" s="264">
        <v>94190</v>
      </c>
      <c r="L60" s="265" t="s">
        <v>2057</v>
      </c>
      <c r="M60" s="266" t="s">
        <v>14</v>
      </c>
    </row>
    <row r="61" spans="1:13" ht="58">
      <c r="A61" s="258" t="s">
        <v>920</v>
      </c>
      <c r="B61" s="259" t="s">
        <v>980</v>
      </c>
      <c r="C61" s="259" t="s">
        <v>1065</v>
      </c>
      <c r="D61" s="260" t="s">
        <v>10275</v>
      </c>
      <c r="E61" s="261" t="s">
        <v>29</v>
      </c>
      <c r="F61" s="261" t="s">
        <v>21</v>
      </c>
      <c r="G61" s="262" t="s">
        <v>72</v>
      </c>
      <c r="H61" s="263" t="s">
        <v>42</v>
      </c>
      <c r="I61" s="262" t="s">
        <v>167</v>
      </c>
      <c r="J61" s="263" t="s">
        <v>174</v>
      </c>
      <c r="K61" s="264">
        <v>290160</v>
      </c>
      <c r="L61" s="265" t="s">
        <v>2057</v>
      </c>
      <c r="M61" s="266" t="s">
        <v>14</v>
      </c>
    </row>
    <row r="62" spans="1:13" ht="58">
      <c r="A62" s="258" t="s">
        <v>920</v>
      </c>
      <c r="B62" s="259" t="s">
        <v>981</v>
      </c>
      <c r="C62" s="259" t="s">
        <v>1065</v>
      </c>
      <c r="D62" s="260" t="s">
        <v>1083</v>
      </c>
      <c r="E62" s="261" t="s">
        <v>133</v>
      </c>
      <c r="F62" s="261" t="s">
        <v>21</v>
      </c>
      <c r="G62" s="262" t="s">
        <v>70</v>
      </c>
      <c r="H62" s="263" t="s">
        <v>26</v>
      </c>
      <c r="I62" s="262" t="s">
        <v>436</v>
      </c>
      <c r="J62" s="263" t="s">
        <v>174</v>
      </c>
      <c r="K62" s="264">
        <v>10143000</v>
      </c>
      <c r="L62" s="265" t="s">
        <v>2057</v>
      </c>
      <c r="M62" s="266" t="s">
        <v>14</v>
      </c>
    </row>
    <row r="63" spans="1:13" ht="58">
      <c r="A63" s="258" t="s">
        <v>920</v>
      </c>
      <c r="B63" s="259" t="s">
        <v>982</v>
      </c>
      <c r="C63" s="259" t="s">
        <v>1065</v>
      </c>
      <c r="D63" s="260" t="s">
        <v>1083</v>
      </c>
      <c r="E63" s="261" t="s">
        <v>133</v>
      </c>
      <c r="F63" s="261" t="s">
        <v>21</v>
      </c>
      <c r="G63" s="262" t="s">
        <v>70</v>
      </c>
      <c r="H63" s="263" t="s">
        <v>42</v>
      </c>
      <c r="I63" s="262" t="s">
        <v>436</v>
      </c>
      <c r="J63" s="263" t="s">
        <v>174</v>
      </c>
      <c r="K63" s="264">
        <v>13765500</v>
      </c>
      <c r="L63" s="265" t="s">
        <v>2057</v>
      </c>
      <c r="M63" s="266" t="s">
        <v>14</v>
      </c>
    </row>
    <row r="64" spans="1:13" ht="58">
      <c r="A64" s="258" t="s">
        <v>920</v>
      </c>
      <c r="B64" s="259" t="s">
        <v>983</v>
      </c>
      <c r="C64" s="259" t="s">
        <v>1065</v>
      </c>
      <c r="D64" s="260" t="s">
        <v>1083</v>
      </c>
      <c r="E64" s="261" t="s">
        <v>133</v>
      </c>
      <c r="F64" s="261" t="s">
        <v>21</v>
      </c>
      <c r="G64" s="262" t="s">
        <v>74</v>
      </c>
      <c r="H64" s="263" t="s">
        <v>26</v>
      </c>
      <c r="I64" s="262" t="s">
        <v>436</v>
      </c>
      <c r="J64" s="263" t="s">
        <v>174</v>
      </c>
      <c r="K64" s="264">
        <v>10143000</v>
      </c>
      <c r="L64" s="265" t="s">
        <v>2057</v>
      </c>
      <c r="M64" s="266" t="s">
        <v>14</v>
      </c>
    </row>
    <row r="65" spans="1:13" ht="58">
      <c r="A65" s="258" t="s">
        <v>920</v>
      </c>
      <c r="B65" s="259" t="s">
        <v>984</v>
      </c>
      <c r="C65" s="259" t="s">
        <v>1065</v>
      </c>
      <c r="D65" s="260" t="s">
        <v>1083</v>
      </c>
      <c r="E65" s="261" t="s">
        <v>133</v>
      </c>
      <c r="F65" s="261" t="s">
        <v>21</v>
      </c>
      <c r="G65" s="262" t="s">
        <v>74</v>
      </c>
      <c r="H65" s="263" t="s">
        <v>42</v>
      </c>
      <c r="I65" s="262" t="s">
        <v>436</v>
      </c>
      <c r="J65" s="263" t="s">
        <v>174</v>
      </c>
      <c r="K65" s="264">
        <v>14127750</v>
      </c>
      <c r="L65" s="265" t="s">
        <v>2057</v>
      </c>
      <c r="M65" s="266" t="s">
        <v>14</v>
      </c>
    </row>
    <row r="66" spans="1:13" ht="58">
      <c r="A66" s="258" t="s">
        <v>920</v>
      </c>
      <c r="B66" s="259" t="s">
        <v>985</v>
      </c>
      <c r="C66" s="259" t="s">
        <v>1065</v>
      </c>
      <c r="D66" s="260" t="s">
        <v>1083</v>
      </c>
      <c r="E66" s="261" t="s">
        <v>133</v>
      </c>
      <c r="F66" s="261" t="s">
        <v>21</v>
      </c>
      <c r="G66" s="262" t="s">
        <v>72</v>
      </c>
      <c r="H66" s="263" t="s">
        <v>26</v>
      </c>
      <c r="I66" s="262" t="s">
        <v>436</v>
      </c>
      <c r="J66" s="263" t="s">
        <v>174</v>
      </c>
      <c r="K66" s="264">
        <v>10143000</v>
      </c>
      <c r="L66" s="265" t="s">
        <v>2057</v>
      </c>
      <c r="M66" s="266" t="s">
        <v>14</v>
      </c>
    </row>
    <row r="67" spans="1:13" ht="58">
      <c r="A67" s="258" t="s">
        <v>920</v>
      </c>
      <c r="B67" s="259" t="s">
        <v>986</v>
      </c>
      <c r="C67" s="259" t="s">
        <v>1065</v>
      </c>
      <c r="D67" s="260" t="s">
        <v>1083</v>
      </c>
      <c r="E67" s="261" t="s">
        <v>133</v>
      </c>
      <c r="F67" s="261" t="s">
        <v>21</v>
      </c>
      <c r="G67" s="262" t="s">
        <v>72</v>
      </c>
      <c r="H67" s="263" t="s">
        <v>42</v>
      </c>
      <c r="I67" s="262" t="s">
        <v>436</v>
      </c>
      <c r="J67" s="263" t="s">
        <v>174</v>
      </c>
      <c r="K67" s="264">
        <v>14490000</v>
      </c>
      <c r="L67" s="265" t="s">
        <v>2057</v>
      </c>
      <c r="M67" s="266" t="s">
        <v>14</v>
      </c>
    </row>
    <row r="68" spans="1:13" ht="58">
      <c r="A68" s="258" t="s">
        <v>920</v>
      </c>
      <c r="B68" s="259" t="s">
        <v>987</v>
      </c>
      <c r="C68" s="259" t="s">
        <v>1065</v>
      </c>
      <c r="D68" s="260" t="s">
        <v>1084</v>
      </c>
      <c r="E68" s="261" t="s">
        <v>29</v>
      </c>
      <c r="F68" s="261" t="s">
        <v>21</v>
      </c>
      <c r="G68" s="262" t="s">
        <v>70</v>
      </c>
      <c r="H68" s="263" t="s">
        <v>26</v>
      </c>
      <c r="I68" s="262" t="s">
        <v>167</v>
      </c>
      <c r="J68" s="263" t="s">
        <v>174</v>
      </c>
      <c r="K68" s="264">
        <v>186000</v>
      </c>
      <c r="L68" s="265" t="s">
        <v>2057</v>
      </c>
      <c r="M68" s="266" t="s">
        <v>14</v>
      </c>
    </row>
    <row r="69" spans="1:13" ht="58">
      <c r="A69" s="258" t="s">
        <v>920</v>
      </c>
      <c r="B69" s="259" t="s">
        <v>988</v>
      </c>
      <c r="C69" s="259" t="s">
        <v>1065</v>
      </c>
      <c r="D69" s="260" t="s">
        <v>1084</v>
      </c>
      <c r="E69" s="261" t="s">
        <v>29</v>
      </c>
      <c r="F69" s="261" t="s">
        <v>21</v>
      </c>
      <c r="G69" s="262" t="s">
        <v>70</v>
      </c>
      <c r="H69" s="263" t="s">
        <v>42</v>
      </c>
      <c r="I69" s="262" t="s">
        <v>167</v>
      </c>
      <c r="J69" s="263" t="s">
        <v>174</v>
      </c>
      <c r="K69" s="264">
        <v>223200</v>
      </c>
      <c r="L69" s="265" t="s">
        <v>2057</v>
      </c>
      <c r="M69" s="266" t="s">
        <v>14</v>
      </c>
    </row>
    <row r="70" spans="1:13" ht="58">
      <c r="A70" s="258" t="s">
        <v>920</v>
      </c>
      <c r="B70" s="259" t="s">
        <v>989</v>
      </c>
      <c r="C70" s="259" t="s">
        <v>1065</v>
      </c>
      <c r="D70" s="260" t="s">
        <v>1084</v>
      </c>
      <c r="E70" s="261" t="s">
        <v>29</v>
      </c>
      <c r="F70" s="261" t="s">
        <v>21</v>
      </c>
      <c r="G70" s="262" t="s">
        <v>74</v>
      </c>
      <c r="H70" s="263" t="s">
        <v>26</v>
      </c>
      <c r="I70" s="262" t="s">
        <v>167</v>
      </c>
      <c r="J70" s="263" t="s">
        <v>174</v>
      </c>
      <c r="K70" s="264">
        <v>186000</v>
      </c>
      <c r="L70" s="265" t="s">
        <v>2057</v>
      </c>
      <c r="M70" s="266" t="s">
        <v>14</v>
      </c>
    </row>
    <row r="71" spans="1:13" ht="58">
      <c r="A71" s="258" t="s">
        <v>920</v>
      </c>
      <c r="B71" s="259" t="s">
        <v>990</v>
      </c>
      <c r="C71" s="259" t="s">
        <v>1065</v>
      </c>
      <c r="D71" s="260" t="s">
        <v>1084</v>
      </c>
      <c r="E71" s="261" t="s">
        <v>29</v>
      </c>
      <c r="F71" s="261" t="s">
        <v>21</v>
      </c>
      <c r="G71" s="262" t="s">
        <v>74</v>
      </c>
      <c r="H71" s="263" t="s">
        <v>42</v>
      </c>
      <c r="I71" s="262" t="s">
        <v>167</v>
      </c>
      <c r="J71" s="263" t="s">
        <v>174</v>
      </c>
      <c r="K71" s="264">
        <v>267840</v>
      </c>
      <c r="L71" s="265" t="s">
        <v>2057</v>
      </c>
      <c r="M71" s="266" t="s">
        <v>14</v>
      </c>
    </row>
    <row r="72" spans="1:13" ht="58">
      <c r="A72" s="258" t="s">
        <v>920</v>
      </c>
      <c r="B72" s="259" t="s">
        <v>991</v>
      </c>
      <c r="C72" s="259" t="s">
        <v>1065</v>
      </c>
      <c r="D72" s="260" t="s">
        <v>1084</v>
      </c>
      <c r="E72" s="261" t="s">
        <v>29</v>
      </c>
      <c r="F72" s="261" t="s">
        <v>21</v>
      </c>
      <c r="G72" s="262" t="s">
        <v>72</v>
      </c>
      <c r="H72" s="263" t="s">
        <v>26</v>
      </c>
      <c r="I72" s="262" t="s">
        <v>167</v>
      </c>
      <c r="J72" s="263" t="s">
        <v>174</v>
      </c>
      <c r="K72" s="264">
        <v>94190</v>
      </c>
      <c r="L72" s="265" t="s">
        <v>2057</v>
      </c>
      <c r="M72" s="266" t="s">
        <v>14</v>
      </c>
    </row>
    <row r="73" spans="1:13" ht="58">
      <c r="A73" s="258" t="s">
        <v>920</v>
      </c>
      <c r="B73" s="259" t="s">
        <v>992</v>
      </c>
      <c r="C73" s="259" t="s">
        <v>1065</v>
      </c>
      <c r="D73" s="260" t="s">
        <v>1084</v>
      </c>
      <c r="E73" s="261" t="s">
        <v>29</v>
      </c>
      <c r="F73" s="261" t="s">
        <v>21</v>
      </c>
      <c r="G73" s="262" t="s">
        <v>72</v>
      </c>
      <c r="H73" s="263" t="s">
        <v>42</v>
      </c>
      <c r="I73" s="262" t="s">
        <v>167</v>
      </c>
      <c r="J73" s="263" t="s">
        <v>174</v>
      </c>
      <c r="K73" s="264">
        <v>290160</v>
      </c>
      <c r="L73" s="265" t="s">
        <v>2057</v>
      </c>
      <c r="M73" s="266" t="s">
        <v>14</v>
      </c>
    </row>
    <row r="74" spans="1:13" ht="58">
      <c r="A74" s="258" t="s">
        <v>920</v>
      </c>
      <c r="B74" s="259" t="s">
        <v>993</v>
      </c>
      <c r="C74" s="259" t="s">
        <v>1065</v>
      </c>
      <c r="D74" s="260" t="s">
        <v>1085</v>
      </c>
      <c r="E74" s="261" t="s">
        <v>128</v>
      </c>
      <c r="F74" s="261" t="s">
        <v>21</v>
      </c>
      <c r="G74" s="262" t="s">
        <v>70</v>
      </c>
      <c r="H74" s="263" t="s">
        <v>42</v>
      </c>
      <c r="I74" s="262" t="s">
        <v>436</v>
      </c>
      <c r="J74" s="263" t="s">
        <v>174</v>
      </c>
      <c r="K74" s="264">
        <v>27531000</v>
      </c>
      <c r="L74" s="265" t="s">
        <v>2057</v>
      </c>
      <c r="M74" s="266" t="s">
        <v>14</v>
      </c>
    </row>
    <row r="75" spans="1:13" ht="58">
      <c r="A75" s="258" t="s">
        <v>920</v>
      </c>
      <c r="B75" s="259" t="s">
        <v>994</v>
      </c>
      <c r="C75" s="259" t="s">
        <v>1065</v>
      </c>
      <c r="D75" s="260" t="s">
        <v>1085</v>
      </c>
      <c r="E75" s="261" t="s">
        <v>128</v>
      </c>
      <c r="F75" s="261" t="s">
        <v>21</v>
      </c>
      <c r="G75" s="262" t="s">
        <v>74</v>
      </c>
      <c r="H75" s="263" t="s">
        <v>42</v>
      </c>
      <c r="I75" s="262" t="s">
        <v>436</v>
      </c>
      <c r="J75" s="263" t="s">
        <v>174</v>
      </c>
      <c r="K75" s="264">
        <v>28255500</v>
      </c>
      <c r="L75" s="265" t="s">
        <v>2057</v>
      </c>
      <c r="M75" s="266" t="s">
        <v>14</v>
      </c>
    </row>
    <row r="76" spans="1:13" ht="58">
      <c r="A76" s="258" t="s">
        <v>920</v>
      </c>
      <c r="B76" s="259" t="s">
        <v>995</v>
      </c>
      <c r="C76" s="259" t="s">
        <v>1065</v>
      </c>
      <c r="D76" s="260" t="s">
        <v>1085</v>
      </c>
      <c r="E76" s="261" t="s">
        <v>128</v>
      </c>
      <c r="F76" s="261" t="s">
        <v>21</v>
      </c>
      <c r="G76" s="262" t="s">
        <v>72</v>
      </c>
      <c r="H76" s="263" t="s">
        <v>42</v>
      </c>
      <c r="I76" s="262" t="s">
        <v>436</v>
      </c>
      <c r="J76" s="263" t="s">
        <v>174</v>
      </c>
      <c r="K76" s="264">
        <v>28980000</v>
      </c>
      <c r="L76" s="265" t="s">
        <v>2057</v>
      </c>
      <c r="M76" s="266" t="s">
        <v>14</v>
      </c>
    </row>
    <row r="77" spans="1:13" ht="58">
      <c r="A77" s="258" t="s">
        <v>920</v>
      </c>
      <c r="B77" s="259" t="s">
        <v>996</v>
      </c>
      <c r="C77" s="259" t="s">
        <v>1065</v>
      </c>
      <c r="D77" s="260" t="s">
        <v>1086</v>
      </c>
      <c r="E77" s="261" t="s">
        <v>29</v>
      </c>
      <c r="F77" s="261" t="s">
        <v>21</v>
      </c>
      <c r="G77" s="262" t="s">
        <v>74</v>
      </c>
      <c r="H77" s="263" t="s">
        <v>26</v>
      </c>
      <c r="I77" s="262" t="s">
        <v>436</v>
      </c>
      <c r="J77" s="263" t="s">
        <v>174</v>
      </c>
      <c r="K77" s="264">
        <v>94190</v>
      </c>
      <c r="L77" s="265" t="s">
        <v>2057</v>
      </c>
      <c r="M77" s="266" t="s">
        <v>14</v>
      </c>
    </row>
    <row r="78" spans="1:13" ht="58">
      <c r="A78" s="258" t="s">
        <v>920</v>
      </c>
      <c r="B78" s="259" t="s">
        <v>997</v>
      </c>
      <c r="C78" s="259" t="s">
        <v>1065</v>
      </c>
      <c r="D78" s="260" t="s">
        <v>1086</v>
      </c>
      <c r="E78" s="261" t="s">
        <v>29</v>
      </c>
      <c r="F78" s="261" t="s">
        <v>21</v>
      </c>
      <c r="G78" s="262" t="s">
        <v>74</v>
      </c>
      <c r="H78" s="263" t="s">
        <v>42</v>
      </c>
      <c r="I78" s="262" t="s">
        <v>436</v>
      </c>
      <c r="J78" s="263" t="s">
        <v>174</v>
      </c>
      <c r="K78" s="264">
        <v>123170</v>
      </c>
      <c r="L78" s="265" t="s">
        <v>2057</v>
      </c>
      <c r="M78" s="266" t="s">
        <v>14</v>
      </c>
    </row>
    <row r="79" spans="1:13" ht="58">
      <c r="A79" s="258" t="s">
        <v>920</v>
      </c>
      <c r="B79" s="259" t="s">
        <v>998</v>
      </c>
      <c r="C79" s="259" t="s">
        <v>1065</v>
      </c>
      <c r="D79" s="260" t="s">
        <v>1086</v>
      </c>
      <c r="E79" s="261" t="s">
        <v>29</v>
      </c>
      <c r="F79" s="261" t="s">
        <v>21</v>
      </c>
      <c r="G79" s="262" t="s">
        <v>70</v>
      </c>
      <c r="H79" s="263" t="s">
        <v>26</v>
      </c>
      <c r="I79" s="262" t="s">
        <v>436</v>
      </c>
      <c r="J79" s="263" t="s">
        <v>174</v>
      </c>
      <c r="K79" s="264">
        <v>94190</v>
      </c>
      <c r="L79" s="265" t="s">
        <v>2057</v>
      </c>
      <c r="M79" s="266" t="s">
        <v>14</v>
      </c>
    </row>
    <row r="80" spans="1:13" ht="58">
      <c r="A80" s="258" t="s">
        <v>920</v>
      </c>
      <c r="B80" s="259" t="s">
        <v>999</v>
      </c>
      <c r="C80" s="259" t="s">
        <v>1065</v>
      </c>
      <c r="D80" s="260" t="s">
        <v>1086</v>
      </c>
      <c r="E80" s="261" t="s">
        <v>29</v>
      </c>
      <c r="F80" s="261" t="s">
        <v>21</v>
      </c>
      <c r="G80" s="262" t="s">
        <v>72</v>
      </c>
      <c r="H80" s="263" t="s">
        <v>26</v>
      </c>
      <c r="I80" s="262" t="s">
        <v>436</v>
      </c>
      <c r="J80" s="263" t="s">
        <v>174</v>
      </c>
      <c r="K80" s="264">
        <v>94190</v>
      </c>
      <c r="L80" s="265" t="s">
        <v>2057</v>
      </c>
      <c r="M80" s="266" t="s">
        <v>14</v>
      </c>
    </row>
    <row r="81" spans="1:13" ht="58">
      <c r="A81" s="258" t="s">
        <v>920</v>
      </c>
      <c r="B81" s="259" t="s">
        <v>1000</v>
      </c>
      <c r="C81" s="259" t="s">
        <v>1065</v>
      </c>
      <c r="D81" s="260" t="s">
        <v>1086</v>
      </c>
      <c r="E81" s="261" t="s">
        <v>29</v>
      </c>
      <c r="F81" s="261" t="s">
        <v>21</v>
      </c>
      <c r="G81" s="262" t="s">
        <v>72</v>
      </c>
      <c r="H81" s="263" t="s">
        <v>42</v>
      </c>
      <c r="I81" s="262" t="s">
        <v>436</v>
      </c>
      <c r="J81" s="263" t="s">
        <v>174</v>
      </c>
      <c r="K81" s="264">
        <v>130410</v>
      </c>
      <c r="L81" s="265" t="s">
        <v>2057</v>
      </c>
      <c r="M81" s="266" t="s">
        <v>14</v>
      </c>
    </row>
    <row r="82" spans="1:13" ht="58">
      <c r="A82" s="258" t="s">
        <v>920</v>
      </c>
      <c r="B82" s="259" t="s">
        <v>1001</v>
      </c>
      <c r="C82" s="259" t="s">
        <v>1065</v>
      </c>
      <c r="D82" s="260" t="s">
        <v>1086</v>
      </c>
      <c r="E82" s="261" t="s">
        <v>29</v>
      </c>
      <c r="F82" s="261" t="s">
        <v>21</v>
      </c>
      <c r="G82" s="262" t="s">
        <v>70</v>
      </c>
      <c r="H82" s="263" t="s">
        <v>42</v>
      </c>
      <c r="I82" s="262" t="s">
        <v>436</v>
      </c>
      <c r="J82" s="263" t="s">
        <v>174</v>
      </c>
      <c r="K82" s="264">
        <v>108680</v>
      </c>
      <c r="L82" s="265" t="s">
        <v>2057</v>
      </c>
      <c r="M82" s="266" t="s">
        <v>14</v>
      </c>
    </row>
    <row r="83" spans="1:13" ht="58">
      <c r="A83" s="258" t="s">
        <v>920</v>
      </c>
      <c r="B83" s="259" t="s">
        <v>1002</v>
      </c>
      <c r="C83" s="259" t="s">
        <v>1065</v>
      </c>
      <c r="D83" s="260" t="s">
        <v>1087</v>
      </c>
      <c r="E83" s="261" t="s">
        <v>29</v>
      </c>
      <c r="F83" s="261" t="s">
        <v>21</v>
      </c>
      <c r="G83" s="262" t="s">
        <v>70</v>
      </c>
      <c r="H83" s="263" t="s">
        <v>42</v>
      </c>
      <c r="I83" s="262" t="s">
        <v>436</v>
      </c>
      <c r="J83" s="263" t="s">
        <v>174</v>
      </c>
      <c r="K83" s="264">
        <v>108680</v>
      </c>
      <c r="L83" s="265" t="s">
        <v>2057</v>
      </c>
      <c r="M83" s="266" t="s">
        <v>14</v>
      </c>
    </row>
    <row r="84" spans="1:13" ht="58">
      <c r="A84" s="258" t="s">
        <v>920</v>
      </c>
      <c r="B84" s="259" t="s">
        <v>1003</v>
      </c>
      <c r="C84" s="259" t="s">
        <v>1065</v>
      </c>
      <c r="D84" s="260" t="s">
        <v>1087</v>
      </c>
      <c r="E84" s="261" t="s">
        <v>29</v>
      </c>
      <c r="F84" s="261" t="s">
        <v>21</v>
      </c>
      <c r="G84" s="262" t="s">
        <v>74</v>
      </c>
      <c r="H84" s="263" t="s">
        <v>26</v>
      </c>
      <c r="I84" s="262" t="s">
        <v>436</v>
      </c>
      <c r="J84" s="263" t="s">
        <v>174</v>
      </c>
      <c r="K84" s="264">
        <v>108680</v>
      </c>
      <c r="L84" s="265" t="s">
        <v>2057</v>
      </c>
      <c r="M84" s="266" t="s">
        <v>14</v>
      </c>
    </row>
    <row r="85" spans="1:13" ht="58">
      <c r="A85" s="258" t="s">
        <v>920</v>
      </c>
      <c r="B85" s="259" t="s">
        <v>1004</v>
      </c>
      <c r="C85" s="259" t="s">
        <v>1065</v>
      </c>
      <c r="D85" s="260" t="s">
        <v>1087</v>
      </c>
      <c r="E85" s="261" t="s">
        <v>29</v>
      </c>
      <c r="F85" s="261" t="s">
        <v>21</v>
      </c>
      <c r="G85" s="262" t="s">
        <v>74</v>
      </c>
      <c r="H85" s="263" t="s">
        <v>42</v>
      </c>
      <c r="I85" s="262" t="s">
        <v>436</v>
      </c>
      <c r="J85" s="263" t="s">
        <v>174</v>
      </c>
      <c r="K85" s="264">
        <v>160120</v>
      </c>
      <c r="L85" s="265" t="s">
        <v>2057</v>
      </c>
      <c r="M85" s="266" t="s">
        <v>14</v>
      </c>
    </row>
    <row r="86" spans="1:13" ht="58">
      <c r="A86" s="258" t="s">
        <v>920</v>
      </c>
      <c r="B86" s="259" t="s">
        <v>1005</v>
      </c>
      <c r="C86" s="259" t="s">
        <v>1065</v>
      </c>
      <c r="D86" s="260" t="s">
        <v>1087</v>
      </c>
      <c r="E86" s="261" t="s">
        <v>29</v>
      </c>
      <c r="F86" s="261" t="s">
        <v>21</v>
      </c>
      <c r="G86" s="262" t="s">
        <v>72</v>
      </c>
      <c r="H86" s="263" t="s">
        <v>26</v>
      </c>
      <c r="I86" s="262" t="s">
        <v>436</v>
      </c>
      <c r="J86" s="263" t="s">
        <v>174</v>
      </c>
      <c r="K86" s="264">
        <v>108680</v>
      </c>
      <c r="L86" s="265" t="s">
        <v>2057</v>
      </c>
      <c r="M86" s="266" t="s">
        <v>14</v>
      </c>
    </row>
    <row r="87" spans="1:13" ht="58">
      <c r="A87" s="258" t="s">
        <v>920</v>
      </c>
      <c r="B87" s="259" t="s">
        <v>1006</v>
      </c>
      <c r="C87" s="259" t="s">
        <v>1065</v>
      </c>
      <c r="D87" s="260" t="s">
        <v>1087</v>
      </c>
      <c r="E87" s="261" t="s">
        <v>29</v>
      </c>
      <c r="F87" s="261" t="s">
        <v>21</v>
      </c>
      <c r="G87" s="262" t="s">
        <v>72</v>
      </c>
      <c r="H87" s="263" t="s">
        <v>42</v>
      </c>
      <c r="I87" s="262" t="s">
        <v>436</v>
      </c>
      <c r="J87" s="263" t="s">
        <v>174</v>
      </c>
      <c r="K87" s="264">
        <v>169540</v>
      </c>
      <c r="L87" s="265" t="s">
        <v>2057</v>
      </c>
      <c r="M87" s="266" t="s">
        <v>14</v>
      </c>
    </row>
    <row r="88" spans="1:13" ht="58">
      <c r="A88" s="258" t="s">
        <v>920</v>
      </c>
      <c r="B88" s="259" t="s">
        <v>1007</v>
      </c>
      <c r="C88" s="259" t="s">
        <v>1065</v>
      </c>
      <c r="D88" s="260" t="s">
        <v>1087</v>
      </c>
      <c r="E88" s="261" t="s">
        <v>29</v>
      </c>
      <c r="F88" s="261" t="s">
        <v>21</v>
      </c>
      <c r="G88" s="262" t="s">
        <v>70</v>
      </c>
      <c r="H88" s="263" t="s">
        <v>26</v>
      </c>
      <c r="I88" s="262" t="s">
        <v>436</v>
      </c>
      <c r="J88" s="263" t="s">
        <v>174</v>
      </c>
      <c r="K88" s="264">
        <v>108680</v>
      </c>
      <c r="L88" s="265" t="s">
        <v>2057</v>
      </c>
      <c r="M88" s="266" t="s">
        <v>14</v>
      </c>
    </row>
    <row r="89" spans="1:13" ht="58">
      <c r="A89" s="258" t="s">
        <v>920</v>
      </c>
      <c r="B89" s="259" t="s">
        <v>1008</v>
      </c>
      <c r="C89" s="259" t="s">
        <v>1065</v>
      </c>
      <c r="D89" s="260" t="s">
        <v>1088</v>
      </c>
      <c r="E89" s="261" t="s">
        <v>91</v>
      </c>
      <c r="F89" s="261" t="s">
        <v>21</v>
      </c>
      <c r="G89" s="262" t="s">
        <v>70</v>
      </c>
      <c r="H89" s="263" t="s">
        <v>26</v>
      </c>
      <c r="I89" s="262" t="s">
        <v>166</v>
      </c>
      <c r="J89" s="263" t="s">
        <v>174</v>
      </c>
      <c r="K89" s="264">
        <v>869400</v>
      </c>
      <c r="L89" s="265" t="s">
        <v>2057</v>
      </c>
      <c r="M89" s="266" t="s">
        <v>14</v>
      </c>
    </row>
    <row r="90" spans="1:13" ht="58">
      <c r="A90" s="258" t="s">
        <v>920</v>
      </c>
      <c r="B90" s="259" t="s">
        <v>1009</v>
      </c>
      <c r="C90" s="259" t="s">
        <v>1065</v>
      </c>
      <c r="D90" s="260" t="s">
        <v>1088</v>
      </c>
      <c r="E90" s="261" t="s">
        <v>91</v>
      </c>
      <c r="F90" s="261" t="s">
        <v>21</v>
      </c>
      <c r="G90" s="262" t="s">
        <v>70</v>
      </c>
      <c r="H90" s="263" t="s">
        <v>42</v>
      </c>
      <c r="I90" s="262" t="s">
        <v>166</v>
      </c>
      <c r="J90" s="263" t="s">
        <v>174</v>
      </c>
      <c r="K90" s="264">
        <v>1593900</v>
      </c>
      <c r="L90" s="265" t="s">
        <v>2057</v>
      </c>
      <c r="M90" s="266" t="s">
        <v>14</v>
      </c>
    </row>
    <row r="91" spans="1:13" ht="58">
      <c r="A91" s="258" t="s">
        <v>920</v>
      </c>
      <c r="B91" s="259" t="s">
        <v>1010</v>
      </c>
      <c r="C91" s="259" t="s">
        <v>1065</v>
      </c>
      <c r="D91" s="260" t="s">
        <v>1088</v>
      </c>
      <c r="E91" s="261" t="s">
        <v>91</v>
      </c>
      <c r="F91" s="261" t="s">
        <v>21</v>
      </c>
      <c r="G91" s="262" t="s">
        <v>74</v>
      </c>
      <c r="H91" s="263" t="s">
        <v>26</v>
      </c>
      <c r="I91" s="262" t="s">
        <v>166</v>
      </c>
      <c r="J91" s="263" t="s">
        <v>174</v>
      </c>
      <c r="K91" s="264">
        <v>869400</v>
      </c>
      <c r="L91" s="265" t="s">
        <v>2057</v>
      </c>
      <c r="M91" s="266" t="s">
        <v>14</v>
      </c>
    </row>
    <row r="92" spans="1:13" ht="58">
      <c r="A92" s="258" t="s">
        <v>920</v>
      </c>
      <c r="B92" s="259" t="s">
        <v>1011</v>
      </c>
      <c r="C92" s="259" t="s">
        <v>1065</v>
      </c>
      <c r="D92" s="260" t="s">
        <v>1088</v>
      </c>
      <c r="E92" s="261" t="s">
        <v>91</v>
      </c>
      <c r="F92" s="261" t="s">
        <v>21</v>
      </c>
      <c r="G92" s="262" t="s">
        <v>74</v>
      </c>
      <c r="H92" s="263" t="s">
        <v>42</v>
      </c>
      <c r="I92" s="262" t="s">
        <v>166</v>
      </c>
      <c r="J92" s="263" t="s">
        <v>174</v>
      </c>
      <c r="K92" s="264">
        <v>1666350</v>
      </c>
      <c r="L92" s="265" t="s">
        <v>2057</v>
      </c>
      <c r="M92" s="266" t="s">
        <v>14</v>
      </c>
    </row>
    <row r="93" spans="1:13" ht="58">
      <c r="A93" s="258" t="s">
        <v>920</v>
      </c>
      <c r="B93" s="259" t="s">
        <v>1012</v>
      </c>
      <c r="C93" s="259" t="s">
        <v>1065</v>
      </c>
      <c r="D93" s="260" t="s">
        <v>1088</v>
      </c>
      <c r="E93" s="261" t="s">
        <v>91</v>
      </c>
      <c r="F93" s="261" t="s">
        <v>21</v>
      </c>
      <c r="G93" s="262" t="s">
        <v>72</v>
      </c>
      <c r="H93" s="263" t="s">
        <v>26</v>
      </c>
      <c r="I93" s="262" t="s">
        <v>166</v>
      </c>
      <c r="J93" s="263" t="s">
        <v>174</v>
      </c>
      <c r="K93" s="264">
        <v>869400</v>
      </c>
      <c r="L93" s="265" t="s">
        <v>2057</v>
      </c>
      <c r="M93" s="266" t="s">
        <v>14</v>
      </c>
    </row>
    <row r="94" spans="1:13" ht="58">
      <c r="A94" s="258" t="s">
        <v>920</v>
      </c>
      <c r="B94" s="259" t="s">
        <v>1013</v>
      </c>
      <c r="C94" s="259" t="s">
        <v>1065</v>
      </c>
      <c r="D94" s="260" t="s">
        <v>1088</v>
      </c>
      <c r="E94" s="261" t="s">
        <v>91</v>
      </c>
      <c r="F94" s="261" t="s">
        <v>21</v>
      </c>
      <c r="G94" s="262" t="s">
        <v>72</v>
      </c>
      <c r="H94" s="263" t="s">
        <v>42</v>
      </c>
      <c r="I94" s="262" t="s">
        <v>166</v>
      </c>
      <c r="J94" s="263" t="s">
        <v>174</v>
      </c>
      <c r="K94" s="264">
        <v>1811250</v>
      </c>
      <c r="L94" s="265" t="s">
        <v>2057</v>
      </c>
      <c r="M94" s="266" t="s">
        <v>14</v>
      </c>
    </row>
    <row r="95" spans="1:13" ht="58">
      <c r="A95" s="258" t="s">
        <v>920</v>
      </c>
      <c r="B95" s="259" t="s">
        <v>1014</v>
      </c>
      <c r="C95" s="259" t="s">
        <v>1065</v>
      </c>
      <c r="D95" s="260" t="s">
        <v>1089</v>
      </c>
      <c r="E95" s="261" t="s">
        <v>99</v>
      </c>
      <c r="F95" s="261" t="s">
        <v>21</v>
      </c>
      <c r="G95" s="262" t="s">
        <v>70</v>
      </c>
      <c r="H95" s="263" t="s">
        <v>26</v>
      </c>
      <c r="I95" s="262" t="s">
        <v>166</v>
      </c>
      <c r="J95" s="263" t="s">
        <v>174</v>
      </c>
      <c r="K95" s="264">
        <v>1738800</v>
      </c>
      <c r="L95" s="265" t="s">
        <v>2057</v>
      </c>
      <c r="M95" s="266" t="s">
        <v>14</v>
      </c>
    </row>
    <row r="96" spans="1:13" ht="58">
      <c r="A96" s="258" t="s">
        <v>920</v>
      </c>
      <c r="B96" s="259" t="s">
        <v>1015</v>
      </c>
      <c r="C96" s="259" t="s">
        <v>1065</v>
      </c>
      <c r="D96" s="260" t="s">
        <v>1089</v>
      </c>
      <c r="E96" s="261" t="s">
        <v>99</v>
      </c>
      <c r="F96" s="261" t="s">
        <v>21</v>
      </c>
      <c r="G96" s="262" t="s">
        <v>70</v>
      </c>
      <c r="H96" s="263" t="s">
        <v>42</v>
      </c>
      <c r="I96" s="262" t="s">
        <v>166</v>
      </c>
      <c r="J96" s="263" t="s">
        <v>174</v>
      </c>
      <c r="K96" s="264">
        <v>3187800</v>
      </c>
      <c r="L96" s="265" t="s">
        <v>2057</v>
      </c>
      <c r="M96" s="266" t="s">
        <v>14</v>
      </c>
    </row>
    <row r="97" spans="1:13" ht="58">
      <c r="A97" s="258" t="s">
        <v>920</v>
      </c>
      <c r="B97" s="259" t="s">
        <v>1016</v>
      </c>
      <c r="C97" s="259" t="s">
        <v>1065</v>
      </c>
      <c r="D97" s="260" t="s">
        <v>10276</v>
      </c>
      <c r="E97" s="261" t="s">
        <v>99</v>
      </c>
      <c r="F97" s="261" t="s">
        <v>21</v>
      </c>
      <c r="G97" s="262" t="s">
        <v>74</v>
      </c>
      <c r="H97" s="263" t="s">
        <v>26</v>
      </c>
      <c r="I97" s="262" t="s">
        <v>166</v>
      </c>
      <c r="J97" s="263" t="s">
        <v>174</v>
      </c>
      <c r="K97" s="264">
        <v>1738800</v>
      </c>
      <c r="L97" s="265" t="s">
        <v>2057</v>
      </c>
      <c r="M97" s="266" t="s">
        <v>14</v>
      </c>
    </row>
    <row r="98" spans="1:13" ht="58">
      <c r="A98" s="258" t="s">
        <v>920</v>
      </c>
      <c r="B98" s="259" t="s">
        <v>1017</v>
      </c>
      <c r="C98" s="259" t="s">
        <v>1065</v>
      </c>
      <c r="D98" s="260" t="s">
        <v>10276</v>
      </c>
      <c r="E98" s="261" t="s">
        <v>99</v>
      </c>
      <c r="F98" s="261" t="s">
        <v>21</v>
      </c>
      <c r="G98" s="262" t="s">
        <v>74</v>
      </c>
      <c r="H98" s="263" t="s">
        <v>42</v>
      </c>
      <c r="I98" s="262" t="s">
        <v>166</v>
      </c>
      <c r="J98" s="263" t="s">
        <v>174</v>
      </c>
      <c r="K98" s="264">
        <v>3332700</v>
      </c>
      <c r="L98" s="265" t="s">
        <v>2057</v>
      </c>
      <c r="M98" s="266" t="s">
        <v>14</v>
      </c>
    </row>
    <row r="99" spans="1:13" ht="58">
      <c r="A99" s="258" t="s">
        <v>920</v>
      </c>
      <c r="B99" s="259" t="s">
        <v>1018</v>
      </c>
      <c r="C99" s="259" t="s">
        <v>1065</v>
      </c>
      <c r="D99" s="260" t="s">
        <v>10276</v>
      </c>
      <c r="E99" s="261" t="s">
        <v>99</v>
      </c>
      <c r="F99" s="261" t="s">
        <v>21</v>
      </c>
      <c r="G99" s="262" t="s">
        <v>72</v>
      </c>
      <c r="H99" s="263" t="s">
        <v>26</v>
      </c>
      <c r="I99" s="262" t="s">
        <v>166</v>
      </c>
      <c r="J99" s="263" t="s">
        <v>174</v>
      </c>
      <c r="K99" s="264">
        <v>1738800</v>
      </c>
      <c r="L99" s="265" t="s">
        <v>2057</v>
      </c>
      <c r="M99" s="266" t="s">
        <v>14</v>
      </c>
    </row>
    <row r="100" spans="1:13" ht="58">
      <c r="A100" s="258" t="s">
        <v>920</v>
      </c>
      <c r="B100" s="259" t="s">
        <v>1019</v>
      </c>
      <c r="C100" s="259" t="s">
        <v>1065</v>
      </c>
      <c r="D100" s="260" t="s">
        <v>10276</v>
      </c>
      <c r="E100" s="261" t="s">
        <v>99</v>
      </c>
      <c r="F100" s="261" t="s">
        <v>21</v>
      </c>
      <c r="G100" s="262" t="s">
        <v>72</v>
      </c>
      <c r="H100" s="263" t="s">
        <v>42</v>
      </c>
      <c r="I100" s="262" t="s">
        <v>166</v>
      </c>
      <c r="J100" s="263" t="s">
        <v>174</v>
      </c>
      <c r="K100" s="264">
        <v>3622500</v>
      </c>
      <c r="L100" s="265" t="s">
        <v>2057</v>
      </c>
      <c r="M100" s="266" t="s">
        <v>14</v>
      </c>
    </row>
    <row r="101" spans="1:13" ht="58">
      <c r="A101" s="258" t="s">
        <v>920</v>
      </c>
      <c r="B101" s="259" t="s">
        <v>1020</v>
      </c>
      <c r="C101" s="259" t="s">
        <v>1065</v>
      </c>
      <c r="D101" s="260" t="s">
        <v>10277</v>
      </c>
      <c r="E101" s="261" t="s">
        <v>91</v>
      </c>
      <c r="F101" s="261" t="s">
        <v>21</v>
      </c>
      <c r="G101" s="262" t="s">
        <v>70</v>
      </c>
      <c r="H101" s="263" t="s">
        <v>26</v>
      </c>
      <c r="I101" s="262" t="s">
        <v>166</v>
      </c>
      <c r="J101" s="263" t="s">
        <v>174</v>
      </c>
      <c r="K101" s="264">
        <v>1376550</v>
      </c>
      <c r="L101" s="265" t="s">
        <v>2057</v>
      </c>
      <c r="M101" s="266" t="s">
        <v>14</v>
      </c>
    </row>
    <row r="102" spans="1:13" ht="58">
      <c r="A102" s="258" t="s">
        <v>920</v>
      </c>
      <c r="B102" s="259" t="s">
        <v>1021</v>
      </c>
      <c r="C102" s="259" t="s">
        <v>1065</v>
      </c>
      <c r="D102" s="260" t="s">
        <v>10277</v>
      </c>
      <c r="E102" s="261" t="s">
        <v>91</v>
      </c>
      <c r="F102" s="261" t="s">
        <v>21</v>
      </c>
      <c r="G102" s="262" t="s">
        <v>70</v>
      </c>
      <c r="H102" s="263" t="s">
        <v>42</v>
      </c>
      <c r="I102" s="262" t="s">
        <v>166</v>
      </c>
      <c r="J102" s="263" t="s">
        <v>174</v>
      </c>
      <c r="K102" s="264">
        <v>2101050</v>
      </c>
      <c r="L102" s="265" t="s">
        <v>2057</v>
      </c>
      <c r="M102" s="266" t="s">
        <v>14</v>
      </c>
    </row>
    <row r="103" spans="1:13" ht="58">
      <c r="A103" s="258" t="s">
        <v>920</v>
      </c>
      <c r="B103" s="259" t="s">
        <v>1022</v>
      </c>
      <c r="C103" s="259" t="s">
        <v>1065</v>
      </c>
      <c r="D103" s="260" t="s">
        <v>10277</v>
      </c>
      <c r="E103" s="261" t="s">
        <v>91</v>
      </c>
      <c r="F103" s="261" t="s">
        <v>21</v>
      </c>
      <c r="G103" s="262" t="s">
        <v>74</v>
      </c>
      <c r="H103" s="263" t="s">
        <v>26</v>
      </c>
      <c r="I103" s="262" t="s">
        <v>166</v>
      </c>
      <c r="J103" s="263" t="s">
        <v>174</v>
      </c>
      <c r="K103" s="264">
        <v>1376550</v>
      </c>
      <c r="L103" s="265" t="s">
        <v>2057</v>
      </c>
      <c r="M103" s="266" t="s">
        <v>14</v>
      </c>
    </row>
    <row r="104" spans="1:13" ht="58">
      <c r="A104" s="258" t="s">
        <v>920</v>
      </c>
      <c r="B104" s="259" t="s">
        <v>1023</v>
      </c>
      <c r="C104" s="259" t="s">
        <v>1065</v>
      </c>
      <c r="D104" s="260" t="s">
        <v>10277</v>
      </c>
      <c r="E104" s="261" t="s">
        <v>91</v>
      </c>
      <c r="F104" s="261" t="s">
        <v>21</v>
      </c>
      <c r="G104" s="262" t="s">
        <v>74</v>
      </c>
      <c r="H104" s="263" t="s">
        <v>42</v>
      </c>
      <c r="I104" s="262" t="s">
        <v>166</v>
      </c>
      <c r="J104" s="263" t="s">
        <v>174</v>
      </c>
      <c r="K104" s="264">
        <v>2173500</v>
      </c>
      <c r="L104" s="265" t="s">
        <v>2057</v>
      </c>
      <c r="M104" s="266" t="s">
        <v>14</v>
      </c>
    </row>
    <row r="105" spans="1:13" ht="58">
      <c r="A105" s="258" t="s">
        <v>920</v>
      </c>
      <c r="B105" s="259" t="s">
        <v>1024</v>
      </c>
      <c r="C105" s="259" t="s">
        <v>1065</v>
      </c>
      <c r="D105" s="260" t="s">
        <v>10277</v>
      </c>
      <c r="E105" s="261" t="s">
        <v>91</v>
      </c>
      <c r="F105" s="261" t="s">
        <v>21</v>
      </c>
      <c r="G105" s="262" t="s">
        <v>72</v>
      </c>
      <c r="H105" s="263" t="s">
        <v>26</v>
      </c>
      <c r="I105" s="262" t="s">
        <v>166</v>
      </c>
      <c r="J105" s="263" t="s">
        <v>174</v>
      </c>
      <c r="K105" s="264">
        <v>1376550</v>
      </c>
      <c r="L105" s="265" t="s">
        <v>2057</v>
      </c>
      <c r="M105" s="266" t="s">
        <v>14</v>
      </c>
    </row>
    <row r="106" spans="1:13" ht="58">
      <c r="A106" s="258" t="s">
        <v>920</v>
      </c>
      <c r="B106" s="259" t="s">
        <v>1025</v>
      </c>
      <c r="C106" s="259" t="s">
        <v>1065</v>
      </c>
      <c r="D106" s="260" t="s">
        <v>10278</v>
      </c>
      <c r="E106" s="261" t="s">
        <v>91</v>
      </c>
      <c r="F106" s="261" t="s">
        <v>21</v>
      </c>
      <c r="G106" s="262" t="s">
        <v>72</v>
      </c>
      <c r="H106" s="263" t="s">
        <v>42</v>
      </c>
      <c r="I106" s="262" t="s">
        <v>166</v>
      </c>
      <c r="J106" s="263" t="s">
        <v>174</v>
      </c>
      <c r="K106" s="264">
        <v>2245950</v>
      </c>
      <c r="L106" s="265" t="s">
        <v>2057</v>
      </c>
      <c r="M106" s="266" t="s">
        <v>14</v>
      </c>
    </row>
    <row r="107" spans="1:13" ht="58">
      <c r="A107" s="258" t="s">
        <v>920</v>
      </c>
      <c r="B107" s="259" t="s">
        <v>1026</v>
      </c>
      <c r="C107" s="259" t="s">
        <v>1065</v>
      </c>
      <c r="D107" s="260" t="s">
        <v>10279</v>
      </c>
      <c r="E107" s="261" t="s">
        <v>99</v>
      </c>
      <c r="F107" s="261" t="s">
        <v>21</v>
      </c>
      <c r="G107" s="262" t="s">
        <v>70</v>
      </c>
      <c r="H107" s="263" t="s">
        <v>26</v>
      </c>
      <c r="I107" s="262" t="s">
        <v>166</v>
      </c>
      <c r="J107" s="263" t="s">
        <v>174</v>
      </c>
      <c r="K107" s="264">
        <v>2753100</v>
      </c>
      <c r="L107" s="265" t="s">
        <v>2057</v>
      </c>
      <c r="M107" s="266" t="s">
        <v>14</v>
      </c>
    </row>
    <row r="108" spans="1:13" ht="58">
      <c r="A108" s="258" t="s">
        <v>920</v>
      </c>
      <c r="B108" s="259" t="s">
        <v>1027</v>
      </c>
      <c r="C108" s="259" t="s">
        <v>1065</v>
      </c>
      <c r="D108" s="260" t="s">
        <v>10279</v>
      </c>
      <c r="E108" s="261" t="s">
        <v>99</v>
      </c>
      <c r="F108" s="261" t="s">
        <v>21</v>
      </c>
      <c r="G108" s="262" t="s">
        <v>70</v>
      </c>
      <c r="H108" s="263" t="s">
        <v>42</v>
      </c>
      <c r="I108" s="262" t="s">
        <v>166</v>
      </c>
      <c r="J108" s="263" t="s">
        <v>174</v>
      </c>
      <c r="K108" s="264">
        <v>4202100</v>
      </c>
      <c r="L108" s="265" t="s">
        <v>2057</v>
      </c>
      <c r="M108" s="266" t="s">
        <v>14</v>
      </c>
    </row>
    <row r="109" spans="1:13" ht="58">
      <c r="A109" s="258" t="s">
        <v>920</v>
      </c>
      <c r="B109" s="259" t="s">
        <v>1028</v>
      </c>
      <c r="C109" s="259" t="s">
        <v>1065</v>
      </c>
      <c r="D109" s="260" t="s">
        <v>10279</v>
      </c>
      <c r="E109" s="261" t="s">
        <v>99</v>
      </c>
      <c r="F109" s="261" t="s">
        <v>21</v>
      </c>
      <c r="G109" s="262" t="s">
        <v>74</v>
      </c>
      <c r="H109" s="263" t="s">
        <v>26</v>
      </c>
      <c r="I109" s="262" t="s">
        <v>166</v>
      </c>
      <c r="J109" s="263" t="s">
        <v>174</v>
      </c>
      <c r="K109" s="264">
        <v>2753100</v>
      </c>
      <c r="L109" s="265" t="s">
        <v>2057</v>
      </c>
      <c r="M109" s="266" t="s">
        <v>14</v>
      </c>
    </row>
    <row r="110" spans="1:13" ht="58">
      <c r="A110" s="258" t="s">
        <v>920</v>
      </c>
      <c r="B110" s="259" t="s">
        <v>1029</v>
      </c>
      <c r="C110" s="259" t="s">
        <v>1065</v>
      </c>
      <c r="D110" s="260" t="s">
        <v>10279</v>
      </c>
      <c r="E110" s="261" t="s">
        <v>99</v>
      </c>
      <c r="F110" s="261" t="s">
        <v>21</v>
      </c>
      <c r="G110" s="262" t="s">
        <v>74</v>
      </c>
      <c r="H110" s="263" t="s">
        <v>42</v>
      </c>
      <c r="I110" s="262" t="s">
        <v>166</v>
      </c>
      <c r="J110" s="263" t="s">
        <v>174</v>
      </c>
      <c r="K110" s="264">
        <v>4347000</v>
      </c>
      <c r="L110" s="265" t="s">
        <v>2057</v>
      </c>
      <c r="M110" s="266" t="s">
        <v>14</v>
      </c>
    </row>
    <row r="111" spans="1:13" ht="58">
      <c r="A111" s="258" t="s">
        <v>920</v>
      </c>
      <c r="B111" s="259" t="s">
        <v>1030</v>
      </c>
      <c r="C111" s="259" t="s">
        <v>1065</v>
      </c>
      <c r="D111" s="260" t="s">
        <v>10279</v>
      </c>
      <c r="E111" s="261" t="s">
        <v>99</v>
      </c>
      <c r="F111" s="261" t="s">
        <v>21</v>
      </c>
      <c r="G111" s="262" t="s">
        <v>72</v>
      </c>
      <c r="H111" s="263" t="s">
        <v>26</v>
      </c>
      <c r="I111" s="262" t="s">
        <v>166</v>
      </c>
      <c r="J111" s="263" t="s">
        <v>174</v>
      </c>
      <c r="K111" s="264">
        <v>2753100</v>
      </c>
      <c r="L111" s="265" t="s">
        <v>2057</v>
      </c>
      <c r="M111" s="266" t="s">
        <v>14</v>
      </c>
    </row>
    <row r="112" spans="1:13" ht="58">
      <c r="A112" s="258" t="s">
        <v>920</v>
      </c>
      <c r="B112" s="259" t="s">
        <v>1031</v>
      </c>
      <c r="C112" s="259" t="s">
        <v>1065</v>
      </c>
      <c r="D112" s="260" t="s">
        <v>10279</v>
      </c>
      <c r="E112" s="261" t="s">
        <v>99</v>
      </c>
      <c r="F112" s="261" t="s">
        <v>21</v>
      </c>
      <c r="G112" s="262" t="s">
        <v>72</v>
      </c>
      <c r="H112" s="263" t="s">
        <v>42</v>
      </c>
      <c r="I112" s="262" t="s">
        <v>166</v>
      </c>
      <c r="J112" s="263" t="s">
        <v>174</v>
      </c>
      <c r="K112" s="264">
        <v>4491900</v>
      </c>
      <c r="L112" s="265" t="s">
        <v>2057</v>
      </c>
      <c r="M112" s="266" t="s">
        <v>14</v>
      </c>
    </row>
    <row r="113" spans="1:13" ht="58">
      <c r="A113" s="258" t="s">
        <v>920</v>
      </c>
      <c r="B113" s="259" t="s">
        <v>1032</v>
      </c>
      <c r="C113" s="259" t="s">
        <v>1065</v>
      </c>
      <c r="D113" s="260" t="s">
        <v>10280</v>
      </c>
      <c r="E113" s="261" t="s">
        <v>29</v>
      </c>
      <c r="F113" s="261" t="s">
        <v>21</v>
      </c>
      <c r="G113" s="262" t="s">
        <v>70</v>
      </c>
      <c r="H113" s="263" t="s">
        <v>26</v>
      </c>
      <c r="I113" s="262" t="s">
        <v>167</v>
      </c>
      <c r="J113" s="263" t="s">
        <v>174</v>
      </c>
      <c r="K113" s="264">
        <v>260000</v>
      </c>
      <c r="L113" s="265" t="s">
        <v>2057</v>
      </c>
      <c r="M113" s="266" t="s">
        <v>14</v>
      </c>
    </row>
    <row r="114" spans="1:13" ht="58">
      <c r="A114" s="258" t="s">
        <v>920</v>
      </c>
      <c r="B114" s="259" t="s">
        <v>1033</v>
      </c>
      <c r="C114" s="259" t="s">
        <v>1065</v>
      </c>
      <c r="D114" s="260" t="s">
        <v>10280</v>
      </c>
      <c r="E114" s="261" t="s">
        <v>29</v>
      </c>
      <c r="F114" s="261" t="s">
        <v>21</v>
      </c>
      <c r="G114" s="262" t="s">
        <v>70</v>
      </c>
      <c r="H114" s="263" t="s">
        <v>42</v>
      </c>
      <c r="I114" s="262" t="s">
        <v>167</v>
      </c>
      <c r="J114" s="263" t="s">
        <v>174</v>
      </c>
      <c r="K114" s="264">
        <v>312000</v>
      </c>
      <c r="L114" s="265" t="s">
        <v>2057</v>
      </c>
      <c r="M114" s="266" t="s">
        <v>14</v>
      </c>
    </row>
    <row r="115" spans="1:13" ht="58">
      <c r="A115" s="258" t="s">
        <v>920</v>
      </c>
      <c r="B115" s="259" t="s">
        <v>1034</v>
      </c>
      <c r="C115" s="259" t="s">
        <v>1065</v>
      </c>
      <c r="D115" s="260" t="s">
        <v>10280</v>
      </c>
      <c r="E115" s="261" t="s">
        <v>29</v>
      </c>
      <c r="F115" s="261" t="s">
        <v>21</v>
      </c>
      <c r="G115" s="262" t="s">
        <v>74</v>
      </c>
      <c r="H115" s="263" t="s">
        <v>26</v>
      </c>
      <c r="I115" s="262" t="s">
        <v>167</v>
      </c>
      <c r="J115" s="263" t="s">
        <v>174</v>
      </c>
      <c r="K115" s="264">
        <v>260000</v>
      </c>
      <c r="L115" s="265" t="s">
        <v>2057</v>
      </c>
      <c r="M115" s="266" t="s">
        <v>14</v>
      </c>
    </row>
    <row r="116" spans="1:13" ht="58">
      <c r="A116" s="258" t="s">
        <v>920</v>
      </c>
      <c r="B116" s="259" t="s">
        <v>1035</v>
      </c>
      <c r="C116" s="259" t="s">
        <v>1065</v>
      </c>
      <c r="D116" s="260" t="s">
        <v>10280</v>
      </c>
      <c r="E116" s="261" t="s">
        <v>29</v>
      </c>
      <c r="F116" s="261" t="s">
        <v>21</v>
      </c>
      <c r="G116" s="262" t="s">
        <v>74</v>
      </c>
      <c r="H116" s="263" t="s">
        <v>42</v>
      </c>
      <c r="I116" s="262" t="s">
        <v>167</v>
      </c>
      <c r="J116" s="263" t="s">
        <v>174</v>
      </c>
      <c r="K116" s="264">
        <v>374400</v>
      </c>
      <c r="L116" s="265" t="s">
        <v>2057</v>
      </c>
      <c r="M116" s="266" t="s">
        <v>14</v>
      </c>
    </row>
    <row r="117" spans="1:13" ht="58">
      <c r="A117" s="258" t="s">
        <v>920</v>
      </c>
      <c r="B117" s="259" t="s">
        <v>1036</v>
      </c>
      <c r="C117" s="259" t="s">
        <v>1065</v>
      </c>
      <c r="D117" s="260" t="s">
        <v>10280</v>
      </c>
      <c r="E117" s="261" t="s">
        <v>29</v>
      </c>
      <c r="F117" s="261" t="s">
        <v>21</v>
      </c>
      <c r="G117" s="262" t="s">
        <v>72</v>
      </c>
      <c r="H117" s="263" t="s">
        <v>26</v>
      </c>
      <c r="I117" s="262" t="s">
        <v>167</v>
      </c>
      <c r="J117" s="263" t="s">
        <v>174</v>
      </c>
      <c r="K117" s="264">
        <v>260000</v>
      </c>
      <c r="L117" s="265" t="s">
        <v>2057</v>
      </c>
      <c r="M117" s="266" t="s">
        <v>14</v>
      </c>
    </row>
    <row r="118" spans="1:13" ht="58">
      <c r="A118" s="258" t="s">
        <v>920</v>
      </c>
      <c r="B118" s="259" t="s">
        <v>1037</v>
      </c>
      <c r="C118" s="259" t="s">
        <v>1065</v>
      </c>
      <c r="D118" s="260" t="s">
        <v>10280</v>
      </c>
      <c r="E118" s="261" t="s">
        <v>29</v>
      </c>
      <c r="F118" s="261" t="s">
        <v>21</v>
      </c>
      <c r="G118" s="262" t="s">
        <v>72</v>
      </c>
      <c r="H118" s="263" t="s">
        <v>42</v>
      </c>
      <c r="I118" s="262" t="s">
        <v>167</v>
      </c>
      <c r="J118" s="263" t="s">
        <v>174</v>
      </c>
      <c r="K118" s="264">
        <v>405600</v>
      </c>
      <c r="L118" s="265" t="s">
        <v>2057</v>
      </c>
      <c r="M118" s="266" t="s">
        <v>14</v>
      </c>
    </row>
    <row r="119" spans="1:13" ht="58">
      <c r="A119" s="258" t="s">
        <v>920</v>
      </c>
      <c r="B119" s="259" t="s">
        <v>1038</v>
      </c>
      <c r="C119" s="259" t="s">
        <v>1065</v>
      </c>
      <c r="D119" s="260" t="s">
        <v>1090</v>
      </c>
      <c r="E119" s="261" t="s">
        <v>133</v>
      </c>
      <c r="F119" s="261" t="s">
        <v>21</v>
      </c>
      <c r="G119" s="262" t="s">
        <v>70</v>
      </c>
      <c r="H119" s="263" t="s">
        <v>26</v>
      </c>
      <c r="I119" s="262" t="s">
        <v>436</v>
      </c>
      <c r="J119" s="263" t="s">
        <v>174</v>
      </c>
      <c r="K119" s="264">
        <v>10143000</v>
      </c>
      <c r="L119" s="265" t="s">
        <v>2057</v>
      </c>
      <c r="M119" s="266" t="s">
        <v>14</v>
      </c>
    </row>
    <row r="120" spans="1:13" ht="58">
      <c r="A120" s="258" t="s">
        <v>920</v>
      </c>
      <c r="B120" s="259" t="s">
        <v>1039</v>
      </c>
      <c r="C120" s="259" t="s">
        <v>1065</v>
      </c>
      <c r="D120" s="260" t="s">
        <v>1090</v>
      </c>
      <c r="E120" s="261" t="s">
        <v>133</v>
      </c>
      <c r="F120" s="261" t="s">
        <v>21</v>
      </c>
      <c r="G120" s="262" t="s">
        <v>70</v>
      </c>
      <c r="H120" s="263" t="s">
        <v>42</v>
      </c>
      <c r="I120" s="262" t="s">
        <v>436</v>
      </c>
      <c r="J120" s="263" t="s">
        <v>174</v>
      </c>
      <c r="K120" s="264">
        <v>13765500</v>
      </c>
      <c r="L120" s="265" t="s">
        <v>2057</v>
      </c>
      <c r="M120" s="266" t="s">
        <v>14</v>
      </c>
    </row>
    <row r="121" spans="1:13" ht="58">
      <c r="A121" s="258" t="s">
        <v>920</v>
      </c>
      <c r="B121" s="259" t="s">
        <v>1040</v>
      </c>
      <c r="C121" s="259" t="s">
        <v>1065</v>
      </c>
      <c r="D121" s="260" t="s">
        <v>1090</v>
      </c>
      <c r="E121" s="261" t="s">
        <v>133</v>
      </c>
      <c r="F121" s="261" t="s">
        <v>21</v>
      </c>
      <c r="G121" s="262" t="s">
        <v>74</v>
      </c>
      <c r="H121" s="263" t="s">
        <v>26</v>
      </c>
      <c r="I121" s="262" t="s">
        <v>436</v>
      </c>
      <c r="J121" s="263" t="s">
        <v>174</v>
      </c>
      <c r="K121" s="264">
        <v>10143000</v>
      </c>
      <c r="L121" s="265" t="s">
        <v>2057</v>
      </c>
      <c r="M121" s="266" t="s">
        <v>14</v>
      </c>
    </row>
    <row r="122" spans="1:13" ht="58">
      <c r="A122" s="258" t="s">
        <v>920</v>
      </c>
      <c r="B122" s="259" t="s">
        <v>1041</v>
      </c>
      <c r="C122" s="259" t="s">
        <v>1065</v>
      </c>
      <c r="D122" s="260" t="s">
        <v>1090</v>
      </c>
      <c r="E122" s="261" t="s">
        <v>133</v>
      </c>
      <c r="F122" s="261" t="s">
        <v>21</v>
      </c>
      <c r="G122" s="262" t="s">
        <v>74</v>
      </c>
      <c r="H122" s="263" t="s">
        <v>42</v>
      </c>
      <c r="I122" s="262" t="s">
        <v>436</v>
      </c>
      <c r="J122" s="263" t="s">
        <v>174</v>
      </c>
      <c r="K122" s="264">
        <v>14127750</v>
      </c>
      <c r="L122" s="265" t="s">
        <v>2057</v>
      </c>
      <c r="M122" s="266" t="s">
        <v>14</v>
      </c>
    </row>
    <row r="123" spans="1:13" ht="58">
      <c r="A123" s="258" t="s">
        <v>920</v>
      </c>
      <c r="B123" s="259" t="s">
        <v>1042</v>
      </c>
      <c r="C123" s="259" t="s">
        <v>1065</v>
      </c>
      <c r="D123" s="260" t="s">
        <v>1090</v>
      </c>
      <c r="E123" s="261" t="s">
        <v>133</v>
      </c>
      <c r="F123" s="261" t="s">
        <v>21</v>
      </c>
      <c r="G123" s="262" t="s">
        <v>72</v>
      </c>
      <c r="H123" s="263" t="s">
        <v>26</v>
      </c>
      <c r="I123" s="262" t="s">
        <v>436</v>
      </c>
      <c r="J123" s="263" t="s">
        <v>174</v>
      </c>
      <c r="K123" s="264">
        <v>10143000</v>
      </c>
      <c r="L123" s="265" t="s">
        <v>2057</v>
      </c>
      <c r="M123" s="266" t="s">
        <v>14</v>
      </c>
    </row>
    <row r="124" spans="1:13" ht="58">
      <c r="A124" s="258" t="s">
        <v>920</v>
      </c>
      <c r="B124" s="259" t="s">
        <v>1043</v>
      </c>
      <c r="C124" s="259" t="s">
        <v>1065</v>
      </c>
      <c r="D124" s="260" t="s">
        <v>1090</v>
      </c>
      <c r="E124" s="261" t="s">
        <v>133</v>
      </c>
      <c r="F124" s="261" t="s">
        <v>21</v>
      </c>
      <c r="G124" s="262" t="s">
        <v>72</v>
      </c>
      <c r="H124" s="263" t="s">
        <v>42</v>
      </c>
      <c r="I124" s="262" t="s">
        <v>436</v>
      </c>
      <c r="J124" s="263" t="s">
        <v>174</v>
      </c>
      <c r="K124" s="264">
        <v>14490000</v>
      </c>
      <c r="L124" s="265" t="s">
        <v>2057</v>
      </c>
      <c r="M124" s="266" t="s">
        <v>14</v>
      </c>
    </row>
    <row r="125" spans="1:13" ht="58">
      <c r="A125" s="258" t="s">
        <v>920</v>
      </c>
      <c r="B125" s="259" t="s">
        <v>1044</v>
      </c>
      <c r="C125" s="259" t="s">
        <v>1065</v>
      </c>
      <c r="D125" s="260" t="s">
        <v>1091</v>
      </c>
      <c r="E125" s="261" t="s">
        <v>29</v>
      </c>
      <c r="F125" s="261" t="s">
        <v>21</v>
      </c>
      <c r="G125" s="262" t="s">
        <v>70</v>
      </c>
      <c r="H125" s="263" t="s">
        <v>26</v>
      </c>
      <c r="I125" s="262" t="s">
        <v>167</v>
      </c>
      <c r="J125" s="263" t="s">
        <v>174</v>
      </c>
      <c r="K125" s="264">
        <v>186000</v>
      </c>
      <c r="L125" s="265" t="s">
        <v>2057</v>
      </c>
      <c r="M125" s="266" t="s">
        <v>14</v>
      </c>
    </row>
    <row r="126" spans="1:13" ht="58">
      <c r="A126" s="258" t="s">
        <v>920</v>
      </c>
      <c r="B126" s="259" t="s">
        <v>1045</v>
      </c>
      <c r="C126" s="259" t="s">
        <v>1065</v>
      </c>
      <c r="D126" s="260" t="s">
        <v>1091</v>
      </c>
      <c r="E126" s="261" t="s">
        <v>29</v>
      </c>
      <c r="F126" s="261" t="s">
        <v>21</v>
      </c>
      <c r="G126" s="262" t="s">
        <v>70</v>
      </c>
      <c r="H126" s="263" t="s">
        <v>42</v>
      </c>
      <c r="I126" s="262" t="s">
        <v>167</v>
      </c>
      <c r="J126" s="263" t="s">
        <v>174</v>
      </c>
      <c r="K126" s="264">
        <v>223200</v>
      </c>
      <c r="L126" s="265" t="s">
        <v>2057</v>
      </c>
      <c r="M126" s="266" t="s">
        <v>14</v>
      </c>
    </row>
    <row r="127" spans="1:13" ht="58">
      <c r="A127" s="258" t="s">
        <v>920</v>
      </c>
      <c r="B127" s="259" t="s">
        <v>1046</v>
      </c>
      <c r="C127" s="259" t="s">
        <v>1065</v>
      </c>
      <c r="D127" s="260" t="s">
        <v>1091</v>
      </c>
      <c r="E127" s="261" t="s">
        <v>29</v>
      </c>
      <c r="F127" s="261" t="s">
        <v>21</v>
      </c>
      <c r="G127" s="262" t="s">
        <v>74</v>
      </c>
      <c r="H127" s="263" t="s">
        <v>26</v>
      </c>
      <c r="I127" s="262" t="s">
        <v>167</v>
      </c>
      <c r="J127" s="263" t="s">
        <v>174</v>
      </c>
      <c r="K127" s="264">
        <v>186000</v>
      </c>
      <c r="L127" s="265" t="s">
        <v>2057</v>
      </c>
      <c r="M127" s="266" t="s">
        <v>14</v>
      </c>
    </row>
    <row r="128" spans="1:13" ht="58">
      <c r="A128" s="258" t="s">
        <v>920</v>
      </c>
      <c r="B128" s="259" t="s">
        <v>1047</v>
      </c>
      <c r="C128" s="259" t="s">
        <v>1065</v>
      </c>
      <c r="D128" s="260" t="s">
        <v>1091</v>
      </c>
      <c r="E128" s="261" t="s">
        <v>29</v>
      </c>
      <c r="F128" s="261" t="s">
        <v>21</v>
      </c>
      <c r="G128" s="262" t="s">
        <v>74</v>
      </c>
      <c r="H128" s="263" t="s">
        <v>42</v>
      </c>
      <c r="I128" s="262" t="s">
        <v>167</v>
      </c>
      <c r="J128" s="263" t="s">
        <v>174</v>
      </c>
      <c r="K128" s="264">
        <v>267840</v>
      </c>
      <c r="L128" s="265" t="s">
        <v>2057</v>
      </c>
      <c r="M128" s="266" t="s">
        <v>14</v>
      </c>
    </row>
    <row r="129" spans="1:13" ht="58">
      <c r="A129" s="258" t="s">
        <v>920</v>
      </c>
      <c r="B129" s="259" t="s">
        <v>1048</v>
      </c>
      <c r="C129" s="259" t="s">
        <v>1065</v>
      </c>
      <c r="D129" s="260" t="s">
        <v>1091</v>
      </c>
      <c r="E129" s="261" t="s">
        <v>29</v>
      </c>
      <c r="F129" s="261" t="s">
        <v>21</v>
      </c>
      <c r="G129" s="262" t="s">
        <v>72</v>
      </c>
      <c r="H129" s="263" t="s">
        <v>26</v>
      </c>
      <c r="I129" s="262" t="s">
        <v>167</v>
      </c>
      <c r="J129" s="263" t="s">
        <v>174</v>
      </c>
      <c r="K129" s="264">
        <v>94190</v>
      </c>
      <c r="L129" s="265" t="s">
        <v>2057</v>
      </c>
      <c r="M129" s="266" t="s">
        <v>14</v>
      </c>
    </row>
    <row r="130" spans="1:13" ht="58">
      <c r="A130" s="258" t="s">
        <v>920</v>
      </c>
      <c r="B130" s="259" t="s">
        <v>1049</v>
      </c>
      <c r="C130" s="259" t="s">
        <v>1065</v>
      </c>
      <c r="D130" s="260" t="s">
        <v>1091</v>
      </c>
      <c r="E130" s="261" t="s">
        <v>29</v>
      </c>
      <c r="F130" s="261" t="s">
        <v>21</v>
      </c>
      <c r="G130" s="262" t="s">
        <v>72</v>
      </c>
      <c r="H130" s="263" t="s">
        <v>42</v>
      </c>
      <c r="I130" s="262" t="s">
        <v>167</v>
      </c>
      <c r="J130" s="263" t="s">
        <v>174</v>
      </c>
      <c r="K130" s="264">
        <v>290160</v>
      </c>
      <c r="L130" s="265" t="s">
        <v>2057</v>
      </c>
      <c r="M130" s="266" t="s">
        <v>14</v>
      </c>
    </row>
    <row r="131" spans="1:13" ht="58">
      <c r="A131" s="258" t="s">
        <v>920</v>
      </c>
      <c r="B131" s="259" t="s">
        <v>1050</v>
      </c>
      <c r="C131" s="259" t="s">
        <v>1065</v>
      </c>
      <c r="D131" s="260" t="s">
        <v>1092</v>
      </c>
      <c r="E131" s="261" t="s">
        <v>128</v>
      </c>
      <c r="F131" s="261" t="s">
        <v>21</v>
      </c>
      <c r="G131" s="262" t="s">
        <v>70</v>
      </c>
      <c r="H131" s="263" t="s">
        <v>42</v>
      </c>
      <c r="I131" s="262" t="s">
        <v>436</v>
      </c>
      <c r="J131" s="263" t="s">
        <v>174</v>
      </c>
      <c r="K131" s="264">
        <v>27531000</v>
      </c>
      <c r="L131" s="265" t="s">
        <v>2057</v>
      </c>
      <c r="M131" s="266" t="s">
        <v>14</v>
      </c>
    </row>
    <row r="132" spans="1:13" ht="58">
      <c r="A132" s="258" t="s">
        <v>920</v>
      </c>
      <c r="B132" s="259" t="s">
        <v>1051</v>
      </c>
      <c r="C132" s="259" t="s">
        <v>1065</v>
      </c>
      <c r="D132" s="260" t="s">
        <v>1092</v>
      </c>
      <c r="E132" s="261" t="s">
        <v>128</v>
      </c>
      <c r="F132" s="261" t="s">
        <v>21</v>
      </c>
      <c r="G132" s="262" t="s">
        <v>74</v>
      </c>
      <c r="H132" s="263" t="s">
        <v>42</v>
      </c>
      <c r="I132" s="262" t="s">
        <v>436</v>
      </c>
      <c r="J132" s="263" t="s">
        <v>174</v>
      </c>
      <c r="K132" s="264">
        <v>28255500</v>
      </c>
      <c r="L132" s="265" t="s">
        <v>2057</v>
      </c>
      <c r="M132" s="266" t="s">
        <v>14</v>
      </c>
    </row>
    <row r="133" spans="1:13" ht="58">
      <c r="A133" s="258" t="s">
        <v>920</v>
      </c>
      <c r="B133" s="259" t="s">
        <v>1052</v>
      </c>
      <c r="C133" s="259" t="s">
        <v>1065</v>
      </c>
      <c r="D133" s="260" t="s">
        <v>1092</v>
      </c>
      <c r="E133" s="261" t="s">
        <v>128</v>
      </c>
      <c r="F133" s="261" t="s">
        <v>21</v>
      </c>
      <c r="G133" s="262" t="s">
        <v>72</v>
      </c>
      <c r="H133" s="263" t="s">
        <v>42</v>
      </c>
      <c r="I133" s="262" t="s">
        <v>436</v>
      </c>
      <c r="J133" s="263" t="s">
        <v>174</v>
      </c>
      <c r="K133" s="264">
        <v>28980000</v>
      </c>
      <c r="L133" s="265" t="s">
        <v>2057</v>
      </c>
      <c r="M133" s="266" t="s">
        <v>14</v>
      </c>
    </row>
    <row r="134" spans="1:13" ht="58">
      <c r="A134" s="258" t="s">
        <v>920</v>
      </c>
      <c r="B134" s="259" t="s">
        <v>1053</v>
      </c>
      <c r="C134" s="259" t="s">
        <v>1065</v>
      </c>
      <c r="D134" s="260" t="s">
        <v>1093</v>
      </c>
      <c r="E134" s="261" t="s">
        <v>29</v>
      </c>
      <c r="F134" s="261" t="s">
        <v>21</v>
      </c>
      <c r="G134" s="262" t="s">
        <v>74</v>
      </c>
      <c r="H134" s="263" t="s">
        <v>26</v>
      </c>
      <c r="I134" s="262" t="s">
        <v>436</v>
      </c>
      <c r="J134" s="263" t="s">
        <v>174</v>
      </c>
      <c r="K134" s="264">
        <v>94190</v>
      </c>
      <c r="L134" s="265" t="s">
        <v>2057</v>
      </c>
      <c r="M134" s="266" t="s">
        <v>14</v>
      </c>
    </row>
    <row r="135" spans="1:13" ht="58">
      <c r="A135" s="258" t="s">
        <v>920</v>
      </c>
      <c r="B135" s="259" t="s">
        <v>1054</v>
      </c>
      <c r="C135" s="259" t="s">
        <v>1065</v>
      </c>
      <c r="D135" s="260" t="s">
        <v>1093</v>
      </c>
      <c r="E135" s="261" t="s">
        <v>29</v>
      </c>
      <c r="F135" s="261" t="s">
        <v>21</v>
      </c>
      <c r="G135" s="262" t="s">
        <v>74</v>
      </c>
      <c r="H135" s="263" t="s">
        <v>42</v>
      </c>
      <c r="I135" s="262" t="s">
        <v>436</v>
      </c>
      <c r="J135" s="263" t="s">
        <v>174</v>
      </c>
      <c r="K135" s="264">
        <v>123170</v>
      </c>
      <c r="L135" s="265" t="s">
        <v>2057</v>
      </c>
      <c r="M135" s="266" t="s">
        <v>14</v>
      </c>
    </row>
    <row r="136" spans="1:13" ht="58">
      <c r="A136" s="258" t="s">
        <v>920</v>
      </c>
      <c r="B136" s="259" t="s">
        <v>1055</v>
      </c>
      <c r="C136" s="259" t="s">
        <v>1065</v>
      </c>
      <c r="D136" s="260" t="s">
        <v>1093</v>
      </c>
      <c r="E136" s="261" t="s">
        <v>29</v>
      </c>
      <c r="F136" s="261" t="s">
        <v>21</v>
      </c>
      <c r="G136" s="262" t="s">
        <v>70</v>
      </c>
      <c r="H136" s="263" t="s">
        <v>26</v>
      </c>
      <c r="I136" s="262" t="s">
        <v>436</v>
      </c>
      <c r="J136" s="263" t="s">
        <v>174</v>
      </c>
      <c r="K136" s="264">
        <v>94190</v>
      </c>
      <c r="L136" s="265" t="s">
        <v>2057</v>
      </c>
      <c r="M136" s="266" t="s">
        <v>14</v>
      </c>
    </row>
    <row r="137" spans="1:13" ht="58">
      <c r="A137" s="258" t="s">
        <v>920</v>
      </c>
      <c r="B137" s="259" t="s">
        <v>1056</v>
      </c>
      <c r="C137" s="259" t="s">
        <v>1065</v>
      </c>
      <c r="D137" s="260" t="s">
        <v>1093</v>
      </c>
      <c r="E137" s="261" t="s">
        <v>29</v>
      </c>
      <c r="F137" s="261" t="s">
        <v>21</v>
      </c>
      <c r="G137" s="262" t="s">
        <v>72</v>
      </c>
      <c r="H137" s="263" t="s">
        <v>26</v>
      </c>
      <c r="I137" s="262" t="s">
        <v>436</v>
      </c>
      <c r="J137" s="263" t="s">
        <v>174</v>
      </c>
      <c r="K137" s="264">
        <v>94185</v>
      </c>
      <c r="L137" s="265" t="s">
        <v>2057</v>
      </c>
      <c r="M137" s="266" t="s">
        <v>14</v>
      </c>
    </row>
    <row r="138" spans="1:13" ht="58">
      <c r="A138" s="258" t="s">
        <v>920</v>
      </c>
      <c r="B138" s="259" t="s">
        <v>1057</v>
      </c>
      <c r="C138" s="259" t="s">
        <v>1065</v>
      </c>
      <c r="D138" s="260" t="s">
        <v>1093</v>
      </c>
      <c r="E138" s="261" t="s">
        <v>29</v>
      </c>
      <c r="F138" s="261" t="s">
        <v>21</v>
      </c>
      <c r="G138" s="262" t="s">
        <v>72</v>
      </c>
      <c r="H138" s="263" t="s">
        <v>42</v>
      </c>
      <c r="I138" s="262" t="s">
        <v>436</v>
      </c>
      <c r="J138" s="263" t="s">
        <v>174</v>
      </c>
      <c r="K138" s="264">
        <v>130409.99999999999</v>
      </c>
      <c r="L138" s="265" t="s">
        <v>2057</v>
      </c>
      <c r="M138" s="266" t="s">
        <v>14</v>
      </c>
    </row>
    <row r="139" spans="1:13" ht="58">
      <c r="A139" s="258" t="s">
        <v>920</v>
      </c>
      <c r="B139" s="259" t="s">
        <v>1058</v>
      </c>
      <c r="C139" s="259" t="s">
        <v>1065</v>
      </c>
      <c r="D139" s="260" t="s">
        <v>1093</v>
      </c>
      <c r="E139" s="261" t="s">
        <v>29</v>
      </c>
      <c r="F139" s="261" t="s">
        <v>21</v>
      </c>
      <c r="G139" s="262" t="s">
        <v>70</v>
      </c>
      <c r="H139" s="263" t="s">
        <v>42</v>
      </c>
      <c r="I139" s="262" t="s">
        <v>436</v>
      </c>
      <c r="J139" s="263" t="s">
        <v>174</v>
      </c>
      <c r="K139" s="264">
        <v>108674.99999999999</v>
      </c>
      <c r="L139" s="265" t="s">
        <v>2057</v>
      </c>
      <c r="M139" s="266" t="s">
        <v>14</v>
      </c>
    </row>
    <row r="140" spans="1:13" ht="58">
      <c r="A140" s="258" t="s">
        <v>920</v>
      </c>
      <c r="B140" s="259" t="s">
        <v>1059</v>
      </c>
      <c r="C140" s="259" t="s">
        <v>1065</v>
      </c>
      <c r="D140" s="260" t="s">
        <v>1094</v>
      </c>
      <c r="E140" s="261" t="s">
        <v>29</v>
      </c>
      <c r="F140" s="261" t="s">
        <v>21</v>
      </c>
      <c r="G140" s="262" t="s">
        <v>70</v>
      </c>
      <c r="H140" s="263" t="s">
        <v>42</v>
      </c>
      <c r="I140" s="262" t="s">
        <v>436</v>
      </c>
      <c r="J140" s="263" t="s">
        <v>174</v>
      </c>
      <c r="K140" s="264">
        <v>108674.99999999999</v>
      </c>
      <c r="L140" s="265" t="s">
        <v>2057</v>
      </c>
      <c r="M140" s="266" t="s">
        <v>14</v>
      </c>
    </row>
    <row r="141" spans="1:13" ht="58">
      <c r="A141" s="258" t="s">
        <v>920</v>
      </c>
      <c r="B141" s="259" t="s">
        <v>1060</v>
      </c>
      <c r="C141" s="259" t="s">
        <v>1065</v>
      </c>
      <c r="D141" s="260" t="s">
        <v>1094</v>
      </c>
      <c r="E141" s="261" t="s">
        <v>29</v>
      </c>
      <c r="F141" s="261" t="s">
        <v>21</v>
      </c>
      <c r="G141" s="262" t="s">
        <v>74</v>
      </c>
      <c r="H141" s="263" t="s">
        <v>26</v>
      </c>
      <c r="I141" s="262" t="s">
        <v>436</v>
      </c>
      <c r="J141" s="263" t="s">
        <v>174</v>
      </c>
      <c r="K141" s="264">
        <v>108674.99999999999</v>
      </c>
      <c r="L141" s="265" t="s">
        <v>2057</v>
      </c>
      <c r="M141" s="266" t="s">
        <v>14</v>
      </c>
    </row>
    <row r="142" spans="1:13" ht="58">
      <c r="A142" s="258" t="s">
        <v>920</v>
      </c>
      <c r="B142" s="259" t="s">
        <v>1061</v>
      </c>
      <c r="C142" s="259" t="s">
        <v>1065</v>
      </c>
      <c r="D142" s="260" t="s">
        <v>1094</v>
      </c>
      <c r="E142" s="261" t="s">
        <v>29</v>
      </c>
      <c r="F142" s="261" t="s">
        <v>21</v>
      </c>
      <c r="G142" s="262" t="s">
        <v>74</v>
      </c>
      <c r="H142" s="263" t="s">
        <v>42</v>
      </c>
      <c r="I142" s="262" t="s">
        <v>436</v>
      </c>
      <c r="J142" s="263" t="s">
        <v>174</v>
      </c>
      <c r="K142" s="264">
        <v>160114.5</v>
      </c>
      <c r="L142" s="265" t="s">
        <v>2057</v>
      </c>
      <c r="M142" s="266" t="s">
        <v>14</v>
      </c>
    </row>
    <row r="143" spans="1:13" ht="58">
      <c r="A143" s="258" t="s">
        <v>920</v>
      </c>
      <c r="B143" s="259" t="s">
        <v>1062</v>
      </c>
      <c r="C143" s="259" t="s">
        <v>1065</v>
      </c>
      <c r="D143" s="260" t="s">
        <v>1094</v>
      </c>
      <c r="E143" s="261" t="s">
        <v>29</v>
      </c>
      <c r="F143" s="261" t="s">
        <v>21</v>
      </c>
      <c r="G143" s="262" t="s">
        <v>72</v>
      </c>
      <c r="H143" s="263" t="s">
        <v>26</v>
      </c>
      <c r="I143" s="262" t="s">
        <v>436</v>
      </c>
      <c r="J143" s="263" t="s">
        <v>174</v>
      </c>
      <c r="K143" s="264">
        <v>108674.99999999999</v>
      </c>
      <c r="L143" s="265" t="s">
        <v>2057</v>
      </c>
      <c r="M143" s="266" t="s">
        <v>14</v>
      </c>
    </row>
    <row r="144" spans="1:13" ht="58">
      <c r="A144" s="258" t="s">
        <v>920</v>
      </c>
      <c r="B144" s="259" t="s">
        <v>1063</v>
      </c>
      <c r="C144" s="259" t="s">
        <v>1065</v>
      </c>
      <c r="D144" s="260" t="s">
        <v>1094</v>
      </c>
      <c r="E144" s="261" t="s">
        <v>29</v>
      </c>
      <c r="F144" s="261" t="s">
        <v>21</v>
      </c>
      <c r="G144" s="262" t="s">
        <v>72</v>
      </c>
      <c r="H144" s="263" t="s">
        <v>42</v>
      </c>
      <c r="I144" s="262" t="s">
        <v>436</v>
      </c>
      <c r="J144" s="263" t="s">
        <v>174</v>
      </c>
      <c r="K144" s="264">
        <v>169533</v>
      </c>
      <c r="L144" s="265" t="s">
        <v>2057</v>
      </c>
      <c r="M144" s="266" t="s">
        <v>14</v>
      </c>
    </row>
    <row r="145" spans="1:13" ht="58">
      <c r="A145" s="258" t="s">
        <v>920</v>
      </c>
      <c r="B145" s="259" t="s">
        <v>1064</v>
      </c>
      <c r="C145" s="259" t="s">
        <v>1065</v>
      </c>
      <c r="D145" s="260" t="s">
        <v>1094</v>
      </c>
      <c r="E145" s="261" t="s">
        <v>29</v>
      </c>
      <c r="F145" s="261" t="s">
        <v>21</v>
      </c>
      <c r="G145" s="262" t="s">
        <v>70</v>
      </c>
      <c r="H145" s="263" t="s">
        <v>26</v>
      </c>
      <c r="I145" s="262" t="s">
        <v>436</v>
      </c>
      <c r="J145" s="263" t="s">
        <v>174</v>
      </c>
      <c r="K145" s="264">
        <v>108674.99999999999</v>
      </c>
      <c r="L145" s="265" t="s">
        <v>2057</v>
      </c>
      <c r="M145" s="266" t="s">
        <v>14</v>
      </c>
    </row>
    <row r="146" spans="1:13" ht="29">
      <c r="A146" s="258" t="s">
        <v>920</v>
      </c>
      <c r="B146" s="259" t="s">
        <v>1154</v>
      </c>
      <c r="C146" s="259" t="s">
        <v>1065</v>
      </c>
      <c r="D146" s="260" t="s">
        <v>1160</v>
      </c>
      <c r="E146" s="261" t="s">
        <v>169</v>
      </c>
      <c r="F146" s="261" t="s">
        <v>1097</v>
      </c>
      <c r="G146" s="262" t="s">
        <v>70</v>
      </c>
      <c r="H146" s="263" t="s">
        <v>42</v>
      </c>
      <c r="I146" s="262" t="s">
        <v>167</v>
      </c>
      <c r="J146" s="263" t="s">
        <v>76</v>
      </c>
      <c r="K146" s="264">
        <v>330372000</v>
      </c>
      <c r="L146" s="265" t="s">
        <v>2057</v>
      </c>
      <c r="M146" s="266" t="s">
        <v>14</v>
      </c>
    </row>
    <row r="147" spans="1:13" ht="29">
      <c r="A147" s="258" t="s">
        <v>920</v>
      </c>
      <c r="B147" s="259" t="s">
        <v>1155</v>
      </c>
      <c r="C147" s="259" t="s">
        <v>1065</v>
      </c>
      <c r="D147" s="260" t="s">
        <v>1160</v>
      </c>
      <c r="E147" s="261" t="s">
        <v>169</v>
      </c>
      <c r="F147" s="261" t="s">
        <v>1097</v>
      </c>
      <c r="G147" s="262" t="s">
        <v>74</v>
      </c>
      <c r="H147" s="263" t="s">
        <v>42</v>
      </c>
      <c r="I147" s="262" t="s">
        <v>167</v>
      </c>
      <c r="J147" s="263" t="s">
        <v>76</v>
      </c>
      <c r="K147" s="264">
        <v>339066000</v>
      </c>
      <c r="L147" s="265" t="s">
        <v>2057</v>
      </c>
      <c r="M147" s="266" t="s">
        <v>14</v>
      </c>
    </row>
    <row r="148" spans="1:13" ht="29">
      <c r="A148" s="258" t="s">
        <v>920</v>
      </c>
      <c r="B148" s="259" t="s">
        <v>1156</v>
      </c>
      <c r="C148" s="259" t="s">
        <v>1065</v>
      </c>
      <c r="D148" s="260" t="s">
        <v>1160</v>
      </c>
      <c r="E148" s="261" t="s">
        <v>169</v>
      </c>
      <c r="F148" s="261" t="s">
        <v>1097</v>
      </c>
      <c r="G148" s="262" t="s">
        <v>72</v>
      </c>
      <c r="H148" s="263" t="s">
        <v>42</v>
      </c>
      <c r="I148" s="262" t="s">
        <v>167</v>
      </c>
      <c r="J148" s="263" t="s">
        <v>76</v>
      </c>
      <c r="K148" s="264">
        <v>347760000</v>
      </c>
      <c r="L148" s="265" t="s">
        <v>2057</v>
      </c>
      <c r="M148" s="266" t="s">
        <v>14</v>
      </c>
    </row>
    <row r="149" spans="1:13">
      <c r="A149" s="258" t="s">
        <v>920</v>
      </c>
      <c r="B149" s="259" t="s">
        <v>1157</v>
      </c>
      <c r="C149" s="259" t="s">
        <v>1065</v>
      </c>
      <c r="D149" s="260" t="s">
        <v>1161</v>
      </c>
      <c r="E149" s="261" t="s">
        <v>169</v>
      </c>
      <c r="F149" s="261" t="s">
        <v>1097</v>
      </c>
      <c r="G149" s="262" t="s">
        <v>70</v>
      </c>
      <c r="H149" s="263" t="s">
        <v>42</v>
      </c>
      <c r="I149" s="262" t="s">
        <v>167</v>
      </c>
      <c r="J149" s="263" t="s">
        <v>76</v>
      </c>
      <c r="K149" s="264">
        <v>330372000</v>
      </c>
      <c r="L149" s="265" t="s">
        <v>2057</v>
      </c>
      <c r="M149" s="266" t="s">
        <v>14</v>
      </c>
    </row>
    <row r="150" spans="1:13">
      <c r="A150" s="258" t="s">
        <v>920</v>
      </c>
      <c r="B150" s="259" t="s">
        <v>1158</v>
      </c>
      <c r="C150" s="259" t="s">
        <v>1065</v>
      </c>
      <c r="D150" s="260" t="s">
        <v>1161</v>
      </c>
      <c r="E150" s="261" t="s">
        <v>169</v>
      </c>
      <c r="F150" s="261" t="s">
        <v>1097</v>
      </c>
      <c r="G150" s="262" t="s">
        <v>74</v>
      </c>
      <c r="H150" s="263" t="s">
        <v>42</v>
      </c>
      <c r="I150" s="262" t="s">
        <v>167</v>
      </c>
      <c r="J150" s="263" t="s">
        <v>76</v>
      </c>
      <c r="K150" s="264">
        <v>339066000</v>
      </c>
      <c r="L150" s="265" t="s">
        <v>2057</v>
      </c>
      <c r="M150" s="266" t="s">
        <v>14</v>
      </c>
    </row>
    <row r="151" spans="1:13">
      <c r="A151" s="258" t="s">
        <v>920</v>
      </c>
      <c r="B151" s="259" t="s">
        <v>1159</v>
      </c>
      <c r="C151" s="259" t="s">
        <v>1065</v>
      </c>
      <c r="D151" s="260" t="s">
        <v>1161</v>
      </c>
      <c r="E151" s="261" t="s">
        <v>169</v>
      </c>
      <c r="F151" s="261" t="s">
        <v>1097</v>
      </c>
      <c r="G151" s="262" t="s">
        <v>72</v>
      </c>
      <c r="H151" s="263" t="s">
        <v>42</v>
      </c>
      <c r="I151" s="262" t="s">
        <v>167</v>
      </c>
      <c r="J151" s="263" t="s">
        <v>76</v>
      </c>
      <c r="K151" s="264">
        <v>347760000</v>
      </c>
      <c r="L151" s="265" t="s">
        <v>2057</v>
      </c>
      <c r="M151" s="266" t="s">
        <v>14</v>
      </c>
    </row>
    <row r="152" spans="1:13" ht="29">
      <c r="A152" s="258" t="s">
        <v>920</v>
      </c>
      <c r="B152" s="259" t="s">
        <v>2463</v>
      </c>
      <c r="C152" s="259" t="s">
        <v>1065</v>
      </c>
      <c r="D152" s="260" t="s">
        <v>2464</v>
      </c>
      <c r="E152" s="261" t="s">
        <v>169</v>
      </c>
      <c r="F152" s="261" t="s">
        <v>1098</v>
      </c>
      <c r="G152" s="262" t="s">
        <v>17</v>
      </c>
      <c r="H152" s="263" t="s">
        <v>26</v>
      </c>
      <c r="I152" s="262" t="s">
        <v>176</v>
      </c>
      <c r="J152" s="263" t="s">
        <v>76</v>
      </c>
      <c r="K152" s="264">
        <v>3350</v>
      </c>
      <c r="L152" s="265" t="s">
        <v>173</v>
      </c>
      <c r="M152" s="266" t="s">
        <v>14</v>
      </c>
    </row>
    <row r="153" spans="1:13" ht="29">
      <c r="A153" s="258" t="s">
        <v>920</v>
      </c>
      <c r="B153" s="259" t="s">
        <v>9288</v>
      </c>
      <c r="C153" s="259" t="s">
        <v>1065</v>
      </c>
      <c r="D153" s="260" t="s">
        <v>10281</v>
      </c>
      <c r="E153" s="261" t="s">
        <v>141</v>
      </c>
      <c r="F153" s="261" t="s">
        <v>1098</v>
      </c>
      <c r="G153" s="262" t="s">
        <v>17</v>
      </c>
      <c r="H153" s="263" t="s">
        <v>26</v>
      </c>
      <c r="I153" s="262" t="s">
        <v>176</v>
      </c>
      <c r="J153" s="263" t="s">
        <v>64</v>
      </c>
      <c r="K153" s="264">
        <v>1200</v>
      </c>
      <c r="L153" s="265" t="s">
        <v>173</v>
      </c>
      <c r="M153" s="266" t="s">
        <v>14</v>
      </c>
    </row>
    <row r="154" spans="1:13" ht="29">
      <c r="A154" s="258" t="s">
        <v>920</v>
      </c>
      <c r="B154" s="259" t="s">
        <v>9289</v>
      </c>
      <c r="C154" s="259" t="s">
        <v>1065</v>
      </c>
      <c r="D154" s="260" t="s">
        <v>10282</v>
      </c>
      <c r="E154" s="261" t="s">
        <v>141</v>
      </c>
      <c r="F154" s="261" t="s">
        <v>1098</v>
      </c>
      <c r="G154" s="262" t="s">
        <v>17</v>
      </c>
      <c r="H154" s="263" t="s">
        <v>26</v>
      </c>
      <c r="I154" s="262" t="s">
        <v>176</v>
      </c>
      <c r="J154" s="263" t="s">
        <v>76</v>
      </c>
      <c r="K154" s="264">
        <v>14400</v>
      </c>
      <c r="L154" s="265" t="s">
        <v>173</v>
      </c>
      <c r="M154" s="266" t="s">
        <v>14</v>
      </c>
    </row>
    <row r="155" spans="1:13" ht="58">
      <c r="A155" s="258" t="s">
        <v>920</v>
      </c>
      <c r="B155" s="259" t="s">
        <v>10283</v>
      </c>
      <c r="C155" s="259" t="s">
        <v>1065</v>
      </c>
      <c r="D155" s="260" t="s">
        <v>9290</v>
      </c>
      <c r="E155" s="261" t="s">
        <v>29</v>
      </c>
      <c r="F155" s="261" t="s">
        <v>21</v>
      </c>
      <c r="G155" s="262" t="s">
        <v>70</v>
      </c>
      <c r="H155" s="263" t="s">
        <v>26</v>
      </c>
      <c r="I155" s="262" t="s">
        <v>167</v>
      </c>
      <c r="J155" s="263" t="s">
        <v>174</v>
      </c>
      <c r="K155" s="264">
        <v>240000</v>
      </c>
      <c r="L155" s="265" t="s">
        <v>2057</v>
      </c>
      <c r="M155" s="266" t="s">
        <v>14</v>
      </c>
    </row>
    <row r="156" spans="1:13" ht="58">
      <c r="A156" s="258" t="s">
        <v>920</v>
      </c>
      <c r="B156" s="259" t="s">
        <v>10284</v>
      </c>
      <c r="C156" s="259" t="s">
        <v>1065</v>
      </c>
      <c r="D156" s="260" t="s">
        <v>9291</v>
      </c>
      <c r="E156" s="261" t="s">
        <v>29</v>
      </c>
      <c r="F156" s="261" t="s">
        <v>21</v>
      </c>
      <c r="G156" s="262" t="s">
        <v>70</v>
      </c>
      <c r="H156" s="263" t="s">
        <v>42</v>
      </c>
      <c r="I156" s="262" t="s">
        <v>167</v>
      </c>
      <c r="J156" s="263" t="s">
        <v>174</v>
      </c>
      <c r="K156" s="264">
        <v>300000</v>
      </c>
      <c r="L156" s="265" t="s">
        <v>2057</v>
      </c>
      <c r="M156" s="266" t="s">
        <v>14</v>
      </c>
    </row>
    <row r="157" spans="1:13" ht="58">
      <c r="A157" s="258" t="s">
        <v>920</v>
      </c>
      <c r="B157" s="259" t="s">
        <v>10285</v>
      </c>
      <c r="C157" s="259" t="s">
        <v>1065</v>
      </c>
      <c r="D157" s="260" t="s">
        <v>9290</v>
      </c>
      <c r="E157" s="261" t="s">
        <v>29</v>
      </c>
      <c r="F157" s="261" t="s">
        <v>21</v>
      </c>
      <c r="G157" s="262" t="s">
        <v>74</v>
      </c>
      <c r="H157" s="263" t="s">
        <v>26</v>
      </c>
      <c r="I157" s="262" t="s">
        <v>167</v>
      </c>
      <c r="J157" s="263" t="s">
        <v>174</v>
      </c>
      <c r="K157" s="264">
        <v>240000</v>
      </c>
      <c r="L157" s="265" t="s">
        <v>2057</v>
      </c>
      <c r="M157" s="266" t="s">
        <v>14</v>
      </c>
    </row>
    <row r="158" spans="1:13" ht="58">
      <c r="A158" s="258" t="s">
        <v>920</v>
      </c>
      <c r="B158" s="259" t="s">
        <v>10286</v>
      </c>
      <c r="C158" s="259" t="s">
        <v>1065</v>
      </c>
      <c r="D158" s="260" t="s">
        <v>9290</v>
      </c>
      <c r="E158" s="261" t="s">
        <v>29</v>
      </c>
      <c r="F158" s="261" t="s">
        <v>21</v>
      </c>
      <c r="G158" s="262" t="s">
        <v>74</v>
      </c>
      <c r="H158" s="263" t="s">
        <v>42</v>
      </c>
      <c r="I158" s="262" t="s">
        <v>167</v>
      </c>
      <c r="J158" s="263" t="s">
        <v>174</v>
      </c>
      <c r="K158" s="264">
        <v>330000</v>
      </c>
      <c r="L158" s="265" t="s">
        <v>2057</v>
      </c>
      <c r="M158" s="266" t="s">
        <v>14</v>
      </c>
    </row>
    <row r="159" spans="1:13" ht="58">
      <c r="A159" s="258" t="s">
        <v>920</v>
      </c>
      <c r="B159" s="259" t="s">
        <v>10287</v>
      </c>
      <c r="C159" s="259" t="s">
        <v>1065</v>
      </c>
      <c r="D159" s="260" t="s">
        <v>9291</v>
      </c>
      <c r="E159" s="261" t="s">
        <v>29</v>
      </c>
      <c r="F159" s="261" t="s">
        <v>21</v>
      </c>
      <c r="G159" s="262" t="s">
        <v>72</v>
      </c>
      <c r="H159" s="263" t="s">
        <v>26</v>
      </c>
      <c r="I159" s="262" t="s">
        <v>167</v>
      </c>
      <c r="J159" s="263" t="s">
        <v>174</v>
      </c>
      <c r="K159" s="264">
        <v>240000</v>
      </c>
      <c r="L159" s="265" t="s">
        <v>2057</v>
      </c>
      <c r="M159" s="266" t="s">
        <v>14</v>
      </c>
    </row>
    <row r="160" spans="1:13" ht="58">
      <c r="A160" s="258" t="s">
        <v>920</v>
      </c>
      <c r="B160" s="259" t="s">
        <v>10288</v>
      </c>
      <c r="C160" s="259" t="s">
        <v>1065</v>
      </c>
      <c r="D160" s="260" t="s">
        <v>9290</v>
      </c>
      <c r="E160" s="261" t="s">
        <v>29</v>
      </c>
      <c r="F160" s="261" t="s">
        <v>21</v>
      </c>
      <c r="G160" s="262" t="s">
        <v>72</v>
      </c>
      <c r="H160" s="263" t="s">
        <v>42</v>
      </c>
      <c r="I160" s="262" t="s">
        <v>167</v>
      </c>
      <c r="J160" s="263" t="s">
        <v>174</v>
      </c>
      <c r="K160" s="264">
        <v>350000</v>
      </c>
      <c r="L160" s="265" t="s">
        <v>2057</v>
      </c>
      <c r="M160" s="266" t="s">
        <v>14</v>
      </c>
    </row>
  </sheetData>
  <conditionalFormatting sqref="B1 F1 J1">
    <cfRule type="duplicateValues" dxfId="63" priority="3"/>
    <cfRule type="duplicateValues" dxfId="62" priority="4"/>
    <cfRule type="duplicateValues" dxfId="61" priority="5"/>
  </conditionalFormatting>
  <conditionalFormatting sqref="B2:B160">
    <cfRule type="duplicateValues" dxfId="6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opLeftCell="F1" zoomScale="85" zoomScaleNormal="85" workbookViewId="0">
      <pane ySplit="1" topLeftCell="A2" activePane="bottomLeft" state="frozen"/>
      <selection activeCell="B16" sqref="B16:P16"/>
      <selection pane="bottomLeft" activeCell="D51" sqref="D50:D51"/>
    </sheetView>
  </sheetViews>
  <sheetFormatPr baseColWidth="10" defaultColWidth="12.08984375" defaultRowHeight="14.5"/>
  <cols>
    <col min="1" max="1" width="43.6328125" style="8" bestFit="1" customWidth="1"/>
    <col min="2" max="2" width="24.08984375" style="7" customWidth="1"/>
    <col min="3" max="3" width="30.54296875" style="10" customWidth="1"/>
    <col min="4" max="4" width="83.453125" style="8" customWidth="1"/>
    <col min="5" max="5" width="20.453125" style="8" bestFit="1" customWidth="1"/>
    <col min="6" max="6" width="12.08984375" style="8" customWidth="1"/>
    <col min="7" max="7" width="18" style="10" customWidth="1"/>
    <col min="8" max="8" width="19.90625" style="10" customWidth="1"/>
    <col min="9" max="9" width="24" style="10" bestFit="1" customWidth="1"/>
    <col min="10" max="10" width="50.36328125" style="8" customWidth="1"/>
    <col min="11" max="11" width="18.54296875" style="23" bestFit="1" customWidth="1"/>
    <col min="12" max="13" width="12.08984375" style="10"/>
    <col min="14" max="16384" width="12.08984375" style="8"/>
  </cols>
  <sheetData>
    <row r="1" spans="1:13" s="17" customFormat="1" ht="16">
      <c r="A1" s="18" t="s">
        <v>0</v>
      </c>
      <c r="B1" s="18" t="s">
        <v>1</v>
      </c>
      <c r="C1" s="18" t="s">
        <v>2</v>
      </c>
      <c r="D1" s="18" t="s">
        <v>4</v>
      </c>
      <c r="E1" s="18" t="s">
        <v>5</v>
      </c>
      <c r="F1" s="18" t="s">
        <v>6</v>
      </c>
      <c r="G1" s="20" t="s">
        <v>7</v>
      </c>
      <c r="H1" s="20" t="s">
        <v>8</v>
      </c>
      <c r="I1" s="20" t="s">
        <v>9</v>
      </c>
      <c r="J1" s="18" t="s">
        <v>11</v>
      </c>
      <c r="K1" s="22" t="s">
        <v>12</v>
      </c>
      <c r="L1" s="21" t="s">
        <v>13</v>
      </c>
      <c r="M1" s="19" t="s">
        <v>3</v>
      </c>
    </row>
    <row r="2" spans="1:13">
      <c r="A2" s="41" t="s">
        <v>1162</v>
      </c>
      <c r="B2" s="41" t="s">
        <v>1163</v>
      </c>
      <c r="C2" s="41" t="s">
        <v>1164</v>
      </c>
      <c r="D2" s="36" t="s">
        <v>11259</v>
      </c>
      <c r="E2" s="27" t="s">
        <v>1165</v>
      </c>
      <c r="F2" s="331" t="s">
        <v>16</v>
      </c>
      <c r="G2" s="28" t="s">
        <v>17</v>
      </c>
      <c r="H2" s="28" t="s">
        <v>18</v>
      </c>
      <c r="I2" s="332" t="s">
        <v>15</v>
      </c>
      <c r="J2" s="27" t="s">
        <v>1166</v>
      </c>
      <c r="K2" s="333">
        <v>70000000</v>
      </c>
      <c r="L2" s="334" t="s">
        <v>2057</v>
      </c>
      <c r="M2" s="272" t="s">
        <v>14</v>
      </c>
    </row>
    <row r="3" spans="1:13">
      <c r="A3" s="41" t="s">
        <v>1162</v>
      </c>
      <c r="B3" s="41" t="s">
        <v>1167</v>
      </c>
      <c r="C3" s="41" t="s">
        <v>1164</v>
      </c>
      <c r="D3" s="27" t="s">
        <v>1168</v>
      </c>
      <c r="E3" s="27" t="s">
        <v>19</v>
      </c>
      <c r="F3" s="331" t="s">
        <v>16</v>
      </c>
      <c r="G3" s="28" t="s">
        <v>17</v>
      </c>
      <c r="H3" s="28" t="s">
        <v>18</v>
      </c>
      <c r="I3" s="332" t="s">
        <v>15</v>
      </c>
      <c r="J3" s="27" t="s">
        <v>1166</v>
      </c>
      <c r="K3" s="333">
        <v>150000</v>
      </c>
      <c r="L3" s="334" t="s">
        <v>2057</v>
      </c>
      <c r="M3" s="272" t="s">
        <v>14</v>
      </c>
    </row>
    <row r="4" spans="1:13">
      <c r="A4" s="41" t="s">
        <v>1162</v>
      </c>
      <c r="B4" s="41" t="s">
        <v>1169</v>
      </c>
      <c r="C4" s="41" t="s">
        <v>1164</v>
      </c>
      <c r="D4" s="27" t="s">
        <v>1170</v>
      </c>
      <c r="E4" s="27" t="s">
        <v>1171</v>
      </c>
      <c r="F4" s="27" t="s">
        <v>21</v>
      </c>
      <c r="G4" s="28" t="s">
        <v>17</v>
      </c>
      <c r="H4" s="28" t="s">
        <v>18</v>
      </c>
      <c r="I4" s="332" t="s">
        <v>167</v>
      </c>
      <c r="J4" s="27" t="s">
        <v>1166</v>
      </c>
      <c r="K4" s="333">
        <v>6500000</v>
      </c>
      <c r="L4" s="334" t="s">
        <v>2057</v>
      </c>
      <c r="M4" s="272" t="s">
        <v>14</v>
      </c>
    </row>
    <row r="5" spans="1:13">
      <c r="A5" s="41" t="s">
        <v>1162</v>
      </c>
      <c r="B5" s="41" t="s">
        <v>1172</v>
      </c>
      <c r="C5" s="41" t="s">
        <v>1164</v>
      </c>
      <c r="D5" s="27" t="s">
        <v>1173</v>
      </c>
      <c r="E5" s="27" t="s">
        <v>22</v>
      </c>
      <c r="F5" s="27" t="s">
        <v>21</v>
      </c>
      <c r="G5" s="28" t="s">
        <v>17</v>
      </c>
      <c r="H5" s="28" t="s">
        <v>18</v>
      </c>
      <c r="I5" s="332" t="s">
        <v>170</v>
      </c>
      <c r="J5" s="27" t="s">
        <v>23</v>
      </c>
      <c r="K5" s="333">
        <v>19000000</v>
      </c>
      <c r="L5" s="334" t="s">
        <v>2057</v>
      </c>
      <c r="M5" s="272" t="s">
        <v>14</v>
      </c>
    </row>
    <row r="6" spans="1:13">
      <c r="A6" s="41" t="s">
        <v>1162</v>
      </c>
      <c r="B6" s="41" t="s">
        <v>1174</v>
      </c>
      <c r="C6" s="41" t="s">
        <v>1164</v>
      </c>
      <c r="D6" s="36" t="s">
        <v>11260</v>
      </c>
      <c r="E6" s="27" t="s">
        <v>1165</v>
      </c>
      <c r="F6" s="27" t="s">
        <v>21</v>
      </c>
      <c r="G6" s="28" t="s">
        <v>17</v>
      </c>
      <c r="H6" s="28" t="s">
        <v>18</v>
      </c>
      <c r="I6" s="332" t="s">
        <v>15</v>
      </c>
      <c r="J6" s="27" t="s">
        <v>24</v>
      </c>
      <c r="K6" s="333">
        <v>4000000</v>
      </c>
      <c r="L6" s="28" t="s">
        <v>173</v>
      </c>
      <c r="M6" s="272" t="s">
        <v>14</v>
      </c>
    </row>
    <row r="7" spans="1:13">
      <c r="A7" s="41" t="s">
        <v>1162</v>
      </c>
      <c r="B7" s="41" t="s">
        <v>1175</v>
      </c>
      <c r="C7" s="41" t="s">
        <v>1164</v>
      </c>
      <c r="D7" s="36" t="s">
        <v>11261</v>
      </c>
      <c r="E7" s="27" t="s">
        <v>19</v>
      </c>
      <c r="F7" s="27" t="s">
        <v>21</v>
      </c>
      <c r="G7" s="28" t="s">
        <v>17</v>
      </c>
      <c r="H7" s="28" t="s">
        <v>18</v>
      </c>
      <c r="I7" s="332" t="s">
        <v>15</v>
      </c>
      <c r="J7" s="27" t="s">
        <v>24</v>
      </c>
      <c r="K7" s="333">
        <v>17000</v>
      </c>
      <c r="L7" s="28" t="s">
        <v>173</v>
      </c>
      <c r="M7" s="272" t="s">
        <v>14</v>
      </c>
    </row>
    <row r="8" spans="1:13">
      <c r="A8" s="41" t="s">
        <v>1162</v>
      </c>
      <c r="B8" s="41" t="s">
        <v>1176</v>
      </c>
      <c r="C8" s="41" t="s">
        <v>1164</v>
      </c>
      <c r="D8" s="36" t="s">
        <v>11262</v>
      </c>
      <c r="E8" s="27" t="s">
        <v>19</v>
      </c>
      <c r="F8" s="27" t="s">
        <v>21</v>
      </c>
      <c r="G8" s="28" t="s">
        <v>17</v>
      </c>
      <c r="H8" s="28" t="s">
        <v>18</v>
      </c>
      <c r="I8" s="332" t="s">
        <v>15</v>
      </c>
      <c r="J8" s="27" t="s">
        <v>24</v>
      </c>
      <c r="K8" s="333">
        <v>17000</v>
      </c>
      <c r="L8" s="28" t="s">
        <v>173</v>
      </c>
      <c r="M8" s="272" t="s">
        <v>14</v>
      </c>
    </row>
    <row r="9" spans="1:13">
      <c r="A9" s="41" t="s">
        <v>1162</v>
      </c>
      <c r="B9" s="41" t="s">
        <v>1177</v>
      </c>
      <c r="C9" s="41" t="s">
        <v>1164</v>
      </c>
      <c r="D9" s="27" t="s">
        <v>1178</v>
      </c>
      <c r="E9" s="27" t="s">
        <v>19</v>
      </c>
      <c r="F9" s="27" t="s">
        <v>21</v>
      </c>
      <c r="G9" s="28" t="s">
        <v>17</v>
      </c>
      <c r="H9" s="28" t="s">
        <v>18</v>
      </c>
      <c r="I9" s="332" t="s">
        <v>15</v>
      </c>
      <c r="J9" s="27" t="s">
        <v>24</v>
      </c>
      <c r="K9" s="333">
        <v>15000</v>
      </c>
      <c r="L9" s="28" t="s">
        <v>173</v>
      </c>
      <c r="M9" s="272" t="s">
        <v>14</v>
      </c>
    </row>
    <row r="10" spans="1:13">
      <c r="A10" s="41" t="s">
        <v>1162</v>
      </c>
      <c r="B10" s="41" t="s">
        <v>1179</v>
      </c>
      <c r="C10" s="41" t="s">
        <v>1164</v>
      </c>
      <c r="D10" s="27" t="s">
        <v>1180</v>
      </c>
      <c r="E10" s="27" t="s">
        <v>19</v>
      </c>
      <c r="F10" s="27" t="s">
        <v>21</v>
      </c>
      <c r="G10" s="28" t="s">
        <v>17</v>
      </c>
      <c r="H10" s="28" t="s">
        <v>18</v>
      </c>
      <c r="I10" s="332" t="s">
        <v>15</v>
      </c>
      <c r="J10" s="27" t="s">
        <v>24</v>
      </c>
      <c r="K10" s="333">
        <v>14000</v>
      </c>
      <c r="L10" s="28" t="s">
        <v>173</v>
      </c>
      <c r="M10" s="272" t="s">
        <v>14</v>
      </c>
    </row>
    <row r="11" spans="1:13">
      <c r="A11" s="41" t="s">
        <v>1162</v>
      </c>
      <c r="B11" s="41" t="s">
        <v>1181</v>
      </c>
      <c r="C11" s="41" t="s">
        <v>1164</v>
      </c>
      <c r="D11" s="27" t="s">
        <v>1182</v>
      </c>
      <c r="E11" s="27" t="s">
        <v>19</v>
      </c>
      <c r="F11" s="27" t="s">
        <v>21</v>
      </c>
      <c r="G11" s="28" t="s">
        <v>17</v>
      </c>
      <c r="H11" s="28" t="s">
        <v>18</v>
      </c>
      <c r="I11" s="332" t="s">
        <v>15</v>
      </c>
      <c r="J11" s="27" t="s">
        <v>24</v>
      </c>
      <c r="K11" s="333">
        <v>13000</v>
      </c>
      <c r="L11" s="28" t="s">
        <v>173</v>
      </c>
      <c r="M11" s="272" t="s">
        <v>14</v>
      </c>
    </row>
    <row r="12" spans="1:13">
      <c r="A12" s="41" t="s">
        <v>1162</v>
      </c>
      <c r="B12" s="41" t="s">
        <v>1183</v>
      </c>
      <c r="C12" s="41" t="s">
        <v>1164</v>
      </c>
      <c r="D12" s="27" t="s">
        <v>1184</v>
      </c>
      <c r="E12" s="27" t="s">
        <v>19</v>
      </c>
      <c r="F12" s="27" t="s">
        <v>21</v>
      </c>
      <c r="G12" s="28" t="s">
        <v>17</v>
      </c>
      <c r="H12" s="28" t="s">
        <v>18</v>
      </c>
      <c r="I12" s="332" t="s">
        <v>15</v>
      </c>
      <c r="J12" s="27" t="s">
        <v>24</v>
      </c>
      <c r="K12" s="333">
        <v>12000</v>
      </c>
      <c r="L12" s="28" t="s">
        <v>173</v>
      </c>
      <c r="M12" s="272" t="s">
        <v>14</v>
      </c>
    </row>
    <row r="13" spans="1:13">
      <c r="A13" s="41" t="s">
        <v>1162</v>
      </c>
      <c r="B13" s="41" t="s">
        <v>1185</v>
      </c>
      <c r="C13" s="41" t="s">
        <v>1164</v>
      </c>
      <c r="D13" s="27" t="s">
        <v>1186</v>
      </c>
      <c r="E13" s="27" t="s">
        <v>19</v>
      </c>
      <c r="F13" s="27" t="s">
        <v>21</v>
      </c>
      <c r="G13" s="28" t="s">
        <v>17</v>
      </c>
      <c r="H13" s="28" t="s">
        <v>18</v>
      </c>
      <c r="I13" s="332" t="s">
        <v>15</v>
      </c>
      <c r="J13" s="27" t="s">
        <v>24</v>
      </c>
      <c r="K13" s="333">
        <v>11000</v>
      </c>
      <c r="L13" s="28" t="s">
        <v>173</v>
      </c>
      <c r="M13" s="272" t="s">
        <v>14</v>
      </c>
    </row>
    <row r="14" spans="1:13">
      <c r="A14" s="41" t="s">
        <v>1162</v>
      </c>
      <c r="B14" s="41" t="s">
        <v>1187</v>
      </c>
      <c r="C14" s="41" t="s">
        <v>1164</v>
      </c>
      <c r="D14" s="27" t="s">
        <v>1188</v>
      </c>
      <c r="E14" s="27" t="s">
        <v>19</v>
      </c>
      <c r="F14" s="27" t="s">
        <v>21</v>
      </c>
      <c r="G14" s="28" t="s">
        <v>17</v>
      </c>
      <c r="H14" s="28" t="s">
        <v>18</v>
      </c>
      <c r="I14" s="332" t="s">
        <v>15</v>
      </c>
      <c r="J14" s="27" t="s">
        <v>24</v>
      </c>
      <c r="K14" s="333">
        <v>9000</v>
      </c>
      <c r="L14" s="28" t="s">
        <v>173</v>
      </c>
      <c r="M14" s="272" t="s">
        <v>14</v>
      </c>
    </row>
    <row r="15" spans="1:13">
      <c r="A15" s="41" t="s">
        <v>1162</v>
      </c>
      <c r="B15" s="41" t="s">
        <v>1189</v>
      </c>
      <c r="C15" s="41" t="s">
        <v>1164</v>
      </c>
      <c r="D15" s="27" t="s">
        <v>1190</v>
      </c>
      <c r="E15" s="27" t="s">
        <v>19</v>
      </c>
      <c r="F15" s="27" t="s">
        <v>21</v>
      </c>
      <c r="G15" s="28" t="s">
        <v>17</v>
      </c>
      <c r="H15" s="28" t="s">
        <v>18</v>
      </c>
      <c r="I15" s="332" t="s">
        <v>15</v>
      </c>
      <c r="J15" s="27" t="s">
        <v>24</v>
      </c>
      <c r="K15" s="333">
        <v>8000</v>
      </c>
      <c r="L15" s="28" t="s">
        <v>173</v>
      </c>
      <c r="M15" s="272" t="s">
        <v>14</v>
      </c>
    </row>
    <row r="16" spans="1:13">
      <c r="A16" s="41" t="s">
        <v>1162</v>
      </c>
      <c r="B16" s="41" t="s">
        <v>1191</v>
      </c>
      <c r="C16" s="41" t="s">
        <v>1164</v>
      </c>
      <c r="D16" s="27" t="s">
        <v>1192</v>
      </c>
      <c r="E16" s="27" t="s">
        <v>1193</v>
      </c>
      <c r="F16" s="27" t="s">
        <v>21</v>
      </c>
      <c r="G16" s="28" t="s">
        <v>17</v>
      </c>
      <c r="H16" s="28" t="s">
        <v>26</v>
      </c>
      <c r="I16" s="332" t="s">
        <v>167</v>
      </c>
      <c r="J16" s="27" t="s">
        <v>1166</v>
      </c>
      <c r="K16" s="333">
        <v>7000000</v>
      </c>
      <c r="L16" s="334" t="s">
        <v>2057</v>
      </c>
      <c r="M16" s="272" t="s">
        <v>14</v>
      </c>
    </row>
    <row r="17" spans="1:13">
      <c r="A17" s="41" t="s">
        <v>1162</v>
      </c>
      <c r="B17" s="41" t="s">
        <v>1194</v>
      </c>
      <c r="C17" s="41" t="s">
        <v>1164</v>
      </c>
      <c r="D17" s="27" t="s">
        <v>1195</v>
      </c>
      <c r="E17" s="27" t="s">
        <v>27</v>
      </c>
      <c r="F17" s="27" t="s">
        <v>21</v>
      </c>
      <c r="G17" s="28" t="s">
        <v>17</v>
      </c>
      <c r="H17" s="28" t="s">
        <v>18</v>
      </c>
      <c r="I17" s="332" t="s">
        <v>170</v>
      </c>
      <c r="J17" s="27" t="s">
        <v>28</v>
      </c>
      <c r="K17" s="333">
        <v>750000</v>
      </c>
      <c r="L17" s="334" t="s">
        <v>2057</v>
      </c>
      <c r="M17" s="272" t="s">
        <v>14</v>
      </c>
    </row>
    <row r="18" spans="1:13">
      <c r="A18" s="41" t="s">
        <v>1162</v>
      </c>
      <c r="B18" s="41" t="s">
        <v>1196</v>
      </c>
      <c r="C18" s="41" t="s">
        <v>1164</v>
      </c>
      <c r="D18" s="27" t="s">
        <v>1197</v>
      </c>
      <c r="E18" s="27" t="s">
        <v>27</v>
      </c>
      <c r="F18" s="27" t="s">
        <v>21</v>
      </c>
      <c r="G18" s="28" t="s">
        <v>17</v>
      </c>
      <c r="H18" s="28" t="s">
        <v>18</v>
      </c>
      <c r="I18" s="332" t="s">
        <v>170</v>
      </c>
      <c r="J18" s="27" t="s">
        <v>28</v>
      </c>
      <c r="K18" s="333">
        <v>750000</v>
      </c>
      <c r="L18" s="334" t="s">
        <v>2057</v>
      </c>
      <c r="M18" s="272" t="s">
        <v>14</v>
      </c>
    </row>
    <row r="19" spans="1:13">
      <c r="A19" s="41" t="s">
        <v>1162</v>
      </c>
      <c r="B19" s="41" t="s">
        <v>1198</v>
      </c>
      <c r="C19" s="41" t="s">
        <v>1164</v>
      </c>
      <c r="D19" s="27" t="s">
        <v>1199</v>
      </c>
      <c r="E19" s="27" t="s">
        <v>1200</v>
      </c>
      <c r="F19" s="27" t="s">
        <v>21</v>
      </c>
      <c r="G19" s="28" t="s">
        <v>17</v>
      </c>
      <c r="H19" s="28" t="s">
        <v>18</v>
      </c>
      <c r="I19" s="332" t="s">
        <v>166</v>
      </c>
      <c r="J19" s="27" t="s">
        <v>28</v>
      </c>
      <c r="K19" s="333">
        <v>3600000</v>
      </c>
      <c r="L19" s="334" t="s">
        <v>2057</v>
      </c>
      <c r="M19" s="272" t="s">
        <v>14</v>
      </c>
    </row>
    <row r="20" spans="1:13">
      <c r="A20" s="41" t="s">
        <v>1162</v>
      </c>
      <c r="B20" s="41" t="s">
        <v>1201</v>
      </c>
      <c r="C20" s="41" t="s">
        <v>1164</v>
      </c>
      <c r="D20" s="27" t="s">
        <v>1202</v>
      </c>
      <c r="E20" s="27" t="s">
        <v>1203</v>
      </c>
      <c r="F20" s="27" t="s">
        <v>21</v>
      </c>
      <c r="G20" s="28" t="s">
        <v>17</v>
      </c>
      <c r="H20" s="28" t="s">
        <v>18</v>
      </c>
      <c r="I20" s="332" t="s">
        <v>166</v>
      </c>
      <c r="J20" s="27" t="s">
        <v>28</v>
      </c>
      <c r="K20" s="333">
        <v>6120000</v>
      </c>
      <c r="L20" s="334" t="s">
        <v>2057</v>
      </c>
      <c r="M20" s="272" t="s">
        <v>14</v>
      </c>
    </row>
    <row r="21" spans="1:13">
      <c r="A21" s="41" t="s">
        <v>1162</v>
      </c>
      <c r="B21" s="41" t="s">
        <v>1204</v>
      </c>
      <c r="C21" s="41" t="s">
        <v>1164</v>
      </c>
      <c r="D21" s="27" t="s">
        <v>1205</v>
      </c>
      <c r="E21" s="27" t="s">
        <v>1206</v>
      </c>
      <c r="F21" s="27" t="s">
        <v>21</v>
      </c>
      <c r="G21" s="28" t="s">
        <v>17</v>
      </c>
      <c r="H21" s="28" t="s">
        <v>18</v>
      </c>
      <c r="I21" s="332" t="s">
        <v>166</v>
      </c>
      <c r="J21" s="27" t="s">
        <v>28</v>
      </c>
      <c r="K21" s="335">
        <v>72000</v>
      </c>
      <c r="L21" s="334" t="s">
        <v>2057</v>
      </c>
      <c r="M21" s="272" t="s">
        <v>14</v>
      </c>
    </row>
    <row r="22" spans="1:13">
      <c r="A22" s="41" t="s">
        <v>1162</v>
      </c>
      <c r="B22" s="41" t="s">
        <v>1207</v>
      </c>
      <c r="C22" s="41" t="s">
        <v>1164</v>
      </c>
      <c r="D22" s="27" t="s">
        <v>1208</v>
      </c>
      <c r="E22" s="27" t="s">
        <v>1209</v>
      </c>
      <c r="F22" s="27" t="s">
        <v>21</v>
      </c>
      <c r="G22" s="28" t="s">
        <v>17</v>
      </c>
      <c r="H22" s="28" t="s">
        <v>18</v>
      </c>
      <c r="I22" s="332" t="s">
        <v>166</v>
      </c>
      <c r="J22" s="27" t="s">
        <v>28</v>
      </c>
      <c r="K22" s="335">
        <v>72000</v>
      </c>
      <c r="L22" s="334" t="s">
        <v>2057</v>
      </c>
      <c r="M22" s="272" t="s">
        <v>14</v>
      </c>
    </row>
    <row r="23" spans="1:13">
      <c r="A23" s="41" t="s">
        <v>1162</v>
      </c>
      <c r="B23" s="41" t="s">
        <v>1210</v>
      </c>
      <c r="C23" s="41" t="s">
        <v>1164</v>
      </c>
      <c r="D23" s="27" t="s">
        <v>1211</v>
      </c>
      <c r="E23" s="27" t="s">
        <v>29</v>
      </c>
      <c r="F23" s="27" t="s">
        <v>21</v>
      </c>
      <c r="G23" s="28" t="s">
        <v>17</v>
      </c>
      <c r="H23" s="28" t="s">
        <v>18</v>
      </c>
      <c r="I23" s="332" t="s">
        <v>166</v>
      </c>
      <c r="J23" s="27" t="s">
        <v>28</v>
      </c>
      <c r="K23" s="333">
        <v>600000</v>
      </c>
      <c r="L23" s="334" t="s">
        <v>2057</v>
      </c>
      <c r="M23" s="272" t="s">
        <v>14</v>
      </c>
    </row>
    <row r="24" spans="1:13">
      <c r="A24" s="41" t="s">
        <v>1162</v>
      </c>
      <c r="B24" s="41" t="s">
        <v>1212</v>
      </c>
      <c r="C24" s="41" t="s">
        <v>1164</v>
      </c>
      <c r="D24" s="27" t="s">
        <v>1213</v>
      </c>
      <c r="E24" s="27" t="s">
        <v>29</v>
      </c>
      <c r="F24" s="27" t="s">
        <v>21</v>
      </c>
      <c r="G24" s="28" t="s">
        <v>17</v>
      </c>
      <c r="H24" s="28" t="s">
        <v>18</v>
      </c>
      <c r="I24" s="332" t="s">
        <v>1214</v>
      </c>
      <c r="J24" s="27" t="s">
        <v>1166</v>
      </c>
      <c r="K24" s="333">
        <v>200000</v>
      </c>
      <c r="L24" s="334" t="s">
        <v>2057</v>
      </c>
      <c r="M24" s="272" t="s">
        <v>14</v>
      </c>
    </row>
    <row r="25" spans="1:13">
      <c r="A25" s="41" t="s">
        <v>1162</v>
      </c>
      <c r="B25" s="41" t="s">
        <v>1215</v>
      </c>
      <c r="C25" s="41" t="s">
        <v>1164</v>
      </c>
      <c r="D25" s="27" t="s">
        <v>1216</v>
      </c>
      <c r="E25" s="27" t="s">
        <v>29</v>
      </c>
      <c r="F25" s="27" t="s">
        <v>21</v>
      </c>
      <c r="G25" s="28" t="s">
        <v>17</v>
      </c>
      <c r="H25" s="28" t="s">
        <v>18</v>
      </c>
      <c r="I25" s="332" t="s">
        <v>167</v>
      </c>
      <c r="J25" s="27" t="s">
        <v>1166</v>
      </c>
      <c r="K25" s="333">
        <v>200000</v>
      </c>
      <c r="L25" s="334" t="s">
        <v>2057</v>
      </c>
      <c r="M25" s="272" t="s">
        <v>14</v>
      </c>
    </row>
    <row r="26" spans="1:13">
      <c r="A26" s="41" t="s">
        <v>1162</v>
      </c>
      <c r="B26" s="41" t="s">
        <v>1217</v>
      </c>
      <c r="C26" s="41" t="s">
        <v>1164</v>
      </c>
      <c r="D26" s="27" t="s">
        <v>1218</v>
      </c>
      <c r="E26" s="27" t="s">
        <v>29</v>
      </c>
      <c r="F26" s="27" t="s">
        <v>21</v>
      </c>
      <c r="G26" s="28" t="s">
        <v>17</v>
      </c>
      <c r="H26" s="28" t="s">
        <v>18</v>
      </c>
      <c r="I26" s="332" t="s">
        <v>167</v>
      </c>
      <c r="J26" s="27" t="s">
        <v>28</v>
      </c>
      <c r="K26" s="333">
        <v>200000</v>
      </c>
      <c r="L26" s="334" t="s">
        <v>2057</v>
      </c>
      <c r="M26" s="272" t="s">
        <v>14</v>
      </c>
    </row>
    <row r="27" spans="1:13">
      <c r="A27" s="41" t="s">
        <v>1162</v>
      </c>
      <c r="B27" s="41" t="s">
        <v>1219</v>
      </c>
      <c r="C27" s="41" t="s">
        <v>1164</v>
      </c>
      <c r="D27" s="27" t="s">
        <v>11263</v>
      </c>
      <c r="E27" s="27" t="s">
        <v>1165</v>
      </c>
      <c r="F27" s="331" t="s">
        <v>16</v>
      </c>
      <c r="G27" s="28" t="s">
        <v>17</v>
      </c>
      <c r="H27" s="28" t="s">
        <v>18</v>
      </c>
      <c r="I27" s="332" t="s">
        <v>15</v>
      </c>
      <c r="J27" s="27" t="s">
        <v>1166</v>
      </c>
      <c r="K27" s="333">
        <v>70000000</v>
      </c>
      <c r="L27" s="334" t="s">
        <v>2057</v>
      </c>
      <c r="M27" s="272" t="s">
        <v>14</v>
      </c>
    </row>
    <row r="28" spans="1:13">
      <c r="A28" s="41" t="s">
        <v>1162</v>
      </c>
      <c r="B28" s="41" t="s">
        <v>1220</v>
      </c>
      <c r="C28" s="41" t="s">
        <v>1164</v>
      </c>
      <c r="D28" s="27" t="s">
        <v>1221</v>
      </c>
      <c r="E28" s="27" t="s">
        <v>32</v>
      </c>
      <c r="F28" s="331" t="s">
        <v>16</v>
      </c>
      <c r="G28" s="28" t="s">
        <v>17</v>
      </c>
      <c r="H28" s="28" t="s">
        <v>18</v>
      </c>
      <c r="I28" s="332" t="s">
        <v>15</v>
      </c>
      <c r="J28" s="27" t="s">
        <v>28</v>
      </c>
      <c r="K28" s="333">
        <v>130000</v>
      </c>
      <c r="L28" s="334" t="s">
        <v>2057</v>
      </c>
      <c r="M28" s="272" t="s">
        <v>14</v>
      </c>
    </row>
    <row r="29" spans="1:13">
      <c r="A29" s="41" t="s">
        <v>1162</v>
      </c>
      <c r="B29" s="41" t="s">
        <v>1222</v>
      </c>
      <c r="C29" s="41" t="s">
        <v>1164</v>
      </c>
      <c r="D29" s="27" t="s">
        <v>1223</v>
      </c>
      <c r="E29" s="27" t="s">
        <v>1171</v>
      </c>
      <c r="F29" s="27" t="s">
        <v>21</v>
      </c>
      <c r="G29" s="28" t="s">
        <v>17</v>
      </c>
      <c r="H29" s="28" t="s">
        <v>18</v>
      </c>
      <c r="I29" s="332" t="s">
        <v>167</v>
      </c>
      <c r="J29" s="27" t="s">
        <v>1166</v>
      </c>
      <c r="K29" s="333">
        <v>7000000</v>
      </c>
      <c r="L29" s="334" t="s">
        <v>2057</v>
      </c>
      <c r="M29" s="272" t="s">
        <v>14</v>
      </c>
    </row>
    <row r="30" spans="1:13">
      <c r="A30" s="41" t="s">
        <v>1162</v>
      </c>
      <c r="B30" s="41" t="s">
        <v>1224</v>
      </c>
      <c r="C30" s="41" t="s">
        <v>1164</v>
      </c>
      <c r="D30" s="27" t="s">
        <v>1225</v>
      </c>
      <c r="E30" s="27" t="s">
        <v>22</v>
      </c>
      <c r="F30" s="27" t="s">
        <v>21</v>
      </c>
      <c r="G30" s="28" t="s">
        <v>17</v>
      </c>
      <c r="H30" s="28" t="s">
        <v>18</v>
      </c>
      <c r="I30" s="332" t="s">
        <v>167</v>
      </c>
      <c r="J30" s="27" t="s">
        <v>23</v>
      </c>
      <c r="K30" s="333">
        <v>18000000</v>
      </c>
      <c r="L30" s="334" t="s">
        <v>2057</v>
      </c>
      <c r="M30" s="272" t="s">
        <v>14</v>
      </c>
    </row>
    <row r="31" spans="1:13">
      <c r="A31" s="41" t="s">
        <v>1162</v>
      </c>
      <c r="B31" s="41" t="s">
        <v>1226</v>
      </c>
      <c r="C31" s="41" t="s">
        <v>1164</v>
      </c>
      <c r="D31" s="36" t="s">
        <v>11264</v>
      </c>
      <c r="E31" s="27" t="s">
        <v>1165</v>
      </c>
      <c r="F31" s="27" t="s">
        <v>21</v>
      </c>
      <c r="G31" s="28" t="s">
        <v>17</v>
      </c>
      <c r="H31" s="28" t="s">
        <v>18</v>
      </c>
      <c r="I31" s="332" t="s">
        <v>15</v>
      </c>
      <c r="J31" s="27" t="s">
        <v>24</v>
      </c>
      <c r="K31" s="333">
        <v>4000000</v>
      </c>
      <c r="L31" s="28" t="s">
        <v>173</v>
      </c>
      <c r="M31" s="272" t="s">
        <v>14</v>
      </c>
    </row>
    <row r="32" spans="1:13">
      <c r="A32" s="41" t="s">
        <v>1162</v>
      </c>
      <c r="B32" s="41" t="s">
        <v>1227</v>
      </c>
      <c r="C32" s="41" t="s">
        <v>1164</v>
      </c>
      <c r="D32" s="36" t="s">
        <v>11265</v>
      </c>
      <c r="E32" s="27" t="s">
        <v>19</v>
      </c>
      <c r="F32" s="27" t="s">
        <v>21</v>
      </c>
      <c r="G32" s="28" t="s">
        <v>17</v>
      </c>
      <c r="H32" s="28" t="s">
        <v>18</v>
      </c>
      <c r="I32" s="332" t="s">
        <v>15</v>
      </c>
      <c r="J32" s="27" t="s">
        <v>24</v>
      </c>
      <c r="K32" s="333">
        <v>17200000</v>
      </c>
      <c r="L32" s="28" t="s">
        <v>173</v>
      </c>
      <c r="M32" s="272" t="s">
        <v>14</v>
      </c>
    </row>
    <row r="33" spans="1:13">
      <c r="A33" s="41" t="s">
        <v>1162</v>
      </c>
      <c r="B33" s="41" t="s">
        <v>1228</v>
      </c>
      <c r="C33" s="41" t="s">
        <v>1164</v>
      </c>
      <c r="D33" s="36" t="s">
        <v>11266</v>
      </c>
      <c r="E33" s="27" t="s">
        <v>19</v>
      </c>
      <c r="F33" s="27" t="s">
        <v>21</v>
      </c>
      <c r="G33" s="28" t="s">
        <v>17</v>
      </c>
      <c r="H33" s="28" t="s">
        <v>18</v>
      </c>
      <c r="I33" s="332" t="s">
        <v>15</v>
      </c>
      <c r="J33" s="27" t="s">
        <v>24</v>
      </c>
      <c r="K33" s="333">
        <v>17000</v>
      </c>
      <c r="L33" s="28" t="s">
        <v>173</v>
      </c>
      <c r="M33" s="272" t="s">
        <v>14</v>
      </c>
    </row>
    <row r="34" spans="1:13">
      <c r="A34" s="41" t="s">
        <v>1162</v>
      </c>
      <c r="B34" s="41" t="s">
        <v>1229</v>
      </c>
      <c r="C34" s="41" t="s">
        <v>1164</v>
      </c>
      <c r="D34" s="27" t="s">
        <v>1230</v>
      </c>
      <c r="E34" s="27" t="s">
        <v>19</v>
      </c>
      <c r="F34" s="27" t="s">
        <v>21</v>
      </c>
      <c r="G34" s="28" t="s">
        <v>17</v>
      </c>
      <c r="H34" s="28" t="s">
        <v>18</v>
      </c>
      <c r="I34" s="332" t="s">
        <v>15</v>
      </c>
      <c r="J34" s="27" t="s">
        <v>24</v>
      </c>
      <c r="K34" s="333">
        <v>16000</v>
      </c>
      <c r="L34" s="28" t="s">
        <v>173</v>
      </c>
      <c r="M34" s="272" t="s">
        <v>14</v>
      </c>
    </row>
    <row r="35" spans="1:13">
      <c r="A35" s="41" t="s">
        <v>1162</v>
      </c>
      <c r="B35" s="41" t="s">
        <v>1231</v>
      </c>
      <c r="C35" s="41" t="s">
        <v>1164</v>
      </c>
      <c r="D35" s="27" t="s">
        <v>1232</v>
      </c>
      <c r="E35" s="27" t="s">
        <v>19</v>
      </c>
      <c r="F35" s="27" t="s">
        <v>21</v>
      </c>
      <c r="G35" s="28" t="s">
        <v>17</v>
      </c>
      <c r="H35" s="28" t="s">
        <v>18</v>
      </c>
      <c r="I35" s="332" t="s">
        <v>15</v>
      </c>
      <c r="J35" s="27" t="s">
        <v>24</v>
      </c>
      <c r="K35" s="333">
        <v>14000</v>
      </c>
      <c r="L35" s="28" t="s">
        <v>173</v>
      </c>
      <c r="M35" s="272" t="s">
        <v>14</v>
      </c>
    </row>
    <row r="36" spans="1:13">
      <c r="A36" s="41" t="s">
        <v>1162</v>
      </c>
      <c r="B36" s="41" t="s">
        <v>1233</v>
      </c>
      <c r="C36" s="41" t="s">
        <v>1164</v>
      </c>
      <c r="D36" s="27" t="s">
        <v>1234</v>
      </c>
      <c r="E36" s="27" t="s">
        <v>19</v>
      </c>
      <c r="F36" s="27" t="s">
        <v>21</v>
      </c>
      <c r="G36" s="28" t="s">
        <v>17</v>
      </c>
      <c r="H36" s="28" t="s">
        <v>18</v>
      </c>
      <c r="I36" s="332" t="s">
        <v>15</v>
      </c>
      <c r="J36" s="27" t="s">
        <v>24</v>
      </c>
      <c r="K36" s="333">
        <v>12000</v>
      </c>
      <c r="L36" s="28" t="s">
        <v>173</v>
      </c>
      <c r="M36" s="272" t="s">
        <v>14</v>
      </c>
    </row>
    <row r="37" spans="1:13">
      <c r="A37" s="41" t="s">
        <v>1162</v>
      </c>
      <c r="B37" s="41" t="s">
        <v>1235</v>
      </c>
      <c r="C37" s="41" t="s">
        <v>1164</v>
      </c>
      <c r="D37" s="27" t="s">
        <v>1236</v>
      </c>
      <c r="E37" s="27" t="s">
        <v>19</v>
      </c>
      <c r="F37" s="27" t="s">
        <v>21</v>
      </c>
      <c r="G37" s="28" t="s">
        <v>17</v>
      </c>
      <c r="H37" s="28" t="s">
        <v>18</v>
      </c>
      <c r="I37" s="332" t="s">
        <v>15</v>
      </c>
      <c r="J37" s="27" t="s">
        <v>24</v>
      </c>
      <c r="K37" s="333">
        <v>11000</v>
      </c>
      <c r="L37" s="28" t="s">
        <v>173</v>
      </c>
      <c r="M37" s="272" t="s">
        <v>14</v>
      </c>
    </row>
    <row r="38" spans="1:13">
      <c r="A38" s="41" t="s">
        <v>1162</v>
      </c>
      <c r="B38" s="41" t="s">
        <v>1237</v>
      </c>
      <c r="C38" s="41" t="s">
        <v>1164</v>
      </c>
      <c r="D38" s="27" t="s">
        <v>1238</v>
      </c>
      <c r="E38" s="27" t="s">
        <v>19</v>
      </c>
      <c r="F38" s="27" t="s">
        <v>21</v>
      </c>
      <c r="G38" s="28" t="s">
        <v>17</v>
      </c>
      <c r="H38" s="28" t="s">
        <v>18</v>
      </c>
      <c r="I38" s="332" t="s">
        <v>15</v>
      </c>
      <c r="J38" s="27" t="s">
        <v>24</v>
      </c>
      <c r="K38" s="333">
        <v>10000</v>
      </c>
      <c r="L38" s="28" t="s">
        <v>173</v>
      </c>
      <c r="M38" s="272" t="s">
        <v>14</v>
      </c>
    </row>
    <row r="39" spans="1:13">
      <c r="A39" s="41" t="s">
        <v>1162</v>
      </c>
      <c r="B39" s="41" t="s">
        <v>1239</v>
      </c>
      <c r="C39" s="41" t="s">
        <v>1164</v>
      </c>
      <c r="D39" s="27" t="s">
        <v>1240</v>
      </c>
      <c r="E39" s="27" t="s">
        <v>19</v>
      </c>
      <c r="F39" s="27" t="s">
        <v>21</v>
      </c>
      <c r="G39" s="28" t="s">
        <v>17</v>
      </c>
      <c r="H39" s="28" t="s">
        <v>18</v>
      </c>
      <c r="I39" s="332" t="s">
        <v>15</v>
      </c>
      <c r="J39" s="27" t="s">
        <v>24</v>
      </c>
      <c r="K39" s="333">
        <v>9000</v>
      </c>
      <c r="L39" s="28" t="s">
        <v>173</v>
      </c>
      <c r="M39" s="272" t="s">
        <v>14</v>
      </c>
    </row>
    <row r="40" spans="1:13">
      <c r="A40" s="41" t="s">
        <v>1162</v>
      </c>
      <c r="B40" s="41" t="s">
        <v>1241</v>
      </c>
      <c r="C40" s="41" t="s">
        <v>1164</v>
      </c>
      <c r="D40" s="36" t="s">
        <v>11267</v>
      </c>
      <c r="E40" s="27" t="s">
        <v>19</v>
      </c>
      <c r="F40" s="27" t="s">
        <v>21</v>
      </c>
      <c r="G40" s="28" t="s">
        <v>17</v>
      </c>
      <c r="H40" s="28" t="s">
        <v>18</v>
      </c>
      <c r="I40" s="332" t="s">
        <v>15</v>
      </c>
      <c r="J40" s="27" t="s">
        <v>24</v>
      </c>
      <c r="K40" s="333">
        <v>80000</v>
      </c>
      <c r="L40" s="28" t="s">
        <v>173</v>
      </c>
      <c r="M40" s="272" t="s">
        <v>14</v>
      </c>
    </row>
    <row r="41" spans="1:13">
      <c r="A41" s="41" t="s">
        <v>1162</v>
      </c>
      <c r="B41" s="41" t="s">
        <v>1242</v>
      </c>
      <c r="C41" s="41" t="s">
        <v>1164</v>
      </c>
      <c r="D41" s="27" t="s">
        <v>1243</v>
      </c>
      <c r="E41" s="27" t="s">
        <v>1244</v>
      </c>
      <c r="F41" s="27" t="s">
        <v>21</v>
      </c>
      <c r="G41" s="28" t="s">
        <v>17</v>
      </c>
      <c r="H41" s="28" t="s">
        <v>26</v>
      </c>
      <c r="I41" s="332" t="s">
        <v>167</v>
      </c>
      <c r="J41" s="27" t="s">
        <v>1166</v>
      </c>
      <c r="K41" s="333">
        <v>7000000</v>
      </c>
      <c r="L41" s="334" t="s">
        <v>2057</v>
      </c>
      <c r="M41" s="272" t="s">
        <v>14</v>
      </c>
    </row>
    <row r="42" spans="1:13">
      <c r="A42" s="41" t="s">
        <v>1162</v>
      </c>
      <c r="B42" s="41" t="s">
        <v>1245</v>
      </c>
      <c r="C42" s="41" t="s">
        <v>1164</v>
      </c>
      <c r="D42" s="27" t="s">
        <v>1246</v>
      </c>
      <c r="E42" s="27" t="s">
        <v>27</v>
      </c>
      <c r="F42" s="27" t="s">
        <v>21</v>
      </c>
      <c r="G42" s="28" t="s">
        <v>17</v>
      </c>
      <c r="H42" s="28" t="s">
        <v>18</v>
      </c>
      <c r="I42" s="332" t="s">
        <v>167</v>
      </c>
      <c r="J42" s="27" t="s">
        <v>28</v>
      </c>
      <c r="K42" s="333">
        <v>720000</v>
      </c>
      <c r="L42" s="334" t="s">
        <v>2057</v>
      </c>
      <c r="M42" s="272" t="s">
        <v>14</v>
      </c>
    </row>
    <row r="43" spans="1:13">
      <c r="A43" s="41" t="s">
        <v>1162</v>
      </c>
      <c r="B43" s="41" t="s">
        <v>1247</v>
      </c>
      <c r="C43" s="41" t="s">
        <v>1164</v>
      </c>
      <c r="D43" s="27" t="s">
        <v>1248</v>
      </c>
      <c r="E43" s="27" t="s">
        <v>27</v>
      </c>
      <c r="F43" s="27" t="s">
        <v>21</v>
      </c>
      <c r="G43" s="28" t="s">
        <v>17</v>
      </c>
      <c r="H43" s="28" t="s">
        <v>18</v>
      </c>
      <c r="I43" s="332" t="s">
        <v>167</v>
      </c>
      <c r="J43" s="27" t="s">
        <v>28</v>
      </c>
      <c r="K43" s="333">
        <v>720000</v>
      </c>
      <c r="L43" s="334" t="s">
        <v>2057</v>
      </c>
      <c r="M43" s="272" t="s">
        <v>14</v>
      </c>
    </row>
    <row r="44" spans="1:13">
      <c r="A44" s="41" t="s">
        <v>1162</v>
      </c>
      <c r="B44" s="41" t="s">
        <v>1249</v>
      </c>
      <c r="C44" s="41" t="s">
        <v>1164</v>
      </c>
      <c r="D44" s="27" t="s">
        <v>1250</v>
      </c>
      <c r="E44" s="27" t="s">
        <v>1200</v>
      </c>
      <c r="F44" s="27" t="s">
        <v>21</v>
      </c>
      <c r="G44" s="28" t="s">
        <v>17</v>
      </c>
      <c r="H44" s="28" t="s">
        <v>18</v>
      </c>
      <c r="I44" s="332" t="s">
        <v>166</v>
      </c>
      <c r="J44" s="27" t="s">
        <v>28</v>
      </c>
      <c r="K44" s="333">
        <v>3900000</v>
      </c>
      <c r="L44" s="334" t="s">
        <v>2057</v>
      </c>
      <c r="M44" s="272" t="s">
        <v>14</v>
      </c>
    </row>
    <row r="45" spans="1:13">
      <c r="A45" s="41" t="s">
        <v>1162</v>
      </c>
      <c r="B45" s="41" t="s">
        <v>1251</v>
      </c>
      <c r="C45" s="41" t="s">
        <v>1164</v>
      </c>
      <c r="D45" s="27" t="s">
        <v>1252</v>
      </c>
      <c r="E45" s="27" t="s">
        <v>1253</v>
      </c>
      <c r="F45" s="27" t="s">
        <v>21</v>
      </c>
      <c r="G45" s="28" t="s">
        <v>17</v>
      </c>
      <c r="H45" s="28" t="s">
        <v>18</v>
      </c>
      <c r="I45" s="332" t="s">
        <v>166</v>
      </c>
      <c r="J45" s="27" t="s">
        <v>28</v>
      </c>
      <c r="K45" s="333">
        <v>7000000</v>
      </c>
      <c r="L45" s="334" t="s">
        <v>2057</v>
      </c>
      <c r="M45" s="272" t="s">
        <v>14</v>
      </c>
    </row>
    <row r="46" spans="1:13">
      <c r="A46" s="41" t="s">
        <v>1162</v>
      </c>
      <c r="B46" s="41" t="s">
        <v>1254</v>
      </c>
      <c r="C46" s="41" t="s">
        <v>1164</v>
      </c>
      <c r="D46" s="27" t="s">
        <v>1255</v>
      </c>
      <c r="E46" s="27" t="s">
        <v>1206</v>
      </c>
      <c r="F46" s="27" t="s">
        <v>21</v>
      </c>
      <c r="G46" s="28" t="s">
        <v>17</v>
      </c>
      <c r="H46" s="28" t="s">
        <v>18</v>
      </c>
      <c r="I46" s="332" t="s">
        <v>166</v>
      </c>
      <c r="J46" s="27" t="s">
        <v>28</v>
      </c>
      <c r="K46" s="333">
        <v>620000</v>
      </c>
      <c r="L46" s="334" t="s">
        <v>2057</v>
      </c>
      <c r="M46" s="272" t="s">
        <v>14</v>
      </c>
    </row>
    <row r="47" spans="1:13">
      <c r="A47" s="41" t="s">
        <v>1162</v>
      </c>
      <c r="B47" s="41" t="s">
        <v>1256</v>
      </c>
      <c r="C47" s="41" t="s">
        <v>1164</v>
      </c>
      <c r="D47" s="27" t="s">
        <v>1257</v>
      </c>
      <c r="E47" s="27" t="s">
        <v>29</v>
      </c>
      <c r="F47" s="27" t="s">
        <v>21</v>
      </c>
      <c r="G47" s="28" t="s">
        <v>17</v>
      </c>
      <c r="H47" s="28" t="s">
        <v>18</v>
      </c>
      <c r="I47" s="332" t="s">
        <v>166</v>
      </c>
      <c r="J47" s="27" t="s">
        <v>28</v>
      </c>
      <c r="K47" s="333">
        <v>220000</v>
      </c>
      <c r="L47" s="334" t="s">
        <v>2057</v>
      </c>
      <c r="M47" s="272" t="s">
        <v>14</v>
      </c>
    </row>
    <row r="48" spans="1:13">
      <c r="A48" s="41" t="s">
        <v>1162</v>
      </c>
      <c r="B48" s="41" t="s">
        <v>1258</v>
      </c>
      <c r="C48" s="41" t="s">
        <v>1164</v>
      </c>
      <c r="D48" s="27" t="s">
        <v>1259</v>
      </c>
      <c r="E48" s="27" t="s">
        <v>29</v>
      </c>
      <c r="F48" s="27" t="s">
        <v>21</v>
      </c>
      <c r="G48" s="28" t="s">
        <v>17</v>
      </c>
      <c r="H48" s="28" t="s">
        <v>18</v>
      </c>
      <c r="I48" s="332" t="s">
        <v>167</v>
      </c>
      <c r="J48" s="27" t="s">
        <v>1166</v>
      </c>
      <c r="K48" s="333">
        <v>200000</v>
      </c>
      <c r="L48" s="334" t="s">
        <v>2057</v>
      </c>
      <c r="M48" s="272" t="s">
        <v>14</v>
      </c>
    </row>
    <row r="49" spans="1:13">
      <c r="A49" s="41" t="s">
        <v>1162</v>
      </c>
      <c r="B49" s="41" t="s">
        <v>1260</v>
      </c>
      <c r="C49" s="41" t="s">
        <v>1164</v>
      </c>
      <c r="D49" s="27" t="s">
        <v>1261</v>
      </c>
      <c r="E49" s="27" t="s">
        <v>29</v>
      </c>
      <c r="F49" s="27" t="s">
        <v>21</v>
      </c>
      <c r="G49" s="28" t="s">
        <v>17</v>
      </c>
      <c r="H49" s="28" t="s">
        <v>18</v>
      </c>
      <c r="I49" s="332" t="s">
        <v>167</v>
      </c>
      <c r="J49" s="27" t="s">
        <v>1166</v>
      </c>
      <c r="K49" s="333">
        <v>200000</v>
      </c>
      <c r="L49" s="334" t="s">
        <v>2057</v>
      </c>
      <c r="M49" s="272" t="s">
        <v>14</v>
      </c>
    </row>
    <row r="50" spans="1:13">
      <c r="A50" s="41" t="s">
        <v>1162</v>
      </c>
      <c r="B50" s="41" t="s">
        <v>1262</v>
      </c>
      <c r="C50" s="41" t="s">
        <v>1164</v>
      </c>
      <c r="D50" s="27" t="s">
        <v>1263</v>
      </c>
      <c r="E50" s="27" t="s">
        <v>29</v>
      </c>
      <c r="F50" s="27" t="s">
        <v>21</v>
      </c>
      <c r="G50" s="28" t="s">
        <v>17</v>
      </c>
      <c r="H50" s="28" t="s">
        <v>18</v>
      </c>
      <c r="I50" s="332" t="s">
        <v>167</v>
      </c>
      <c r="J50" s="27" t="s">
        <v>28</v>
      </c>
      <c r="K50" s="333">
        <v>200000</v>
      </c>
      <c r="L50" s="334" t="s">
        <v>2057</v>
      </c>
      <c r="M50" s="272" t="s">
        <v>14</v>
      </c>
    </row>
    <row r="51" spans="1:13">
      <c r="A51" s="41" t="s">
        <v>1162</v>
      </c>
      <c r="B51" s="41" t="s">
        <v>1264</v>
      </c>
      <c r="C51" s="41" t="s">
        <v>1164</v>
      </c>
      <c r="D51" s="36" t="s">
        <v>11268</v>
      </c>
      <c r="E51" s="27" t="s">
        <v>133</v>
      </c>
      <c r="F51" s="27" t="s">
        <v>21</v>
      </c>
      <c r="G51" s="28" t="s">
        <v>17</v>
      </c>
      <c r="H51" s="28" t="s">
        <v>18</v>
      </c>
      <c r="I51" s="332" t="s">
        <v>15</v>
      </c>
      <c r="J51" s="27" t="s">
        <v>24</v>
      </c>
      <c r="K51" s="333">
        <v>1000000</v>
      </c>
      <c r="L51" s="28" t="s">
        <v>173</v>
      </c>
      <c r="M51" s="272" t="s">
        <v>14</v>
      </c>
    </row>
    <row r="52" spans="1:13">
      <c r="A52" s="41" t="s">
        <v>1162</v>
      </c>
      <c r="B52" s="41" t="s">
        <v>1265</v>
      </c>
      <c r="C52" s="41" t="s">
        <v>1164</v>
      </c>
      <c r="D52" s="27" t="s">
        <v>1266</v>
      </c>
      <c r="E52" s="27" t="s">
        <v>25</v>
      </c>
      <c r="F52" s="27" t="s">
        <v>21</v>
      </c>
      <c r="G52" s="28" t="s">
        <v>17</v>
      </c>
      <c r="H52" s="28" t="s">
        <v>18</v>
      </c>
      <c r="I52" s="332" t="s">
        <v>15</v>
      </c>
      <c r="J52" s="27" t="s">
        <v>24</v>
      </c>
      <c r="K52" s="333">
        <v>600000</v>
      </c>
      <c r="L52" s="28" t="s">
        <v>173</v>
      </c>
      <c r="M52" s="272" t="s">
        <v>14</v>
      </c>
    </row>
    <row r="53" spans="1:13">
      <c r="A53" s="41" t="s">
        <v>1162</v>
      </c>
      <c r="B53" s="41" t="s">
        <v>1267</v>
      </c>
      <c r="C53" s="41" t="s">
        <v>1164</v>
      </c>
      <c r="D53" s="27" t="s">
        <v>1268</v>
      </c>
      <c r="E53" s="27" t="s">
        <v>25</v>
      </c>
      <c r="F53" s="27" t="s">
        <v>21</v>
      </c>
      <c r="G53" s="28" t="s">
        <v>17</v>
      </c>
      <c r="H53" s="28" t="s">
        <v>18</v>
      </c>
      <c r="I53" s="332" t="s">
        <v>15</v>
      </c>
      <c r="J53" s="27" t="s">
        <v>24</v>
      </c>
      <c r="K53" s="333">
        <v>410000</v>
      </c>
      <c r="L53" s="28" t="s">
        <v>173</v>
      </c>
      <c r="M53" s="272" t="s">
        <v>14</v>
      </c>
    </row>
    <row r="54" spans="1:13">
      <c r="A54" s="41" t="s">
        <v>1162</v>
      </c>
      <c r="B54" s="41" t="s">
        <v>1269</v>
      </c>
      <c r="C54" s="41" t="s">
        <v>1164</v>
      </c>
      <c r="D54" s="27" t="s">
        <v>1270</v>
      </c>
      <c r="E54" s="27" t="s">
        <v>1244</v>
      </c>
      <c r="F54" s="27" t="s">
        <v>21</v>
      </c>
      <c r="G54" s="28" t="s">
        <v>17</v>
      </c>
      <c r="H54" s="28" t="s">
        <v>26</v>
      </c>
      <c r="I54" s="332" t="s">
        <v>167</v>
      </c>
      <c r="J54" s="27" t="s">
        <v>1166</v>
      </c>
      <c r="K54" s="333">
        <v>7000000</v>
      </c>
      <c r="L54" s="334" t="s">
        <v>2057</v>
      </c>
      <c r="M54" s="272" t="s">
        <v>14</v>
      </c>
    </row>
    <row r="55" spans="1:13">
      <c r="A55" s="41" t="s">
        <v>1162</v>
      </c>
      <c r="B55" s="41" t="s">
        <v>1271</v>
      </c>
      <c r="C55" s="41" t="s">
        <v>1164</v>
      </c>
      <c r="D55" s="27" t="s">
        <v>1272</v>
      </c>
      <c r="E55" s="27" t="s">
        <v>27</v>
      </c>
      <c r="F55" s="27" t="s">
        <v>21</v>
      </c>
      <c r="G55" s="28" t="s">
        <v>17</v>
      </c>
      <c r="H55" s="28" t="s">
        <v>18</v>
      </c>
      <c r="I55" s="332" t="s">
        <v>167</v>
      </c>
      <c r="J55" s="27" t="s">
        <v>28</v>
      </c>
      <c r="K55" s="333">
        <v>720000</v>
      </c>
      <c r="L55" s="334" t="s">
        <v>2057</v>
      </c>
      <c r="M55" s="272" t="s">
        <v>14</v>
      </c>
    </row>
    <row r="56" spans="1:13">
      <c r="A56" s="41" t="s">
        <v>1162</v>
      </c>
      <c r="B56" s="41" t="s">
        <v>1273</v>
      </c>
      <c r="C56" s="41" t="s">
        <v>1164</v>
      </c>
      <c r="D56" s="27" t="s">
        <v>1274</v>
      </c>
      <c r="E56" s="27" t="s">
        <v>27</v>
      </c>
      <c r="F56" s="27" t="s">
        <v>21</v>
      </c>
      <c r="G56" s="28" t="s">
        <v>17</v>
      </c>
      <c r="H56" s="28" t="s">
        <v>18</v>
      </c>
      <c r="I56" s="332" t="s">
        <v>167</v>
      </c>
      <c r="J56" s="27" t="s">
        <v>28</v>
      </c>
      <c r="K56" s="333">
        <v>720000</v>
      </c>
      <c r="L56" s="334" t="s">
        <v>2057</v>
      </c>
      <c r="M56" s="272" t="s">
        <v>14</v>
      </c>
    </row>
    <row r="57" spans="1:13">
      <c r="A57" s="41" t="s">
        <v>1162</v>
      </c>
      <c r="B57" s="41" t="s">
        <v>1275</v>
      </c>
      <c r="C57" s="41" t="s">
        <v>1164</v>
      </c>
      <c r="D57" s="27" t="s">
        <v>1276</v>
      </c>
      <c r="E57" s="27" t="s">
        <v>1277</v>
      </c>
      <c r="F57" s="27" t="s">
        <v>21</v>
      </c>
      <c r="G57" s="28" t="s">
        <v>17</v>
      </c>
      <c r="H57" s="28" t="s">
        <v>18</v>
      </c>
      <c r="I57" s="332" t="s">
        <v>166</v>
      </c>
      <c r="J57" s="27" t="s">
        <v>28</v>
      </c>
      <c r="K57" s="333">
        <v>4200000</v>
      </c>
      <c r="L57" s="334" t="s">
        <v>2057</v>
      </c>
      <c r="M57" s="272" t="s">
        <v>14</v>
      </c>
    </row>
    <row r="58" spans="1:13">
      <c r="A58" s="41" t="s">
        <v>1162</v>
      </c>
      <c r="B58" s="41" t="s">
        <v>1278</v>
      </c>
      <c r="C58" s="41" t="s">
        <v>1164</v>
      </c>
      <c r="D58" s="27" t="s">
        <v>1279</v>
      </c>
      <c r="E58" s="27" t="s">
        <v>29</v>
      </c>
      <c r="F58" s="27" t="s">
        <v>21</v>
      </c>
      <c r="G58" s="28" t="s">
        <v>17</v>
      </c>
      <c r="H58" s="28" t="s">
        <v>18</v>
      </c>
      <c r="I58" s="332" t="s">
        <v>166</v>
      </c>
      <c r="J58" s="27" t="s">
        <v>28</v>
      </c>
      <c r="K58" s="333">
        <v>220000</v>
      </c>
      <c r="L58" s="334" t="s">
        <v>2057</v>
      </c>
      <c r="M58" s="272" t="s">
        <v>14</v>
      </c>
    </row>
    <row r="59" spans="1:13">
      <c r="A59" s="41" t="s">
        <v>1162</v>
      </c>
      <c r="B59" s="41" t="s">
        <v>1280</v>
      </c>
      <c r="C59" s="41" t="s">
        <v>1164</v>
      </c>
      <c r="D59" s="27" t="s">
        <v>1281</v>
      </c>
      <c r="E59" s="27" t="s">
        <v>29</v>
      </c>
      <c r="F59" s="27" t="s">
        <v>21</v>
      </c>
      <c r="G59" s="28" t="s">
        <v>17</v>
      </c>
      <c r="H59" s="28" t="s">
        <v>18</v>
      </c>
      <c r="I59" s="332" t="s">
        <v>167</v>
      </c>
      <c r="J59" s="27" t="s">
        <v>1166</v>
      </c>
      <c r="K59" s="333">
        <v>200000</v>
      </c>
      <c r="L59" s="334" t="s">
        <v>2057</v>
      </c>
      <c r="M59" s="272" t="s">
        <v>14</v>
      </c>
    </row>
    <row r="60" spans="1:13">
      <c r="A60" s="41" t="s">
        <v>1162</v>
      </c>
      <c r="B60" s="41" t="s">
        <v>1282</v>
      </c>
      <c r="C60" s="41" t="s">
        <v>1164</v>
      </c>
      <c r="D60" s="27" t="s">
        <v>1283</v>
      </c>
      <c r="E60" s="27" t="s">
        <v>29</v>
      </c>
      <c r="F60" s="27" t="s">
        <v>21</v>
      </c>
      <c r="G60" s="28" t="s">
        <v>17</v>
      </c>
      <c r="H60" s="28" t="s">
        <v>18</v>
      </c>
      <c r="I60" s="332" t="s">
        <v>167</v>
      </c>
      <c r="J60" s="27" t="s">
        <v>1166</v>
      </c>
      <c r="K60" s="333">
        <v>200000</v>
      </c>
      <c r="L60" s="334" t="s">
        <v>2057</v>
      </c>
      <c r="M60" s="272" t="s">
        <v>14</v>
      </c>
    </row>
    <row r="61" spans="1:13">
      <c r="A61" s="41" t="s">
        <v>1162</v>
      </c>
      <c r="B61" s="41" t="s">
        <v>1284</v>
      </c>
      <c r="C61" s="41" t="s">
        <v>1164</v>
      </c>
      <c r="D61" s="27" t="s">
        <v>1285</v>
      </c>
      <c r="E61" s="27" t="s">
        <v>29</v>
      </c>
      <c r="F61" s="27" t="s">
        <v>21</v>
      </c>
      <c r="G61" s="28" t="s">
        <v>17</v>
      </c>
      <c r="H61" s="28" t="s">
        <v>18</v>
      </c>
      <c r="I61" s="332" t="s">
        <v>167</v>
      </c>
      <c r="J61" s="27" t="s">
        <v>28</v>
      </c>
      <c r="K61" s="333">
        <v>200000</v>
      </c>
      <c r="L61" s="334" t="s">
        <v>2057</v>
      </c>
      <c r="M61" s="272" t="s">
        <v>14</v>
      </c>
    </row>
  </sheetData>
  <conditionalFormatting sqref="B1 B62:B1048576">
    <cfRule type="duplicateValues" dxfId="59" priority="1"/>
    <cfRule type="duplicateValues" dxfId="58" priority="2"/>
    <cfRule type="duplicateValues" dxfId="57" priority="3"/>
  </conditionalFormatting>
  <dataValidations count="2">
    <dataValidation type="list" allowBlank="1" showInputMessage="1" showErrorMessage="1" error="Solo se admite COP/USD" sqref="M2:M61">
      <formula1>"COP,USD"</formula1>
    </dataValidation>
    <dataValidation type="list" allowBlank="1" showInputMessage="1" showErrorMessage="1" error="Solo se admite Sí/No" sqref="L2:L61">
      <formula1>"Sí,No"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opLeftCell="B1" zoomScaleNormal="100" workbookViewId="0">
      <selection activeCell="B1" sqref="B1:C1"/>
    </sheetView>
  </sheetViews>
  <sheetFormatPr baseColWidth="10" defaultColWidth="11.54296875" defaultRowHeight="14.5"/>
  <cols>
    <col min="1" max="1" width="16.08984375" style="8" hidden="1" customWidth="1"/>
    <col min="2" max="2" width="62.54296875" style="8" customWidth="1"/>
    <col min="3" max="3" width="10.54296875" style="8" customWidth="1"/>
    <col min="4" max="4" width="68.08984375" style="8" customWidth="1"/>
    <col min="5" max="5" width="10.54296875" style="8" customWidth="1"/>
    <col min="6" max="6" width="12.54296875" style="8" customWidth="1"/>
    <col min="7" max="7" width="37.08984375" style="8" customWidth="1"/>
    <col min="8" max="8" width="9.08984375" style="8" bestFit="1" customWidth="1"/>
    <col min="9" max="9" width="18.54296875" style="8" bestFit="1" customWidth="1"/>
    <col min="10" max="10" width="15.453125" style="8" bestFit="1" customWidth="1"/>
    <col min="11" max="11" width="60.90625" style="8" customWidth="1"/>
    <col min="12" max="16384" width="11.54296875" style="8"/>
  </cols>
  <sheetData>
    <row r="1" spans="1:11" ht="15">
      <c r="A1" s="26" t="s">
        <v>1430</v>
      </c>
      <c r="B1" s="16" t="s">
        <v>1431</v>
      </c>
      <c r="C1" s="16" t="s">
        <v>6</v>
      </c>
      <c r="D1" s="16" t="s">
        <v>133</v>
      </c>
      <c r="E1" s="16" t="s">
        <v>7</v>
      </c>
      <c r="F1" s="16" t="s">
        <v>8</v>
      </c>
      <c r="G1" s="16" t="s">
        <v>9</v>
      </c>
      <c r="H1" s="16" t="s">
        <v>3</v>
      </c>
      <c r="I1" s="16" t="s">
        <v>1432</v>
      </c>
      <c r="J1" s="16" t="s">
        <v>1433</v>
      </c>
      <c r="K1" s="16" t="s">
        <v>1434</v>
      </c>
    </row>
    <row r="2" spans="1:11">
      <c r="A2" s="27" t="s">
        <v>89</v>
      </c>
      <c r="B2" s="7" t="s">
        <v>90</v>
      </c>
      <c r="C2" s="7" t="s">
        <v>21</v>
      </c>
      <c r="D2" s="7" t="s">
        <v>91</v>
      </c>
      <c r="E2" s="7" t="s">
        <v>70</v>
      </c>
      <c r="F2" s="7" t="s">
        <v>26</v>
      </c>
      <c r="G2" s="7" t="s">
        <v>166</v>
      </c>
      <c r="H2" s="7" t="s">
        <v>14</v>
      </c>
      <c r="I2" s="7">
        <v>12960000</v>
      </c>
      <c r="J2" s="7">
        <f>I2*19/100</f>
        <v>2462400</v>
      </c>
      <c r="K2" s="7" t="s">
        <v>516</v>
      </c>
    </row>
    <row r="3" spans="1:11">
      <c r="A3" s="27" t="s">
        <v>92</v>
      </c>
      <c r="B3" s="7" t="s">
        <v>90</v>
      </c>
      <c r="C3" s="7" t="s">
        <v>21</v>
      </c>
      <c r="D3" s="7" t="s">
        <v>91</v>
      </c>
      <c r="E3" s="7" t="s">
        <v>70</v>
      </c>
      <c r="F3" s="7" t="s">
        <v>42</v>
      </c>
      <c r="G3" s="7" t="s">
        <v>166</v>
      </c>
      <c r="H3" s="7" t="s">
        <v>14</v>
      </c>
      <c r="I3" s="7">
        <v>12960000</v>
      </c>
      <c r="J3" s="7">
        <f t="shared" ref="J3:J61" si="0">I3*19/100</f>
        <v>2462400</v>
      </c>
      <c r="K3" s="7" t="s">
        <v>516</v>
      </c>
    </row>
    <row r="4" spans="1:11">
      <c r="A4" s="27" t="s">
        <v>93</v>
      </c>
      <c r="B4" s="7" t="s">
        <v>90</v>
      </c>
      <c r="C4" s="7" t="s">
        <v>21</v>
      </c>
      <c r="D4" s="7" t="s">
        <v>91</v>
      </c>
      <c r="E4" s="7" t="s">
        <v>74</v>
      </c>
      <c r="F4" s="7" t="s">
        <v>26</v>
      </c>
      <c r="G4" s="7" t="s">
        <v>166</v>
      </c>
      <c r="H4" s="7" t="s">
        <v>14</v>
      </c>
      <c r="I4" s="7">
        <v>12960000</v>
      </c>
      <c r="J4" s="7">
        <f t="shared" si="0"/>
        <v>2462400</v>
      </c>
      <c r="K4" s="7" t="s">
        <v>516</v>
      </c>
    </row>
    <row r="5" spans="1:11">
      <c r="A5" s="27" t="s">
        <v>94</v>
      </c>
      <c r="B5" s="7" t="s">
        <v>90</v>
      </c>
      <c r="C5" s="7" t="s">
        <v>21</v>
      </c>
      <c r="D5" s="7" t="s">
        <v>91</v>
      </c>
      <c r="E5" s="7" t="s">
        <v>74</v>
      </c>
      <c r="F5" s="7" t="s">
        <v>42</v>
      </c>
      <c r="G5" s="7" t="s">
        <v>166</v>
      </c>
      <c r="H5" s="7" t="s">
        <v>14</v>
      </c>
      <c r="I5" s="7">
        <v>12960000</v>
      </c>
      <c r="J5" s="7">
        <f t="shared" si="0"/>
        <v>2462400</v>
      </c>
      <c r="K5" s="7" t="s">
        <v>516</v>
      </c>
    </row>
    <row r="6" spans="1:11">
      <c r="A6" s="27" t="s">
        <v>95</v>
      </c>
      <c r="B6" s="7" t="s">
        <v>90</v>
      </c>
      <c r="C6" s="7" t="s">
        <v>21</v>
      </c>
      <c r="D6" s="7" t="s">
        <v>91</v>
      </c>
      <c r="E6" s="7" t="s">
        <v>72</v>
      </c>
      <c r="F6" s="7" t="s">
        <v>26</v>
      </c>
      <c r="G6" s="7" t="s">
        <v>166</v>
      </c>
      <c r="H6" s="7" t="s">
        <v>14</v>
      </c>
      <c r="I6" s="7">
        <v>12960000</v>
      </c>
      <c r="J6" s="7">
        <f t="shared" si="0"/>
        <v>2462400</v>
      </c>
      <c r="K6" s="7" t="s">
        <v>516</v>
      </c>
    </row>
    <row r="7" spans="1:11">
      <c r="A7" s="27" t="s">
        <v>96</v>
      </c>
      <c r="B7" s="7" t="s">
        <v>90</v>
      </c>
      <c r="C7" s="7" t="s">
        <v>21</v>
      </c>
      <c r="D7" s="7" t="s">
        <v>91</v>
      </c>
      <c r="E7" s="7" t="s">
        <v>72</v>
      </c>
      <c r="F7" s="7" t="s">
        <v>42</v>
      </c>
      <c r="G7" s="7" t="s">
        <v>166</v>
      </c>
      <c r="H7" s="7" t="s">
        <v>14</v>
      </c>
      <c r="I7" s="7">
        <v>12960000</v>
      </c>
      <c r="J7" s="7">
        <f t="shared" si="0"/>
        <v>2462400</v>
      </c>
      <c r="K7" s="7" t="s">
        <v>516</v>
      </c>
    </row>
    <row r="8" spans="1:11">
      <c r="A8" s="27" t="s">
        <v>97</v>
      </c>
      <c r="B8" s="7" t="s">
        <v>98</v>
      </c>
      <c r="C8" s="7" t="s">
        <v>21</v>
      </c>
      <c r="D8" s="7" t="s">
        <v>99</v>
      </c>
      <c r="E8" s="7" t="s">
        <v>70</v>
      </c>
      <c r="F8" s="7" t="s">
        <v>26</v>
      </c>
      <c r="G8" s="7" t="s">
        <v>166</v>
      </c>
      <c r="H8" s="7" t="s">
        <v>14</v>
      </c>
      <c r="I8" s="7">
        <v>25920000</v>
      </c>
      <c r="J8" s="7">
        <f t="shared" si="0"/>
        <v>4924800</v>
      </c>
      <c r="K8" s="7" t="s">
        <v>516</v>
      </c>
    </row>
    <row r="9" spans="1:11">
      <c r="A9" s="27" t="s">
        <v>100</v>
      </c>
      <c r="B9" s="7" t="s">
        <v>98</v>
      </c>
      <c r="C9" s="7" t="s">
        <v>21</v>
      </c>
      <c r="D9" s="7" t="s">
        <v>99</v>
      </c>
      <c r="E9" s="7" t="s">
        <v>70</v>
      </c>
      <c r="F9" s="7" t="s">
        <v>42</v>
      </c>
      <c r="G9" s="7" t="s">
        <v>166</v>
      </c>
      <c r="H9" s="7" t="s">
        <v>14</v>
      </c>
      <c r="I9" s="7">
        <v>25920000</v>
      </c>
      <c r="J9" s="7">
        <f t="shared" si="0"/>
        <v>4924800</v>
      </c>
      <c r="K9" s="7" t="s">
        <v>516</v>
      </c>
    </row>
    <row r="10" spans="1:11">
      <c r="A10" s="27" t="s">
        <v>101</v>
      </c>
      <c r="B10" s="7" t="s">
        <v>98</v>
      </c>
      <c r="C10" s="7" t="s">
        <v>21</v>
      </c>
      <c r="D10" s="7" t="s">
        <v>99</v>
      </c>
      <c r="E10" s="7" t="s">
        <v>74</v>
      </c>
      <c r="F10" s="7" t="s">
        <v>26</v>
      </c>
      <c r="G10" s="7" t="s">
        <v>166</v>
      </c>
      <c r="H10" s="7" t="s">
        <v>14</v>
      </c>
      <c r="I10" s="7">
        <v>25920000</v>
      </c>
      <c r="J10" s="7">
        <f t="shared" si="0"/>
        <v>4924800</v>
      </c>
      <c r="K10" s="7" t="s">
        <v>516</v>
      </c>
    </row>
    <row r="11" spans="1:11">
      <c r="A11" s="27" t="s">
        <v>102</v>
      </c>
      <c r="B11" s="7" t="s">
        <v>98</v>
      </c>
      <c r="C11" s="7" t="s">
        <v>21</v>
      </c>
      <c r="D11" s="7" t="s">
        <v>99</v>
      </c>
      <c r="E11" s="7" t="s">
        <v>74</v>
      </c>
      <c r="F11" s="7" t="s">
        <v>42</v>
      </c>
      <c r="G11" s="7" t="s">
        <v>166</v>
      </c>
      <c r="H11" s="7" t="s">
        <v>14</v>
      </c>
      <c r="I11" s="7">
        <v>25920000</v>
      </c>
      <c r="J11" s="7">
        <f t="shared" si="0"/>
        <v>4924800</v>
      </c>
      <c r="K11" s="7" t="s">
        <v>516</v>
      </c>
    </row>
    <row r="12" spans="1:11">
      <c r="A12" s="27" t="s">
        <v>103</v>
      </c>
      <c r="B12" s="7" t="s">
        <v>98</v>
      </c>
      <c r="C12" s="7" t="s">
        <v>21</v>
      </c>
      <c r="D12" s="7" t="s">
        <v>99</v>
      </c>
      <c r="E12" s="7" t="s">
        <v>72</v>
      </c>
      <c r="F12" s="7" t="s">
        <v>26</v>
      </c>
      <c r="G12" s="7" t="s">
        <v>166</v>
      </c>
      <c r="H12" s="7" t="s">
        <v>14</v>
      </c>
      <c r="I12" s="7">
        <v>25920000</v>
      </c>
      <c r="J12" s="7">
        <f t="shared" si="0"/>
        <v>4924800</v>
      </c>
      <c r="K12" s="7" t="s">
        <v>516</v>
      </c>
    </row>
    <row r="13" spans="1:11">
      <c r="A13" s="27" t="s">
        <v>104</v>
      </c>
      <c r="B13" s="7" t="s">
        <v>98</v>
      </c>
      <c r="C13" s="7" t="s">
        <v>21</v>
      </c>
      <c r="D13" s="7" t="s">
        <v>99</v>
      </c>
      <c r="E13" s="7" t="s">
        <v>72</v>
      </c>
      <c r="F13" s="7" t="s">
        <v>42</v>
      </c>
      <c r="G13" s="7" t="s">
        <v>166</v>
      </c>
      <c r="H13" s="7" t="s">
        <v>14</v>
      </c>
      <c r="I13" s="7">
        <v>25920000</v>
      </c>
      <c r="J13" s="7">
        <f t="shared" si="0"/>
        <v>4924800</v>
      </c>
      <c r="K13" s="7" t="s">
        <v>516</v>
      </c>
    </row>
    <row r="14" spans="1:11">
      <c r="A14" s="27" t="s">
        <v>105</v>
      </c>
      <c r="B14" s="7" t="s">
        <v>106</v>
      </c>
      <c r="C14" s="7" t="s">
        <v>21</v>
      </c>
      <c r="D14" s="7" t="s">
        <v>91</v>
      </c>
      <c r="E14" s="7" t="s">
        <v>70</v>
      </c>
      <c r="F14" s="7" t="s">
        <v>26</v>
      </c>
      <c r="G14" s="7" t="s">
        <v>166</v>
      </c>
      <c r="H14" s="7" t="s">
        <v>14</v>
      </c>
      <c r="I14" s="7">
        <v>12960000</v>
      </c>
      <c r="J14" s="7">
        <f t="shared" si="0"/>
        <v>2462400</v>
      </c>
      <c r="K14" s="7" t="s">
        <v>516</v>
      </c>
    </row>
    <row r="15" spans="1:11">
      <c r="A15" s="27" t="s">
        <v>107</v>
      </c>
      <c r="B15" s="7" t="s">
        <v>106</v>
      </c>
      <c r="C15" s="7" t="s">
        <v>21</v>
      </c>
      <c r="D15" s="7" t="s">
        <v>91</v>
      </c>
      <c r="E15" s="7" t="s">
        <v>70</v>
      </c>
      <c r="F15" s="7" t="s">
        <v>42</v>
      </c>
      <c r="G15" s="7" t="s">
        <v>166</v>
      </c>
      <c r="H15" s="7" t="s">
        <v>14</v>
      </c>
      <c r="I15" s="7">
        <v>12960000</v>
      </c>
      <c r="J15" s="7">
        <f t="shared" si="0"/>
        <v>2462400</v>
      </c>
      <c r="K15" s="7" t="s">
        <v>516</v>
      </c>
    </row>
    <row r="16" spans="1:11">
      <c r="A16" s="27" t="s">
        <v>108</v>
      </c>
      <c r="B16" s="7" t="s">
        <v>106</v>
      </c>
      <c r="C16" s="7" t="s">
        <v>21</v>
      </c>
      <c r="D16" s="7" t="s">
        <v>91</v>
      </c>
      <c r="E16" s="7" t="s">
        <v>74</v>
      </c>
      <c r="F16" s="7" t="s">
        <v>26</v>
      </c>
      <c r="G16" s="7" t="s">
        <v>166</v>
      </c>
      <c r="H16" s="7" t="s">
        <v>14</v>
      </c>
      <c r="I16" s="7">
        <v>12960000</v>
      </c>
      <c r="J16" s="7">
        <f t="shared" si="0"/>
        <v>2462400</v>
      </c>
      <c r="K16" s="7" t="s">
        <v>516</v>
      </c>
    </row>
    <row r="17" spans="1:11">
      <c r="A17" s="27" t="s">
        <v>109</v>
      </c>
      <c r="B17" s="7" t="s">
        <v>106</v>
      </c>
      <c r="C17" s="7" t="s">
        <v>21</v>
      </c>
      <c r="D17" s="7" t="s">
        <v>91</v>
      </c>
      <c r="E17" s="7" t="s">
        <v>74</v>
      </c>
      <c r="F17" s="7" t="s">
        <v>42</v>
      </c>
      <c r="G17" s="7" t="s">
        <v>166</v>
      </c>
      <c r="H17" s="7" t="s">
        <v>14</v>
      </c>
      <c r="I17" s="7">
        <v>12960000</v>
      </c>
      <c r="J17" s="7">
        <f t="shared" si="0"/>
        <v>2462400</v>
      </c>
      <c r="K17" s="7" t="s">
        <v>516</v>
      </c>
    </row>
    <row r="18" spans="1:11">
      <c r="A18" s="27" t="s">
        <v>110</v>
      </c>
      <c r="B18" s="7" t="s">
        <v>106</v>
      </c>
      <c r="C18" s="7" t="s">
        <v>21</v>
      </c>
      <c r="D18" s="7" t="s">
        <v>91</v>
      </c>
      <c r="E18" s="7" t="s">
        <v>72</v>
      </c>
      <c r="F18" s="7" t="s">
        <v>26</v>
      </c>
      <c r="G18" s="7" t="s">
        <v>166</v>
      </c>
      <c r="H18" s="7" t="s">
        <v>14</v>
      </c>
      <c r="I18" s="7">
        <v>12960000</v>
      </c>
      <c r="J18" s="7">
        <f t="shared" si="0"/>
        <v>2462400</v>
      </c>
      <c r="K18" s="7" t="s">
        <v>516</v>
      </c>
    </row>
    <row r="19" spans="1:11">
      <c r="A19" s="27" t="s">
        <v>111</v>
      </c>
      <c r="B19" s="7" t="s">
        <v>106</v>
      </c>
      <c r="C19" s="7" t="s">
        <v>21</v>
      </c>
      <c r="D19" s="7" t="s">
        <v>91</v>
      </c>
      <c r="E19" s="7" t="s">
        <v>72</v>
      </c>
      <c r="F19" s="7" t="s">
        <v>42</v>
      </c>
      <c r="G19" s="7" t="s">
        <v>166</v>
      </c>
      <c r="H19" s="7" t="s">
        <v>14</v>
      </c>
      <c r="I19" s="7">
        <v>12960000</v>
      </c>
      <c r="J19" s="7">
        <f t="shared" si="0"/>
        <v>2462400</v>
      </c>
      <c r="K19" s="7" t="s">
        <v>516</v>
      </c>
    </row>
    <row r="20" spans="1:11">
      <c r="A20" s="27" t="s">
        <v>112</v>
      </c>
      <c r="B20" s="7" t="s">
        <v>113</v>
      </c>
      <c r="C20" s="7" t="s">
        <v>21</v>
      </c>
      <c r="D20" s="7" t="s">
        <v>99</v>
      </c>
      <c r="E20" s="7" t="s">
        <v>70</v>
      </c>
      <c r="F20" s="7" t="s">
        <v>26</v>
      </c>
      <c r="G20" s="7" t="s">
        <v>166</v>
      </c>
      <c r="H20" s="7" t="s">
        <v>14</v>
      </c>
      <c r="I20" s="7">
        <v>25920000</v>
      </c>
      <c r="J20" s="7">
        <f t="shared" si="0"/>
        <v>4924800</v>
      </c>
      <c r="K20" s="7" t="s">
        <v>516</v>
      </c>
    </row>
    <row r="21" spans="1:11">
      <c r="A21" s="27" t="s">
        <v>114</v>
      </c>
      <c r="B21" s="7" t="s">
        <v>113</v>
      </c>
      <c r="C21" s="7" t="s">
        <v>21</v>
      </c>
      <c r="D21" s="7" t="s">
        <v>99</v>
      </c>
      <c r="E21" s="7" t="s">
        <v>70</v>
      </c>
      <c r="F21" s="7" t="s">
        <v>42</v>
      </c>
      <c r="G21" s="7" t="s">
        <v>166</v>
      </c>
      <c r="H21" s="7" t="s">
        <v>14</v>
      </c>
      <c r="I21" s="7">
        <v>25920000</v>
      </c>
      <c r="J21" s="7">
        <f t="shared" si="0"/>
        <v>4924800</v>
      </c>
      <c r="K21" s="7" t="s">
        <v>516</v>
      </c>
    </row>
    <row r="22" spans="1:11">
      <c r="A22" s="27" t="s">
        <v>115</v>
      </c>
      <c r="B22" s="7" t="s">
        <v>113</v>
      </c>
      <c r="C22" s="7" t="s">
        <v>21</v>
      </c>
      <c r="D22" s="7" t="s">
        <v>99</v>
      </c>
      <c r="E22" s="7" t="s">
        <v>74</v>
      </c>
      <c r="F22" s="7" t="s">
        <v>26</v>
      </c>
      <c r="G22" s="7" t="s">
        <v>166</v>
      </c>
      <c r="H22" s="7" t="s">
        <v>14</v>
      </c>
      <c r="I22" s="7">
        <v>25920000</v>
      </c>
      <c r="J22" s="7">
        <f t="shared" si="0"/>
        <v>4924800</v>
      </c>
      <c r="K22" s="7" t="s">
        <v>516</v>
      </c>
    </row>
    <row r="23" spans="1:11">
      <c r="A23" s="27" t="s">
        <v>116</v>
      </c>
      <c r="B23" s="7" t="s">
        <v>113</v>
      </c>
      <c r="C23" s="7" t="s">
        <v>21</v>
      </c>
      <c r="D23" s="7" t="s">
        <v>99</v>
      </c>
      <c r="E23" s="7" t="s">
        <v>74</v>
      </c>
      <c r="F23" s="7" t="s">
        <v>42</v>
      </c>
      <c r="G23" s="7" t="s">
        <v>166</v>
      </c>
      <c r="H23" s="7" t="s">
        <v>14</v>
      </c>
      <c r="I23" s="7">
        <v>25920000</v>
      </c>
      <c r="J23" s="7">
        <f t="shared" si="0"/>
        <v>4924800</v>
      </c>
      <c r="K23" s="7" t="s">
        <v>516</v>
      </c>
    </row>
    <row r="24" spans="1:11">
      <c r="A24" s="27" t="s">
        <v>117</v>
      </c>
      <c r="B24" s="7" t="s">
        <v>113</v>
      </c>
      <c r="C24" s="7" t="s">
        <v>21</v>
      </c>
      <c r="D24" s="7" t="s">
        <v>99</v>
      </c>
      <c r="E24" s="7" t="s">
        <v>72</v>
      </c>
      <c r="F24" s="7" t="s">
        <v>26</v>
      </c>
      <c r="G24" s="7" t="s">
        <v>166</v>
      </c>
      <c r="H24" s="7" t="s">
        <v>14</v>
      </c>
      <c r="I24" s="7">
        <v>25920000</v>
      </c>
      <c r="J24" s="7">
        <f t="shared" si="0"/>
        <v>4924800</v>
      </c>
      <c r="K24" s="7" t="s">
        <v>516</v>
      </c>
    </row>
    <row r="25" spans="1:11">
      <c r="A25" s="27" t="s">
        <v>118</v>
      </c>
      <c r="B25" s="7" t="s">
        <v>113</v>
      </c>
      <c r="C25" s="7" t="s">
        <v>21</v>
      </c>
      <c r="D25" s="7" t="s">
        <v>99</v>
      </c>
      <c r="E25" s="7" t="s">
        <v>72</v>
      </c>
      <c r="F25" s="7" t="s">
        <v>42</v>
      </c>
      <c r="G25" s="7" t="s">
        <v>166</v>
      </c>
      <c r="H25" s="7" t="s">
        <v>14</v>
      </c>
      <c r="I25" s="7">
        <v>25920000</v>
      </c>
      <c r="J25" s="7">
        <f t="shared" si="0"/>
        <v>4924800</v>
      </c>
      <c r="K25" s="7" t="s">
        <v>516</v>
      </c>
    </row>
    <row r="26" spans="1:11">
      <c r="A26" s="27" t="s">
        <v>119</v>
      </c>
      <c r="B26" s="7" t="s">
        <v>120</v>
      </c>
      <c r="C26" s="7" t="s">
        <v>21</v>
      </c>
      <c r="D26" s="7" t="s">
        <v>29</v>
      </c>
      <c r="E26" s="7" t="s">
        <v>70</v>
      </c>
      <c r="F26" s="7" t="s">
        <v>26</v>
      </c>
      <c r="G26" s="7" t="s">
        <v>167</v>
      </c>
      <c r="H26" s="7" t="s">
        <v>14</v>
      </c>
      <c r="I26" s="7">
        <v>1490000</v>
      </c>
      <c r="J26" s="7">
        <f t="shared" si="0"/>
        <v>283100</v>
      </c>
      <c r="K26" s="7" t="s">
        <v>1442</v>
      </c>
    </row>
    <row r="27" spans="1:11">
      <c r="A27" s="27" t="s">
        <v>121</v>
      </c>
      <c r="B27" s="7" t="s">
        <v>120</v>
      </c>
      <c r="C27" s="7" t="s">
        <v>21</v>
      </c>
      <c r="D27" s="7" t="s">
        <v>29</v>
      </c>
      <c r="E27" s="7" t="s">
        <v>70</v>
      </c>
      <c r="F27" s="7" t="s">
        <v>42</v>
      </c>
      <c r="G27" s="7" t="s">
        <v>167</v>
      </c>
      <c r="H27" s="7" t="s">
        <v>14</v>
      </c>
      <c r="I27" s="7">
        <v>1490000</v>
      </c>
      <c r="J27" s="7">
        <f t="shared" si="0"/>
        <v>283100</v>
      </c>
      <c r="K27" s="7" t="s">
        <v>1443</v>
      </c>
    </row>
    <row r="28" spans="1:11">
      <c r="A28" s="27" t="s">
        <v>122</v>
      </c>
      <c r="B28" s="7" t="s">
        <v>120</v>
      </c>
      <c r="C28" s="7" t="s">
        <v>21</v>
      </c>
      <c r="D28" s="7" t="s">
        <v>29</v>
      </c>
      <c r="E28" s="7" t="s">
        <v>74</v>
      </c>
      <c r="F28" s="7" t="s">
        <v>26</v>
      </c>
      <c r="G28" s="7" t="s">
        <v>167</v>
      </c>
      <c r="H28" s="7" t="s">
        <v>14</v>
      </c>
      <c r="I28" s="7">
        <v>1490000</v>
      </c>
      <c r="J28" s="7">
        <f t="shared" si="0"/>
        <v>283100</v>
      </c>
      <c r="K28" s="7" t="s">
        <v>1442</v>
      </c>
    </row>
    <row r="29" spans="1:11">
      <c r="A29" s="27" t="s">
        <v>123</v>
      </c>
      <c r="B29" s="7" t="s">
        <v>120</v>
      </c>
      <c r="C29" s="7" t="s">
        <v>21</v>
      </c>
      <c r="D29" s="7" t="s">
        <v>29</v>
      </c>
      <c r="E29" s="7" t="s">
        <v>74</v>
      </c>
      <c r="F29" s="7" t="s">
        <v>42</v>
      </c>
      <c r="G29" s="7" t="s">
        <v>167</v>
      </c>
      <c r="H29" s="7" t="s">
        <v>14</v>
      </c>
      <c r="I29" s="7">
        <v>1490000</v>
      </c>
      <c r="J29" s="7">
        <f t="shared" si="0"/>
        <v>283100</v>
      </c>
      <c r="K29" s="7" t="s">
        <v>1443</v>
      </c>
    </row>
    <row r="30" spans="1:11">
      <c r="A30" s="27" t="s">
        <v>124</v>
      </c>
      <c r="B30" s="7" t="s">
        <v>120</v>
      </c>
      <c r="C30" s="7" t="s">
        <v>21</v>
      </c>
      <c r="D30" s="7" t="s">
        <v>29</v>
      </c>
      <c r="E30" s="7" t="s">
        <v>72</v>
      </c>
      <c r="F30" s="7" t="s">
        <v>26</v>
      </c>
      <c r="G30" s="7" t="s">
        <v>167</v>
      </c>
      <c r="H30" s="7" t="s">
        <v>14</v>
      </c>
      <c r="I30" s="7">
        <v>1490000</v>
      </c>
      <c r="J30" s="7">
        <f t="shared" si="0"/>
        <v>283100</v>
      </c>
      <c r="K30" s="7" t="s">
        <v>1442</v>
      </c>
    </row>
    <row r="31" spans="1:11">
      <c r="A31" s="27" t="s">
        <v>125</v>
      </c>
      <c r="B31" s="7" t="s">
        <v>120</v>
      </c>
      <c r="C31" s="7" t="s">
        <v>21</v>
      </c>
      <c r="D31" s="7" t="s">
        <v>29</v>
      </c>
      <c r="E31" s="7" t="s">
        <v>72</v>
      </c>
      <c r="F31" s="7" t="s">
        <v>42</v>
      </c>
      <c r="G31" s="7" t="s">
        <v>167</v>
      </c>
      <c r="H31" s="7" t="s">
        <v>14</v>
      </c>
      <c r="I31" s="7">
        <v>1490000</v>
      </c>
      <c r="J31" s="7">
        <f t="shared" si="0"/>
        <v>283100</v>
      </c>
      <c r="K31" s="7" t="s">
        <v>1443</v>
      </c>
    </row>
    <row r="32" spans="1:11">
      <c r="A32" s="27" t="s">
        <v>126</v>
      </c>
      <c r="B32" s="7" t="s">
        <v>127</v>
      </c>
      <c r="C32" s="7" t="s">
        <v>21</v>
      </c>
      <c r="D32" s="7" t="s">
        <v>128</v>
      </c>
      <c r="E32" s="7" t="s">
        <v>70</v>
      </c>
      <c r="F32" s="7" t="s">
        <v>42</v>
      </c>
      <c r="G32" s="7" t="s">
        <v>167</v>
      </c>
      <c r="H32" s="7" t="s">
        <v>14</v>
      </c>
      <c r="I32" s="7">
        <v>21825000</v>
      </c>
      <c r="J32" s="7">
        <f t="shared" si="0"/>
        <v>4146750</v>
      </c>
      <c r="K32" s="7" t="s">
        <v>1443</v>
      </c>
    </row>
    <row r="33" spans="1:11">
      <c r="A33" s="27" t="s">
        <v>129</v>
      </c>
      <c r="B33" s="7" t="s">
        <v>127</v>
      </c>
      <c r="C33" s="7" t="s">
        <v>21</v>
      </c>
      <c r="D33" s="7" t="s">
        <v>128</v>
      </c>
      <c r="E33" s="7" t="s">
        <v>74</v>
      </c>
      <c r="F33" s="7" t="s">
        <v>42</v>
      </c>
      <c r="G33" s="7" t="s">
        <v>167</v>
      </c>
      <c r="H33" s="7" t="s">
        <v>14</v>
      </c>
      <c r="I33" s="7">
        <v>21825000</v>
      </c>
      <c r="J33" s="7">
        <f t="shared" si="0"/>
        <v>4146750</v>
      </c>
      <c r="K33" s="7" t="s">
        <v>1443</v>
      </c>
    </row>
    <row r="34" spans="1:11">
      <c r="A34" s="27" t="s">
        <v>130</v>
      </c>
      <c r="B34" s="7" t="s">
        <v>127</v>
      </c>
      <c r="C34" s="7" t="s">
        <v>21</v>
      </c>
      <c r="D34" s="7" t="s">
        <v>128</v>
      </c>
      <c r="E34" s="7" t="s">
        <v>72</v>
      </c>
      <c r="F34" s="7" t="s">
        <v>42</v>
      </c>
      <c r="G34" s="7" t="s">
        <v>167</v>
      </c>
      <c r="H34" s="7" t="s">
        <v>14</v>
      </c>
      <c r="I34" s="7">
        <v>21825000</v>
      </c>
      <c r="J34" s="7">
        <f t="shared" si="0"/>
        <v>4146750</v>
      </c>
      <c r="K34" s="7" t="s">
        <v>1443</v>
      </c>
    </row>
    <row r="35" spans="1:11">
      <c r="A35" s="27" t="s">
        <v>131</v>
      </c>
      <c r="B35" s="7" t="s">
        <v>132</v>
      </c>
      <c r="C35" s="7" t="s">
        <v>21</v>
      </c>
      <c r="D35" s="7" t="s">
        <v>133</v>
      </c>
      <c r="E35" s="7" t="s">
        <v>70</v>
      </c>
      <c r="F35" s="7" t="s">
        <v>26</v>
      </c>
      <c r="G35" s="7" t="s">
        <v>436</v>
      </c>
      <c r="H35" s="7" t="s">
        <v>14</v>
      </c>
      <c r="I35" s="7">
        <v>121500000</v>
      </c>
      <c r="J35" s="7">
        <f t="shared" si="0"/>
        <v>23085000</v>
      </c>
      <c r="K35" s="7" t="s">
        <v>1444</v>
      </c>
    </row>
    <row r="36" spans="1:11">
      <c r="A36" s="27" t="s">
        <v>134</v>
      </c>
      <c r="B36" s="7" t="s">
        <v>132</v>
      </c>
      <c r="C36" s="7" t="s">
        <v>21</v>
      </c>
      <c r="D36" s="7" t="s">
        <v>133</v>
      </c>
      <c r="E36" s="7" t="s">
        <v>70</v>
      </c>
      <c r="F36" s="7" t="s">
        <v>42</v>
      </c>
      <c r="G36" s="7" t="s">
        <v>436</v>
      </c>
      <c r="H36" s="7" t="s">
        <v>14</v>
      </c>
      <c r="I36" s="7">
        <v>121500000</v>
      </c>
      <c r="J36" s="7">
        <f t="shared" si="0"/>
        <v>23085000</v>
      </c>
      <c r="K36" s="7" t="s">
        <v>1444</v>
      </c>
    </row>
    <row r="37" spans="1:11">
      <c r="A37" s="27" t="s">
        <v>135</v>
      </c>
      <c r="B37" s="7" t="s">
        <v>132</v>
      </c>
      <c r="C37" s="7" t="s">
        <v>21</v>
      </c>
      <c r="D37" s="7" t="s">
        <v>133</v>
      </c>
      <c r="E37" s="7" t="s">
        <v>74</v>
      </c>
      <c r="F37" s="7" t="s">
        <v>26</v>
      </c>
      <c r="G37" s="7" t="s">
        <v>436</v>
      </c>
      <c r="H37" s="7" t="s">
        <v>14</v>
      </c>
      <c r="I37" s="7">
        <v>121500000</v>
      </c>
      <c r="J37" s="7">
        <f t="shared" si="0"/>
        <v>23085000</v>
      </c>
      <c r="K37" s="7" t="s">
        <v>1444</v>
      </c>
    </row>
    <row r="38" spans="1:11">
      <c r="A38" s="27" t="s">
        <v>136</v>
      </c>
      <c r="B38" s="7" t="s">
        <v>132</v>
      </c>
      <c r="C38" s="7" t="s">
        <v>21</v>
      </c>
      <c r="D38" s="7" t="s">
        <v>133</v>
      </c>
      <c r="E38" s="7" t="s">
        <v>74</v>
      </c>
      <c r="F38" s="7" t="s">
        <v>42</v>
      </c>
      <c r="G38" s="7" t="s">
        <v>436</v>
      </c>
      <c r="H38" s="7" t="s">
        <v>14</v>
      </c>
      <c r="I38" s="7">
        <v>121500000</v>
      </c>
      <c r="J38" s="7">
        <f t="shared" si="0"/>
        <v>23085000</v>
      </c>
      <c r="K38" s="7" t="s">
        <v>1444</v>
      </c>
    </row>
    <row r="39" spans="1:11">
      <c r="A39" s="27" t="s">
        <v>137</v>
      </c>
      <c r="B39" s="7" t="s">
        <v>132</v>
      </c>
      <c r="C39" s="7" t="s">
        <v>21</v>
      </c>
      <c r="D39" s="7" t="s">
        <v>133</v>
      </c>
      <c r="E39" s="7" t="s">
        <v>72</v>
      </c>
      <c r="F39" s="7" t="s">
        <v>26</v>
      </c>
      <c r="G39" s="7" t="s">
        <v>436</v>
      </c>
      <c r="H39" s="7" t="s">
        <v>14</v>
      </c>
      <c r="I39" s="7">
        <v>121500000</v>
      </c>
      <c r="J39" s="7">
        <f t="shared" si="0"/>
        <v>23085000</v>
      </c>
      <c r="K39" s="7" t="s">
        <v>1444</v>
      </c>
    </row>
    <row r="40" spans="1:11">
      <c r="A40" s="27" t="s">
        <v>138</v>
      </c>
      <c r="B40" s="7" t="s">
        <v>132</v>
      </c>
      <c r="C40" s="7" t="s">
        <v>21</v>
      </c>
      <c r="D40" s="7" t="s">
        <v>133</v>
      </c>
      <c r="E40" s="7" t="s">
        <v>72</v>
      </c>
      <c r="F40" s="7" t="s">
        <v>42</v>
      </c>
      <c r="G40" s="7" t="s">
        <v>436</v>
      </c>
      <c r="H40" s="7" t="s">
        <v>14</v>
      </c>
      <c r="I40" s="7">
        <v>121500000</v>
      </c>
      <c r="J40" s="7">
        <f t="shared" si="0"/>
        <v>23085000</v>
      </c>
      <c r="K40" s="7" t="s">
        <v>1444</v>
      </c>
    </row>
    <row r="41" spans="1:11">
      <c r="A41" s="27" t="s">
        <v>139</v>
      </c>
      <c r="B41" s="7" t="s">
        <v>140</v>
      </c>
      <c r="C41" s="7" t="s">
        <v>21</v>
      </c>
      <c r="D41" s="7" t="s">
        <v>141</v>
      </c>
      <c r="E41" s="7" t="s">
        <v>70</v>
      </c>
      <c r="F41" s="7" t="s">
        <v>26</v>
      </c>
      <c r="G41" s="7" t="s">
        <v>167</v>
      </c>
      <c r="H41" s="7" t="s">
        <v>14</v>
      </c>
      <c r="I41" s="7">
        <v>48500000.000000007</v>
      </c>
      <c r="J41" s="7">
        <f t="shared" si="0"/>
        <v>9215000.0000000019</v>
      </c>
      <c r="K41" s="7" t="s">
        <v>1442</v>
      </c>
    </row>
    <row r="42" spans="1:11">
      <c r="A42" s="27" t="s">
        <v>142</v>
      </c>
      <c r="B42" s="7" t="s">
        <v>140</v>
      </c>
      <c r="C42" s="7" t="s">
        <v>21</v>
      </c>
      <c r="D42" s="7" t="s">
        <v>141</v>
      </c>
      <c r="E42" s="7" t="s">
        <v>70</v>
      </c>
      <c r="F42" s="7" t="s">
        <v>42</v>
      </c>
      <c r="G42" s="7" t="s">
        <v>167</v>
      </c>
      <c r="H42" s="7" t="s">
        <v>14</v>
      </c>
      <c r="I42" s="7">
        <v>48500000.000000007</v>
      </c>
      <c r="J42" s="7">
        <f t="shared" si="0"/>
        <v>9215000.0000000019</v>
      </c>
      <c r="K42" s="7" t="s">
        <v>1443</v>
      </c>
    </row>
    <row r="43" spans="1:11">
      <c r="A43" s="27" t="s">
        <v>143</v>
      </c>
      <c r="B43" s="7" t="s">
        <v>140</v>
      </c>
      <c r="C43" s="7" t="s">
        <v>21</v>
      </c>
      <c r="D43" s="7" t="s">
        <v>141</v>
      </c>
      <c r="E43" s="7" t="s">
        <v>74</v>
      </c>
      <c r="F43" s="7" t="s">
        <v>26</v>
      </c>
      <c r="G43" s="7" t="s">
        <v>167</v>
      </c>
      <c r="H43" s="7" t="s">
        <v>14</v>
      </c>
      <c r="I43" s="7">
        <v>48500000.000000007</v>
      </c>
      <c r="J43" s="7">
        <f t="shared" si="0"/>
        <v>9215000.0000000019</v>
      </c>
      <c r="K43" s="7" t="s">
        <v>1442</v>
      </c>
    </row>
    <row r="44" spans="1:11">
      <c r="A44" s="27" t="s">
        <v>144</v>
      </c>
      <c r="B44" s="7" t="s">
        <v>140</v>
      </c>
      <c r="C44" s="7" t="s">
        <v>21</v>
      </c>
      <c r="D44" s="7" t="s">
        <v>141</v>
      </c>
      <c r="E44" s="7" t="s">
        <v>74</v>
      </c>
      <c r="F44" s="7" t="s">
        <v>42</v>
      </c>
      <c r="G44" s="7" t="s">
        <v>167</v>
      </c>
      <c r="H44" s="7" t="s">
        <v>14</v>
      </c>
      <c r="I44" s="7">
        <v>48500000.000000007</v>
      </c>
      <c r="J44" s="7">
        <f t="shared" si="0"/>
        <v>9215000.0000000019</v>
      </c>
      <c r="K44" s="7" t="s">
        <v>1443</v>
      </c>
    </row>
    <row r="45" spans="1:11">
      <c r="A45" s="27" t="s">
        <v>145</v>
      </c>
      <c r="B45" s="7" t="s">
        <v>140</v>
      </c>
      <c r="C45" s="7" t="s">
        <v>21</v>
      </c>
      <c r="D45" s="7" t="s">
        <v>141</v>
      </c>
      <c r="E45" s="7" t="s">
        <v>72</v>
      </c>
      <c r="F45" s="7" t="s">
        <v>26</v>
      </c>
      <c r="G45" s="7" t="s">
        <v>167</v>
      </c>
      <c r="H45" s="7" t="s">
        <v>14</v>
      </c>
      <c r="I45" s="7">
        <v>48500000.000000007</v>
      </c>
      <c r="J45" s="7">
        <f t="shared" si="0"/>
        <v>9215000.0000000019</v>
      </c>
      <c r="K45" s="7" t="s">
        <v>1442</v>
      </c>
    </row>
    <row r="46" spans="1:11">
      <c r="A46" s="27" t="s">
        <v>146</v>
      </c>
      <c r="B46" s="7" t="s">
        <v>140</v>
      </c>
      <c r="C46" s="7" t="s">
        <v>21</v>
      </c>
      <c r="D46" s="7" t="s">
        <v>141</v>
      </c>
      <c r="E46" s="7" t="s">
        <v>72</v>
      </c>
      <c r="F46" s="7" t="s">
        <v>42</v>
      </c>
      <c r="G46" s="7" t="s">
        <v>167</v>
      </c>
      <c r="H46" s="7" t="s">
        <v>14</v>
      </c>
      <c r="I46" s="7">
        <v>48500000.000000007</v>
      </c>
      <c r="J46" s="7">
        <f t="shared" si="0"/>
        <v>9215000.0000000019</v>
      </c>
      <c r="K46" s="7" t="s">
        <v>1443</v>
      </c>
    </row>
    <row r="47" spans="1:11">
      <c r="A47" s="27" t="s">
        <v>147</v>
      </c>
      <c r="B47" s="7" t="s">
        <v>148</v>
      </c>
      <c r="C47" s="7" t="s">
        <v>21</v>
      </c>
      <c r="D47" s="7" t="s">
        <v>128</v>
      </c>
      <c r="E47" s="7" t="s">
        <v>70</v>
      </c>
      <c r="F47" s="7" t="s">
        <v>42</v>
      </c>
      <c r="G47" s="7" t="s">
        <v>436</v>
      </c>
      <c r="H47" s="7" t="s">
        <v>14</v>
      </c>
      <c r="I47" s="7">
        <v>11250000</v>
      </c>
      <c r="J47" s="7">
        <f t="shared" si="0"/>
        <v>2137500</v>
      </c>
      <c r="K47" s="7" t="s">
        <v>1443</v>
      </c>
    </row>
    <row r="48" spans="1:11">
      <c r="A48" s="27" t="s">
        <v>149</v>
      </c>
      <c r="B48" s="7" t="s">
        <v>148</v>
      </c>
      <c r="C48" s="7" t="s">
        <v>21</v>
      </c>
      <c r="D48" s="7" t="s">
        <v>128</v>
      </c>
      <c r="E48" s="7" t="s">
        <v>74</v>
      </c>
      <c r="F48" s="7" t="s">
        <v>42</v>
      </c>
      <c r="G48" s="7" t="s">
        <v>436</v>
      </c>
      <c r="H48" s="7" t="s">
        <v>14</v>
      </c>
      <c r="I48" s="7">
        <v>11250000</v>
      </c>
      <c r="J48" s="7">
        <f t="shared" si="0"/>
        <v>2137500</v>
      </c>
      <c r="K48" s="7" t="s">
        <v>1443</v>
      </c>
    </row>
    <row r="49" spans="1:11">
      <c r="A49" s="27" t="s">
        <v>150</v>
      </c>
      <c r="B49" s="7" t="s">
        <v>148</v>
      </c>
      <c r="C49" s="7" t="s">
        <v>21</v>
      </c>
      <c r="D49" s="7" t="s">
        <v>128</v>
      </c>
      <c r="E49" s="7" t="s">
        <v>72</v>
      </c>
      <c r="F49" s="7" t="s">
        <v>42</v>
      </c>
      <c r="G49" s="7" t="s">
        <v>436</v>
      </c>
      <c r="H49" s="7" t="s">
        <v>14</v>
      </c>
      <c r="I49" s="7">
        <v>11250000</v>
      </c>
      <c r="J49" s="7">
        <f t="shared" si="0"/>
        <v>2137500</v>
      </c>
      <c r="K49" s="7" t="s">
        <v>1443</v>
      </c>
    </row>
    <row r="50" spans="1:11">
      <c r="A50" s="27" t="s">
        <v>151</v>
      </c>
      <c r="B50" s="7" t="s">
        <v>152</v>
      </c>
      <c r="C50" s="7" t="s">
        <v>21</v>
      </c>
      <c r="D50" s="7" t="s">
        <v>29</v>
      </c>
      <c r="E50" s="7" t="s">
        <v>74</v>
      </c>
      <c r="F50" s="7" t="s">
        <v>26</v>
      </c>
      <c r="G50" s="7" t="s">
        <v>436</v>
      </c>
      <c r="H50" s="7" t="s">
        <v>14</v>
      </c>
      <c r="I50" s="7">
        <v>470000</v>
      </c>
      <c r="J50" s="7">
        <f t="shared" si="0"/>
        <v>89300</v>
      </c>
      <c r="K50" s="7" t="s">
        <v>1442</v>
      </c>
    </row>
    <row r="51" spans="1:11">
      <c r="A51" s="27" t="s">
        <v>153</v>
      </c>
      <c r="B51" s="7" t="s">
        <v>152</v>
      </c>
      <c r="C51" s="7" t="s">
        <v>21</v>
      </c>
      <c r="D51" s="7" t="s">
        <v>29</v>
      </c>
      <c r="E51" s="7" t="s">
        <v>74</v>
      </c>
      <c r="F51" s="7" t="s">
        <v>42</v>
      </c>
      <c r="G51" s="7" t="s">
        <v>436</v>
      </c>
      <c r="H51" s="7" t="s">
        <v>14</v>
      </c>
      <c r="I51" s="7">
        <v>470000</v>
      </c>
      <c r="J51" s="7">
        <f t="shared" si="0"/>
        <v>89300</v>
      </c>
      <c r="K51" s="7" t="s">
        <v>1442</v>
      </c>
    </row>
    <row r="52" spans="1:11">
      <c r="A52" s="27" t="s">
        <v>154</v>
      </c>
      <c r="B52" s="7" t="s">
        <v>152</v>
      </c>
      <c r="C52" s="7" t="s">
        <v>21</v>
      </c>
      <c r="D52" s="7" t="s">
        <v>29</v>
      </c>
      <c r="E52" s="7" t="s">
        <v>70</v>
      </c>
      <c r="F52" s="7" t="s">
        <v>26</v>
      </c>
      <c r="G52" s="7" t="s">
        <v>436</v>
      </c>
      <c r="H52" s="7" t="s">
        <v>14</v>
      </c>
      <c r="I52" s="7">
        <v>470000</v>
      </c>
      <c r="J52" s="7">
        <f t="shared" si="0"/>
        <v>89300</v>
      </c>
      <c r="K52" s="7" t="s">
        <v>1442</v>
      </c>
    </row>
    <row r="53" spans="1:11">
      <c r="A53" s="27" t="s">
        <v>155</v>
      </c>
      <c r="B53" s="7" t="s">
        <v>152</v>
      </c>
      <c r="C53" s="7" t="s">
        <v>21</v>
      </c>
      <c r="D53" s="7" t="s">
        <v>29</v>
      </c>
      <c r="E53" s="7" t="s">
        <v>72</v>
      </c>
      <c r="F53" s="7" t="s">
        <v>26</v>
      </c>
      <c r="G53" s="7" t="s">
        <v>436</v>
      </c>
      <c r="H53" s="7" t="s">
        <v>14</v>
      </c>
      <c r="I53" s="7">
        <v>470000</v>
      </c>
      <c r="J53" s="7">
        <f t="shared" si="0"/>
        <v>89300</v>
      </c>
      <c r="K53" s="7" t="s">
        <v>1442</v>
      </c>
    </row>
    <row r="54" spans="1:11">
      <c r="A54" s="27" t="s">
        <v>156</v>
      </c>
      <c r="B54" s="7" t="s">
        <v>152</v>
      </c>
      <c r="C54" s="7" t="s">
        <v>21</v>
      </c>
      <c r="D54" s="7" t="s">
        <v>29</v>
      </c>
      <c r="E54" s="7" t="s">
        <v>72</v>
      </c>
      <c r="F54" s="7" t="s">
        <v>42</v>
      </c>
      <c r="G54" s="7" t="s">
        <v>436</v>
      </c>
      <c r="H54" s="7" t="s">
        <v>14</v>
      </c>
      <c r="I54" s="7">
        <v>470000</v>
      </c>
      <c r="J54" s="7">
        <f t="shared" si="0"/>
        <v>89300</v>
      </c>
      <c r="K54" s="7" t="s">
        <v>1442</v>
      </c>
    </row>
    <row r="55" spans="1:11">
      <c r="A55" s="27" t="s">
        <v>157</v>
      </c>
      <c r="B55" s="7" t="s">
        <v>152</v>
      </c>
      <c r="C55" s="7" t="s">
        <v>21</v>
      </c>
      <c r="D55" s="7" t="s">
        <v>29</v>
      </c>
      <c r="E55" s="7" t="s">
        <v>70</v>
      </c>
      <c r="F55" s="7" t="s">
        <v>42</v>
      </c>
      <c r="G55" s="7" t="s">
        <v>436</v>
      </c>
      <c r="H55" s="7" t="s">
        <v>14</v>
      </c>
      <c r="I55" s="7">
        <v>470000</v>
      </c>
      <c r="J55" s="7">
        <f t="shared" si="0"/>
        <v>89300</v>
      </c>
      <c r="K55" s="7" t="s">
        <v>1442</v>
      </c>
    </row>
    <row r="56" spans="1:11">
      <c r="A56" s="27" t="s">
        <v>158</v>
      </c>
      <c r="B56" s="7" t="s">
        <v>159</v>
      </c>
      <c r="C56" s="7" t="s">
        <v>21</v>
      </c>
      <c r="D56" s="7" t="s">
        <v>29</v>
      </c>
      <c r="E56" s="7" t="s">
        <v>70</v>
      </c>
      <c r="F56" s="7" t="s">
        <v>42</v>
      </c>
      <c r="G56" s="7" t="s">
        <v>436</v>
      </c>
      <c r="H56" s="7" t="s">
        <v>14</v>
      </c>
      <c r="I56" s="7">
        <v>750000.00000000012</v>
      </c>
      <c r="J56" s="7">
        <f t="shared" si="0"/>
        <v>142500.00000000003</v>
      </c>
      <c r="K56" s="7" t="s">
        <v>1442</v>
      </c>
    </row>
    <row r="57" spans="1:11">
      <c r="A57" s="27" t="s">
        <v>160</v>
      </c>
      <c r="B57" s="7" t="s">
        <v>159</v>
      </c>
      <c r="C57" s="7" t="s">
        <v>21</v>
      </c>
      <c r="D57" s="7" t="s">
        <v>29</v>
      </c>
      <c r="E57" s="7" t="s">
        <v>74</v>
      </c>
      <c r="F57" s="7" t="s">
        <v>26</v>
      </c>
      <c r="G57" s="7" t="s">
        <v>436</v>
      </c>
      <c r="H57" s="7" t="s">
        <v>14</v>
      </c>
      <c r="I57" s="7">
        <v>750000.00000000012</v>
      </c>
      <c r="J57" s="7">
        <f t="shared" si="0"/>
        <v>142500.00000000003</v>
      </c>
      <c r="K57" s="7" t="s">
        <v>1442</v>
      </c>
    </row>
    <row r="58" spans="1:11">
      <c r="A58" s="27" t="s">
        <v>161</v>
      </c>
      <c r="B58" s="7" t="s">
        <v>159</v>
      </c>
      <c r="C58" s="7" t="s">
        <v>21</v>
      </c>
      <c r="D58" s="7" t="s">
        <v>29</v>
      </c>
      <c r="E58" s="7" t="s">
        <v>74</v>
      </c>
      <c r="F58" s="7" t="s">
        <v>42</v>
      </c>
      <c r="G58" s="7" t="s">
        <v>436</v>
      </c>
      <c r="H58" s="7" t="s">
        <v>14</v>
      </c>
      <c r="I58" s="7">
        <v>750000.00000000012</v>
      </c>
      <c r="J58" s="7">
        <f t="shared" si="0"/>
        <v>142500.00000000003</v>
      </c>
      <c r="K58" s="7" t="s">
        <v>1442</v>
      </c>
    </row>
    <row r="59" spans="1:11">
      <c r="A59" s="27" t="s">
        <v>162</v>
      </c>
      <c r="B59" s="7" t="s">
        <v>159</v>
      </c>
      <c r="C59" s="7" t="s">
        <v>21</v>
      </c>
      <c r="D59" s="7" t="s">
        <v>29</v>
      </c>
      <c r="E59" s="7" t="s">
        <v>72</v>
      </c>
      <c r="F59" s="7" t="s">
        <v>26</v>
      </c>
      <c r="G59" s="7" t="s">
        <v>436</v>
      </c>
      <c r="H59" s="7" t="s">
        <v>14</v>
      </c>
      <c r="I59" s="7">
        <v>750000.00000000012</v>
      </c>
      <c r="J59" s="7">
        <f t="shared" si="0"/>
        <v>142500.00000000003</v>
      </c>
      <c r="K59" s="7" t="s">
        <v>1442</v>
      </c>
    </row>
    <row r="60" spans="1:11">
      <c r="A60" s="27" t="s">
        <v>163</v>
      </c>
      <c r="B60" s="7" t="s">
        <v>159</v>
      </c>
      <c r="C60" s="7" t="s">
        <v>21</v>
      </c>
      <c r="D60" s="7" t="s">
        <v>29</v>
      </c>
      <c r="E60" s="7" t="s">
        <v>72</v>
      </c>
      <c r="F60" s="7" t="s">
        <v>42</v>
      </c>
      <c r="G60" s="7" t="s">
        <v>436</v>
      </c>
      <c r="H60" s="7" t="s">
        <v>14</v>
      </c>
      <c r="I60" s="7">
        <v>750000.00000000012</v>
      </c>
      <c r="J60" s="7">
        <f t="shared" si="0"/>
        <v>142500.00000000003</v>
      </c>
      <c r="K60" s="7" t="s">
        <v>1442</v>
      </c>
    </row>
    <row r="61" spans="1:11">
      <c r="A61" s="27" t="s">
        <v>164</v>
      </c>
      <c r="B61" s="7" t="s">
        <v>159</v>
      </c>
      <c r="C61" s="7" t="s">
        <v>21</v>
      </c>
      <c r="D61" s="7" t="s">
        <v>29</v>
      </c>
      <c r="E61" s="7" t="s">
        <v>70</v>
      </c>
      <c r="F61" s="7" t="s">
        <v>26</v>
      </c>
      <c r="G61" s="7" t="s">
        <v>436</v>
      </c>
      <c r="H61" s="7" t="s">
        <v>14</v>
      </c>
      <c r="I61" s="7">
        <v>750000.00000000012</v>
      </c>
      <c r="J61" s="7">
        <f t="shared" si="0"/>
        <v>142500.00000000003</v>
      </c>
      <c r="K61" s="7" t="s">
        <v>1442</v>
      </c>
    </row>
  </sheetData>
  <pageMargins left="0.25" right="0.25" top="0.75" bottom="0.75" header="0.3" footer="0.3"/>
  <pageSetup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3"/>
  <sheetViews>
    <sheetView zoomScale="90" zoomScaleNormal="90" workbookViewId="0">
      <selection activeCell="G7" sqref="G7"/>
    </sheetView>
  </sheetViews>
  <sheetFormatPr baseColWidth="10" defaultColWidth="11.453125" defaultRowHeight="14.5"/>
  <cols>
    <col min="1" max="1" width="16.6328125" style="8" bestFit="1" customWidth="1"/>
    <col min="2" max="2" width="57.54296875" style="8" customWidth="1"/>
    <col min="3" max="3" width="45" style="8" customWidth="1"/>
    <col min="4" max="4" width="8.6328125" style="8" customWidth="1"/>
    <col min="5" max="5" width="9" style="8" customWidth="1"/>
    <col min="6" max="6" width="10.6328125" style="8" bestFit="1" customWidth="1"/>
    <col min="7" max="8" width="9" style="8" customWidth="1"/>
    <col min="9" max="10" width="13.36328125" style="8" bestFit="1" customWidth="1"/>
    <col min="11" max="11" width="44.36328125" style="10" bestFit="1" customWidth="1"/>
    <col min="12" max="12" width="37" style="8" customWidth="1"/>
    <col min="13" max="13" width="11.453125" style="8"/>
    <col min="14" max="14" width="13.6328125" style="8" bestFit="1" customWidth="1"/>
    <col min="15" max="16384" width="11.453125" style="8"/>
  </cols>
  <sheetData>
    <row r="1" spans="1:11" ht="15">
      <c r="A1" s="16" t="s">
        <v>1430</v>
      </c>
      <c r="B1" s="16" t="s">
        <v>1431</v>
      </c>
      <c r="C1" s="16" t="s">
        <v>6</v>
      </c>
      <c r="D1" s="16" t="s">
        <v>133</v>
      </c>
      <c r="E1" s="16" t="s">
        <v>7</v>
      </c>
      <c r="F1" s="16" t="s">
        <v>8</v>
      </c>
      <c r="G1" s="16" t="s">
        <v>9</v>
      </c>
      <c r="H1" s="16" t="s">
        <v>3</v>
      </c>
      <c r="I1" s="16" t="s">
        <v>1432</v>
      </c>
      <c r="J1" s="16" t="s">
        <v>1433</v>
      </c>
      <c r="K1" s="16" t="s">
        <v>1434</v>
      </c>
    </row>
    <row r="2" spans="1:11">
      <c r="A2" s="27" t="s">
        <v>89</v>
      </c>
      <c r="B2" s="27" t="s">
        <v>90</v>
      </c>
      <c r="C2" s="27" t="s">
        <v>21</v>
      </c>
      <c r="D2" s="27" t="s">
        <v>91</v>
      </c>
      <c r="E2" s="28" t="s">
        <v>17</v>
      </c>
      <c r="F2" s="28" t="s">
        <v>26</v>
      </c>
      <c r="G2" s="28" t="s">
        <v>15</v>
      </c>
      <c r="H2" s="28" t="s">
        <v>14</v>
      </c>
      <c r="I2" s="29">
        <v>2400000</v>
      </c>
      <c r="J2" s="28" t="s">
        <v>216</v>
      </c>
      <c r="K2" s="27" t="s">
        <v>174</v>
      </c>
    </row>
    <row r="3" spans="1:11">
      <c r="A3" s="27" t="s">
        <v>92</v>
      </c>
      <c r="B3" s="27" t="s">
        <v>90</v>
      </c>
      <c r="C3" s="27" t="s">
        <v>21</v>
      </c>
      <c r="D3" s="27" t="s">
        <v>91</v>
      </c>
      <c r="E3" s="28" t="s">
        <v>70</v>
      </c>
      <c r="F3" s="28" t="s">
        <v>42</v>
      </c>
      <c r="G3" s="28" t="s">
        <v>15</v>
      </c>
      <c r="H3" s="28" t="s">
        <v>14</v>
      </c>
      <c r="I3" s="29">
        <v>4000000</v>
      </c>
      <c r="J3" s="28" t="s">
        <v>216</v>
      </c>
      <c r="K3" s="27" t="s">
        <v>174</v>
      </c>
    </row>
    <row r="4" spans="1:11">
      <c r="A4" s="27" t="s">
        <v>93</v>
      </c>
      <c r="B4" s="27" t="s">
        <v>90</v>
      </c>
      <c r="C4" s="27" t="s">
        <v>21</v>
      </c>
      <c r="D4" s="27" t="s">
        <v>91</v>
      </c>
      <c r="E4" s="28" t="s">
        <v>17</v>
      </c>
      <c r="F4" s="28" t="s">
        <v>26</v>
      </c>
      <c r="G4" s="28" t="s">
        <v>15</v>
      </c>
      <c r="H4" s="28" t="s">
        <v>14</v>
      </c>
      <c r="I4" s="29">
        <v>2400000</v>
      </c>
      <c r="J4" s="28" t="s">
        <v>216</v>
      </c>
      <c r="K4" s="27" t="s">
        <v>174</v>
      </c>
    </row>
    <row r="5" spans="1:11">
      <c r="A5" s="27" t="s">
        <v>94</v>
      </c>
      <c r="B5" s="27" t="s">
        <v>90</v>
      </c>
      <c r="C5" s="27" t="s">
        <v>21</v>
      </c>
      <c r="D5" s="27" t="s">
        <v>91</v>
      </c>
      <c r="E5" s="28" t="s">
        <v>74</v>
      </c>
      <c r="F5" s="28" t="s">
        <v>42</v>
      </c>
      <c r="G5" s="28" t="s">
        <v>15</v>
      </c>
      <c r="H5" s="28" t="s">
        <v>14</v>
      </c>
      <c r="I5" s="29">
        <v>5000000</v>
      </c>
      <c r="J5" s="28" t="s">
        <v>216</v>
      </c>
      <c r="K5" s="27" t="s">
        <v>174</v>
      </c>
    </row>
    <row r="6" spans="1:11">
      <c r="A6" s="27" t="s">
        <v>95</v>
      </c>
      <c r="B6" s="27" t="s">
        <v>90</v>
      </c>
      <c r="C6" s="27" t="s">
        <v>21</v>
      </c>
      <c r="D6" s="27" t="s">
        <v>91</v>
      </c>
      <c r="E6" s="28" t="s">
        <v>17</v>
      </c>
      <c r="F6" s="28" t="s">
        <v>26</v>
      </c>
      <c r="G6" s="28" t="s">
        <v>15</v>
      </c>
      <c r="H6" s="28" t="s">
        <v>14</v>
      </c>
      <c r="I6" s="29">
        <v>2400000</v>
      </c>
      <c r="J6" s="28" t="s">
        <v>216</v>
      </c>
      <c r="K6" s="27" t="s">
        <v>174</v>
      </c>
    </row>
    <row r="7" spans="1:11">
      <c r="A7" s="27" t="s">
        <v>96</v>
      </c>
      <c r="B7" s="27" t="s">
        <v>90</v>
      </c>
      <c r="C7" s="27" t="s">
        <v>21</v>
      </c>
      <c r="D7" s="27" t="s">
        <v>91</v>
      </c>
      <c r="E7" s="28" t="s">
        <v>72</v>
      </c>
      <c r="F7" s="28" t="s">
        <v>42</v>
      </c>
      <c r="G7" s="28" t="s">
        <v>15</v>
      </c>
      <c r="H7" s="28" t="s">
        <v>14</v>
      </c>
      <c r="I7" s="29">
        <v>6000000</v>
      </c>
      <c r="J7" s="28" t="s">
        <v>216</v>
      </c>
      <c r="K7" s="27" t="s">
        <v>174</v>
      </c>
    </row>
    <row r="8" spans="1:11">
      <c r="A8" s="27" t="s">
        <v>97</v>
      </c>
      <c r="B8" s="27" t="s">
        <v>98</v>
      </c>
      <c r="C8" s="27" t="s">
        <v>21</v>
      </c>
      <c r="D8" s="27" t="s">
        <v>99</v>
      </c>
      <c r="E8" s="28" t="s">
        <v>70</v>
      </c>
      <c r="F8" s="28" t="s">
        <v>26</v>
      </c>
      <c r="G8" s="28" t="s">
        <v>15</v>
      </c>
      <c r="H8" s="28" t="s">
        <v>14</v>
      </c>
      <c r="I8" s="29">
        <v>3000000</v>
      </c>
      <c r="J8" s="28" t="s">
        <v>216</v>
      </c>
      <c r="K8" s="27" t="s">
        <v>174</v>
      </c>
    </row>
    <row r="9" spans="1:11">
      <c r="A9" s="27" t="s">
        <v>100</v>
      </c>
      <c r="B9" s="27" t="s">
        <v>98</v>
      </c>
      <c r="C9" s="27" t="s">
        <v>21</v>
      </c>
      <c r="D9" s="27" t="s">
        <v>99</v>
      </c>
      <c r="E9" s="28" t="s">
        <v>70</v>
      </c>
      <c r="F9" s="28" t="s">
        <v>42</v>
      </c>
      <c r="G9" s="28" t="s">
        <v>15</v>
      </c>
      <c r="H9" s="28" t="s">
        <v>14</v>
      </c>
      <c r="I9" s="29">
        <v>5000000</v>
      </c>
      <c r="J9" s="28" t="s">
        <v>216</v>
      </c>
      <c r="K9" s="27" t="s">
        <v>174</v>
      </c>
    </row>
    <row r="10" spans="1:11">
      <c r="A10" s="27" t="s">
        <v>101</v>
      </c>
      <c r="B10" s="27" t="s">
        <v>98</v>
      </c>
      <c r="C10" s="27" t="s">
        <v>21</v>
      </c>
      <c r="D10" s="27" t="s">
        <v>99</v>
      </c>
      <c r="E10" s="28" t="s">
        <v>74</v>
      </c>
      <c r="F10" s="28" t="s">
        <v>26</v>
      </c>
      <c r="G10" s="28" t="s">
        <v>15</v>
      </c>
      <c r="H10" s="28" t="s">
        <v>14</v>
      </c>
      <c r="I10" s="29">
        <v>3000000</v>
      </c>
      <c r="J10" s="28" t="s">
        <v>216</v>
      </c>
      <c r="K10" s="27" t="s">
        <v>174</v>
      </c>
    </row>
    <row r="11" spans="1:11">
      <c r="A11" s="27" t="s">
        <v>102</v>
      </c>
      <c r="B11" s="27" t="s">
        <v>98</v>
      </c>
      <c r="C11" s="27" t="s">
        <v>21</v>
      </c>
      <c r="D11" s="27" t="s">
        <v>99</v>
      </c>
      <c r="E11" s="28" t="s">
        <v>74</v>
      </c>
      <c r="F11" s="28" t="s">
        <v>42</v>
      </c>
      <c r="G11" s="28" t="s">
        <v>15</v>
      </c>
      <c r="H11" s="28" t="s">
        <v>14</v>
      </c>
      <c r="I11" s="29">
        <v>6000000</v>
      </c>
      <c r="J11" s="28" t="s">
        <v>216</v>
      </c>
      <c r="K11" s="27" t="s">
        <v>174</v>
      </c>
    </row>
    <row r="12" spans="1:11">
      <c r="A12" s="27" t="s">
        <v>103</v>
      </c>
      <c r="B12" s="27" t="s">
        <v>98</v>
      </c>
      <c r="C12" s="27" t="s">
        <v>21</v>
      </c>
      <c r="D12" s="27" t="s">
        <v>99</v>
      </c>
      <c r="E12" s="28" t="s">
        <v>72</v>
      </c>
      <c r="F12" s="28" t="s">
        <v>26</v>
      </c>
      <c r="G12" s="28" t="s">
        <v>15</v>
      </c>
      <c r="H12" s="28" t="s">
        <v>14</v>
      </c>
      <c r="I12" s="29">
        <v>3000000</v>
      </c>
      <c r="J12" s="28" t="s">
        <v>216</v>
      </c>
      <c r="K12" s="27" t="s">
        <v>174</v>
      </c>
    </row>
    <row r="13" spans="1:11">
      <c r="A13" s="27" t="s">
        <v>104</v>
      </c>
      <c r="B13" s="27" t="s">
        <v>98</v>
      </c>
      <c r="C13" s="27" t="s">
        <v>21</v>
      </c>
      <c r="D13" s="27" t="s">
        <v>99</v>
      </c>
      <c r="E13" s="28" t="s">
        <v>72</v>
      </c>
      <c r="F13" s="28" t="s">
        <v>42</v>
      </c>
      <c r="G13" s="28" t="s">
        <v>15</v>
      </c>
      <c r="H13" s="28" t="s">
        <v>14</v>
      </c>
      <c r="I13" s="29">
        <v>7000000</v>
      </c>
      <c r="J13" s="28" t="s">
        <v>216</v>
      </c>
      <c r="K13" s="27" t="s">
        <v>174</v>
      </c>
    </row>
    <row r="14" spans="1:11">
      <c r="A14" s="27" t="s">
        <v>105</v>
      </c>
      <c r="B14" s="27" t="s">
        <v>106</v>
      </c>
      <c r="C14" s="27" t="s">
        <v>21</v>
      </c>
      <c r="D14" s="27" t="s">
        <v>91</v>
      </c>
      <c r="E14" s="28" t="s">
        <v>70</v>
      </c>
      <c r="F14" s="28" t="s">
        <v>26</v>
      </c>
      <c r="G14" s="28" t="s">
        <v>15</v>
      </c>
      <c r="H14" s="28" t="s">
        <v>14</v>
      </c>
      <c r="I14" s="29">
        <v>2400000</v>
      </c>
      <c r="J14" s="28" t="s">
        <v>216</v>
      </c>
      <c r="K14" s="27" t="s">
        <v>174</v>
      </c>
    </row>
    <row r="15" spans="1:11">
      <c r="A15" s="27" t="s">
        <v>107</v>
      </c>
      <c r="B15" s="27" t="s">
        <v>106</v>
      </c>
      <c r="C15" s="27" t="s">
        <v>21</v>
      </c>
      <c r="D15" s="27" t="s">
        <v>91</v>
      </c>
      <c r="E15" s="28" t="s">
        <v>70</v>
      </c>
      <c r="F15" s="28" t="s">
        <v>42</v>
      </c>
      <c r="G15" s="28" t="s">
        <v>15</v>
      </c>
      <c r="H15" s="28" t="s">
        <v>14</v>
      </c>
      <c r="I15" s="29">
        <v>5000000</v>
      </c>
      <c r="J15" s="28" t="s">
        <v>216</v>
      </c>
      <c r="K15" s="27" t="s">
        <v>174</v>
      </c>
    </row>
    <row r="16" spans="1:11">
      <c r="A16" s="27" t="s">
        <v>108</v>
      </c>
      <c r="B16" s="27" t="s">
        <v>106</v>
      </c>
      <c r="C16" s="27" t="s">
        <v>21</v>
      </c>
      <c r="D16" s="27" t="s">
        <v>91</v>
      </c>
      <c r="E16" s="28" t="s">
        <v>74</v>
      </c>
      <c r="F16" s="28" t="s">
        <v>26</v>
      </c>
      <c r="G16" s="28" t="s">
        <v>15</v>
      </c>
      <c r="H16" s="28" t="s">
        <v>14</v>
      </c>
      <c r="I16" s="29">
        <v>2400000</v>
      </c>
      <c r="J16" s="28" t="s">
        <v>216</v>
      </c>
      <c r="K16" s="27" t="s">
        <v>174</v>
      </c>
    </row>
    <row r="17" spans="1:11">
      <c r="A17" s="27" t="s">
        <v>109</v>
      </c>
      <c r="B17" s="27" t="s">
        <v>106</v>
      </c>
      <c r="C17" s="27" t="s">
        <v>21</v>
      </c>
      <c r="D17" s="27" t="s">
        <v>91</v>
      </c>
      <c r="E17" s="28" t="s">
        <v>74</v>
      </c>
      <c r="F17" s="28" t="s">
        <v>42</v>
      </c>
      <c r="G17" s="28" t="s">
        <v>15</v>
      </c>
      <c r="H17" s="28" t="s">
        <v>14</v>
      </c>
      <c r="I17" s="29">
        <v>6000000</v>
      </c>
      <c r="J17" s="28" t="s">
        <v>216</v>
      </c>
      <c r="K17" s="27" t="s">
        <v>174</v>
      </c>
    </row>
    <row r="18" spans="1:11">
      <c r="A18" s="27" t="s">
        <v>110</v>
      </c>
      <c r="B18" s="27" t="s">
        <v>106</v>
      </c>
      <c r="C18" s="27" t="s">
        <v>21</v>
      </c>
      <c r="D18" s="27" t="s">
        <v>91</v>
      </c>
      <c r="E18" s="28" t="s">
        <v>72</v>
      </c>
      <c r="F18" s="28" t="s">
        <v>26</v>
      </c>
      <c r="G18" s="28" t="s">
        <v>15</v>
      </c>
      <c r="H18" s="28" t="s">
        <v>14</v>
      </c>
      <c r="I18" s="29">
        <v>2400000</v>
      </c>
      <c r="J18" s="28" t="s">
        <v>216</v>
      </c>
      <c r="K18" s="27" t="s">
        <v>174</v>
      </c>
    </row>
    <row r="19" spans="1:11">
      <c r="A19" s="27" t="s">
        <v>111</v>
      </c>
      <c r="B19" s="27" t="s">
        <v>106</v>
      </c>
      <c r="C19" s="27" t="s">
        <v>21</v>
      </c>
      <c r="D19" s="27" t="s">
        <v>91</v>
      </c>
      <c r="E19" s="28" t="s">
        <v>72</v>
      </c>
      <c r="F19" s="28" t="s">
        <v>42</v>
      </c>
      <c r="G19" s="28" t="s">
        <v>15</v>
      </c>
      <c r="H19" s="28" t="s">
        <v>14</v>
      </c>
      <c r="I19" s="29">
        <v>7000000</v>
      </c>
      <c r="J19" s="28" t="s">
        <v>216</v>
      </c>
      <c r="K19" s="27" t="s">
        <v>174</v>
      </c>
    </row>
    <row r="20" spans="1:11">
      <c r="A20" s="27" t="s">
        <v>112</v>
      </c>
      <c r="B20" s="27" t="s">
        <v>113</v>
      </c>
      <c r="C20" s="27" t="s">
        <v>21</v>
      </c>
      <c r="D20" s="27" t="s">
        <v>99</v>
      </c>
      <c r="E20" s="28" t="s">
        <v>70</v>
      </c>
      <c r="F20" s="28" t="s">
        <v>26</v>
      </c>
      <c r="G20" s="28" t="s">
        <v>15</v>
      </c>
      <c r="H20" s="28" t="s">
        <v>14</v>
      </c>
      <c r="I20" s="29">
        <v>2400000</v>
      </c>
      <c r="J20" s="28" t="s">
        <v>216</v>
      </c>
      <c r="K20" s="27" t="s">
        <v>174</v>
      </c>
    </row>
    <row r="21" spans="1:11">
      <c r="A21" s="27" t="s">
        <v>114</v>
      </c>
      <c r="B21" s="27" t="s">
        <v>113</v>
      </c>
      <c r="C21" s="27" t="s">
        <v>21</v>
      </c>
      <c r="D21" s="27" t="s">
        <v>99</v>
      </c>
      <c r="E21" s="28" t="s">
        <v>70</v>
      </c>
      <c r="F21" s="28" t="s">
        <v>42</v>
      </c>
      <c r="G21" s="28" t="s">
        <v>15</v>
      </c>
      <c r="H21" s="28" t="s">
        <v>14</v>
      </c>
      <c r="I21" s="29">
        <v>6000000</v>
      </c>
      <c r="J21" s="28" t="s">
        <v>216</v>
      </c>
      <c r="K21" s="27" t="s">
        <v>174</v>
      </c>
    </row>
    <row r="22" spans="1:11">
      <c r="A22" s="27" t="s">
        <v>115</v>
      </c>
      <c r="B22" s="27" t="s">
        <v>113</v>
      </c>
      <c r="C22" s="27" t="s">
        <v>21</v>
      </c>
      <c r="D22" s="27" t="s">
        <v>99</v>
      </c>
      <c r="E22" s="28" t="s">
        <v>74</v>
      </c>
      <c r="F22" s="28" t="s">
        <v>26</v>
      </c>
      <c r="G22" s="28" t="s">
        <v>15</v>
      </c>
      <c r="H22" s="28" t="s">
        <v>14</v>
      </c>
      <c r="I22" s="29">
        <v>2400000</v>
      </c>
      <c r="J22" s="28" t="s">
        <v>216</v>
      </c>
      <c r="K22" s="27" t="s">
        <v>174</v>
      </c>
    </row>
    <row r="23" spans="1:11">
      <c r="A23" s="27" t="s">
        <v>116</v>
      </c>
      <c r="B23" s="27" t="s">
        <v>113</v>
      </c>
      <c r="C23" s="27" t="s">
        <v>21</v>
      </c>
      <c r="D23" s="27" t="s">
        <v>99</v>
      </c>
      <c r="E23" s="28" t="s">
        <v>74</v>
      </c>
      <c r="F23" s="28" t="s">
        <v>42</v>
      </c>
      <c r="G23" s="28" t="s">
        <v>15</v>
      </c>
      <c r="H23" s="28" t="s">
        <v>14</v>
      </c>
      <c r="I23" s="29">
        <v>7000000</v>
      </c>
      <c r="J23" s="28" t="s">
        <v>216</v>
      </c>
      <c r="K23" s="27" t="s">
        <v>174</v>
      </c>
    </row>
    <row r="24" spans="1:11">
      <c r="A24" s="27" t="s">
        <v>117</v>
      </c>
      <c r="B24" s="27" t="s">
        <v>113</v>
      </c>
      <c r="C24" s="27" t="s">
        <v>21</v>
      </c>
      <c r="D24" s="27" t="s">
        <v>99</v>
      </c>
      <c r="E24" s="28" t="s">
        <v>72</v>
      </c>
      <c r="F24" s="28" t="s">
        <v>26</v>
      </c>
      <c r="G24" s="28" t="s">
        <v>15</v>
      </c>
      <c r="H24" s="28" t="s">
        <v>14</v>
      </c>
      <c r="I24" s="29">
        <v>2400000</v>
      </c>
      <c r="J24" s="28" t="s">
        <v>216</v>
      </c>
      <c r="K24" s="27" t="s">
        <v>174</v>
      </c>
    </row>
    <row r="25" spans="1:11">
      <c r="A25" s="27" t="s">
        <v>118</v>
      </c>
      <c r="B25" s="27" t="s">
        <v>113</v>
      </c>
      <c r="C25" s="27" t="s">
        <v>21</v>
      </c>
      <c r="D25" s="27" t="s">
        <v>99</v>
      </c>
      <c r="E25" s="28" t="s">
        <v>72</v>
      </c>
      <c r="F25" s="28" t="s">
        <v>42</v>
      </c>
      <c r="G25" s="28" t="s">
        <v>15</v>
      </c>
      <c r="H25" s="28" t="s">
        <v>14</v>
      </c>
      <c r="I25" s="29">
        <v>8000000</v>
      </c>
      <c r="J25" s="28" t="s">
        <v>216</v>
      </c>
      <c r="K25" s="27" t="s">
        <v>174</v>
      </c>
    </row>
    <row r="26" spans="1:11">
      <c r="A26" s="27" t="s">
        <v>119</v>
      </c>
      <c r="B26" s="27" t="s">
        <v>120</v>
      </c>
      <c r="C26" s="27" t="s">
        <v>21</v>
      </c>
      <c r="D26" s="27" t="s">
        <v>29</v>
      </c>
      <c r="E26" s="28" t="s">
        <v>70</v>
      </c>
      <c r="F26" s="28" t="s">
        <v>26</v>
      </c>
      <c r="G26" s="28" t="s">
        <v>15</v>
      </c>
      <c r="H26" s="28" t="s">
        <v>14</v>
      </c>
      <c r="I26" s="29">
        <v>200000</v>
      </c>
      <c r="J26" s="28" t="s">
        <v>216</v>
      </c>
      <c r="K26" s="27" t="s">
        <v>174</v>
      </c>
    </row>
    <row r="27" spans="1:11">
      <c r="A27" s="27" t="s">
        <v>121</v>
      </c>
      <c r="B27" s="27" t="s">
        <v>120</v>
      </c>
      <c r="C27" s="27" t="s">
        <v>21</v>
      </c>
      <c r="D27" s="27" t="s">
        <v>29</v>
      </c>
      <c r="E27" s="28" t="s">
        <v>70</v>
      </c>
      <c r="F27" s="28" t="s">
        <v>42</v>
      </c>
      <c r="G27" s="28" t="s">
        <v>15</v>
      </c>
      <c r="H27" s="28" t="s">
        <v>14</v>
      </c>
      <c r="I27" s="29">
        <v>350000</v>
      </c>
      <c r="J27" s="28" t="s">
        <v>216</v>
      </c>
      <c r="K27" s="27" t="s">
        <v>174</v>
      </c>
    </row>
    <row r="28" spans="1:11">
      <c r="A28" s="27" t="s">
        <v>122</v>
      </c>
      <c r="B28" s="27" t="s">
        <v>120</v>
      </c>
      <c r="C28" s="27" t="s">
        <v>21</v>
      </c>
      <c r="D28" s="27" t="s">
        <v>29</v>
      </c>
      <c r="E28" s="28" t="s">
        <v>74</v>
      </c>
      <c r="F28" s="28" t="s">
        <v>26</v>
      </c>
      <c r="G28" s="28" t="s">
        <v>15</v>
      </c>
      <c r="H28" s="28" t="s">
        <v>14</v>
      </c>
      <c r="I28" s="29">
        <v>200000</v>
      </c>
      <c r="J28" s="28" t="s">
        <v>216</v>
      </c>
      <c r="K28" s="27" t="s">
        <v>174</v>
      </c>
    </row>
    <row r="29" spans="1:11">
      <c r="A29" s="27" t="s">
        <v>123</v>
      </c>
      <c r="B29" s="27" t="s">
        <v>120</v>
      </c>
      <c r="C29" s="27" t="s">
        <v>21</v>
      </c>
      <c r="D29" s="27" t="s">
        <v>29</v>
      </c>
      <c r="E29" s="28" t="s">
        <v>74</v>
      </c>
      <c r="F29" s="28" t="s">
        <v>42</v>
      </c>
      <c r="G29" s="28" t="s">
        <v>15</v>
      </c>
      <c r="H29" s="28" t="s">
        <v>14</v>
      </c>
      <c r="I29" s="29">
        <v>350000</v>
      </c>
      <c r="J29" s="28" t="s">
        <v>216</v>
      </c>
      <c r="K29" s="27" t="s">
        <v>174</v>
      </c>
    </row>
    <row r="30" spans="1:11">
      <c r="A30" s="27" t="s">
        <v>124</v>
      </c>
      <c r="B30" s="27" t="s">
        <v>120</v>
      </c>
      <c r="C30" s="27" t="s">
        <v>21</v>
      </c>
      <c r="D30" s="27" t="s">
        <v>29</v>
      </c>
      <c r="E30" s="28" t="s">
        <v>72</v>
      </c>
      <c r="F30" s="28" t="s">
        <v>26</v>
      </c>
      <c r="G30" s="28" t="s">
        <v>15</v>
      </c>
      <c r="H30" s="28" t="s">
        <v>14</v>
      </c>
      <c r="I30" s="29">
        <v>200000</v>
      </c>
      <c r="J30" s="28" t="s">
        <v>216</v>
      </c>
      <c r="K30" s="27" t="s">
        <v>174</v>
      </c>
    </row>
    <row r="31" spans="1:11">
      <c r="A31" s="27" t="s">
        <v>125</v>
      </c>
      <c r="B31" s="27" t="s">
        <v>120</v>
      </c>
      <c r="C31" s="27" t="s">
        <v>21</v>
      </c>
      <c r="D31" s="27" t="s">
        <v>29</v>
      </c>
      <c r="E31" s="28" t="s">
        <v>72</v>
      </c>
      <c r="F31" s="28" t="s">
        <v>42</v>
      </c>
      <c r="G31" s="28" t="s">
        <v>15</v>
      </c>
      <c r="H31" s="28" t="s">
        <v>14</v>
      </c>
      <c r="I31" s="29">
        <v>350000</v>
      </c>
      <c r="J31" s="28" t="s">
        <v>216</v>
      </c>
      <c r="K31" s="27" t="s">
        <v>174</v>
      </c>
    </row>
    <row r="32" spans="1:11">
      <c r="A32" s="27" t="s">
        <v>126</v>
      </c>
      <c r="B32" s="27" t="s">
        <v>127</v>
      </c>
      <c r="C32" s="27" t="s">
        <v>21</v>
      </c>
      <c r="D32" s="27" t="s">
        <v>128</v>
      </c>
      <c r="E32" s="28" t="s">
        <v>70</v>
      </c>
      <c r="F32" s="28" t="s">
        <v>42</v>
      </c>
      <c r="G32" s="28" t="s">
        <v>15</v>
      </c>
      <c r="H32" s="28" t="s">
        <v>14</v>
      </c>
      <c r="I32" s="29">
        <v>22000000</v>
      </c>
      <c r="J32" s="28" t="s">
        <v>216</v>
      </c>
      <c r="K32" s="27" t="s">
        <v>174</v>
      </c>
    </row>
    <row r="33" spans="1:11">
      <c r="A33" s="27" t="s">
        <v>129</v>
      </c>
      <c r="B33" s="27" t="s">
        <v>127</v>
      </c>
      <c r="C33" s="27" t="s">
        <v>21</v>
      </c>
      <c r="D33" s="27" t="s">
        <v>128</v>
      </c>
      <c r="E33" s="28" t="s">
        <v>74</v>
      </c>
      <c r="F33" s="28" t="s">
        <v>42</v>
      </c>
      <c r="G33" s="28" t="s">
        <v>15</v>
      </c>
      <c r="H33" s="28" t="s">
        <v>14</v>
      </c>
      <c r="I33" s="29">
        <v>29000000</v>
      </c>
      <c r="J33" s="28" t="s">
        <v>216</v>
      </c>
      <c r="K33" s="27" t="s">
        <v>174</v>
      </c>
    </row>
    <row r="34" spans="1:11">
      <c r="A34" s="27" t="s">
        <v>130</v>
      </c>
      <c r="B34" s="27" t="s">
        <v>127</v>
      </c>
      <c r="C34" s="27" t="s">
        <v>21</v>
      </c>
      <c r="D34" s="27" t="s">
        <v>128</v>
      </c>
      <c r="E34" s="28" t="s">
        <v>72</v>
      </c>
      <c r="F34" s="28" t="s">
        <v>42</v>
      </c>
      <c r="G34" s="28" t="s">
        <v>15</v>
      </c>
      <c r="H34" s="28" t="s">
        <v>14</v>
      </c>
      <c r="I34" s="29">
        <v>37000000</v>
      </c>
      <c r="J34" s="28" t="s">
        <v>216</v>
      </c>
      <c r="K34" s="27" t="s">
        <v>174</v>
      </c>
    </row>
    <row r="35" spans="1:11">
      <c r="A35" s="27" t="s">
        <v>131</v>
      </c>
      <c r="B35" s="27" t="s">
        <v>132</v>
      </c>
      <c r="C35" s="27" t="s">
        <v>21</v>
      </c>
      <c r="D35" s="27" t="s">
        <v>133</v>
      </c>
      <c r="E35" s="28" t="s">
        <v>17</v>
      </c>
      <c r="F35" s="28" t="s">
        <v>26</v>
      </c>
      <c r="G35" s="28" t="s">
        <v>15</v>
      </c>
      <c r="H35" s="28" t="s">
        <v>14</v>
      </c>
      <c r="I35" s="29">
        <v>4500000</v>
      </c>
      <c r="J35" s="28" t="s">
        <v>216</v>
      </c>
      <c r="K35" s="27" t="s">
        <v>174</v>
      </c>
    </row>
    <row r="36" spans="1:11">
      <c r="A36" s="27" t="s">
        <v>134</v>
      </c>
      <c r="B36" s="27" t="s">
        <v>132</v>
      </c>
      <c r="C36" s="27" t="s">
        <v>21</v>
      </c>
      <c r="D36" s="27" t="s">
        <v>133</v>
      </c>
      <c r="E36" s="28" t="s">
        <v>70</v>
      </c>
      <c r="F36" s="28" t="s">
        <v>42</v>
      </c>
      <c r="G36" s="28" t="s">
        <v>15</v>
      </c>
      <c r="H36" s="28" t="s">
        <v>14</v>
      </c>
      <c r="I36" s="29">
        <v>6000000</v>
      </c>
      <c r="J36" s="28" t="s">
        <v>216</v>
      </c>
      <c r="K36" s="27" t="s">
        <v>174</v>
      </c>
    </row>
    <row r="37" spans="1:11">
      <c r="A37" s="27" t="s">
        <v>135</v>
      </c>
      <c r="B37" s="27" t="s">
        <v>2163</v>
      </c>
      <c r="C37" s="27" t="s">
        <v>21</v>
      </c>
      <c r="D37" s="27" t="s">
        <v>133</v>
      </c>
      <c r="E37" s="28" t="s">
        <v>17</v>
      </c>
      <c r="F37" s="28" t="s">
        <v>26</v>
      </c>
      <c r="G37" s="28" t="s">
        <v>15</v>
      </c>
      <c r="H37" s="28" t="s">
        <v>14</v>
      </c>
      <c r="I37" s="29">
        <v>6000000</v>
      </c>
      <c r="J37" s="28" t="s">
        <v>216</v>
      </c>
      <c r="K37" s="27" t="s">
        <v>174</v>
      </c>
    </row>
    <row r="38" spans="1:11">
      <c r="A38" s="27" t="s">
        <v>136</v>
      </c>
      <c r="B38" s="27" t="s">
        <v>132</v>
      </c>
      <c r="C38" s="27" t="s">
        <v>21</v>
      </c>
      <c r="D38" s="27" t="s">
        <v>133</v>
      </c>
      <c r="E38" s="28" t="s">
        <v>74</v>
      </c>
      <c r="F38" s="28" t="s">
        <v>42</v>
      </c>
      <c r="G38" s="28" t="s">
        <v>15</v>
      </c>
      <c r="H38" s="28" t="s">
        <v>14</v>
      </c>
      <c r="I38" s="29">
        <v>6000000</v>
      </c>
      <c r="J38" s="28" t="s">
        <v>216</v>
      </c>
      <c r="K38" s="27" t="s">
        <v>174</v>
      </c>
    </row>
    <row r="39" spans="1:11">
      <c r="A39" s="27" t="s">
        <v>137</v>
      </c>
      <c r="B39" s="27" t="s">
        <v>2163</v>
      </c>
      <c r="C39" s="27" t="s">
        <v>21</v>
      </c>
      <c r="D39" s="27" t="s">
        <v>133</v>
      </c>
      <c r="E39" s="28" t="s">
        <v>17</v>
      </c>
      <c r="F39" s="28" t="s">
        <v>42</v>
      </c>
      <c r="G39" s="28" t="s">
        <v>15</v>
      </c>
      <c r="H39" s="28" t="s">
        <v>14</v>
      </c>
      <c r="I39" s="29">
        <v>12000000</v>
      </c>
      <c r="J39" s="28" t="s">
        <v>216</v>
      </c>
      <c r="K39" s="27" t="s">
        <v>174</v>
      </c>
    </row>
    <row r="40" spans="1:11">
      <c r="A40" s="27" t="s">
        <v>138</v>
      </c>
      <c r="B40" s="27" t="s">
        <v>132</v>
      </c>
      <c r="C40" s="27" t="s">
        <v>21</v>
      </c>
      <c r="D40" s="27" t="s">
        <v>133</v>
      </c>
      <c r="E40" s="28" t="s">
        <v>72</v>
      </c>
      <c r="F40" s="28" t="s">
        <v>42</v>
      </c>
      <c r="G40" s="28" t="s">
        <v>15</v>
      </c>
      <c r="H40" s="28" t="s">
        <v>14</v>
      </c>
      <c r="I40" s="29">
        <v>6000000</v>
      </c>
      <c r="J40" s="28" t="s">
        <v>216</v>
      </c>
      <c r="K40" s="27" t="s">
        <v>174</v>
      </c>
    </row>
    <row r="41" spans="1:11">
      <c r="A41" s="27" t="s">
        <v>139</v>
      </c>
      <c r="B41" s="27" t="s">
        <v>140</v>
      </c>
      <c r="C41" s="27" t="s">
        <v>21</v>
      </c>
      <c r="D41" s="27" t="s">
        <v>141</v>
      </c>
      <c r="E41" s="28" t="s">
        <v>70</v>
      </c>
      <c r="F41" s="28" t="s">
        <v>26</v>
      </c>
      <c r="G41" s="28" t="s">
        <v>15</v>
      </c>
      <c r="H41" s="28" t="s">
        <v>14</v>
      </c>
      <c r="I41" s="29">
        <v>36000</v>
      </c>
      <c r="J41" s="28" t="s">
        <v>216</v>
      </c>
      <c r="K41" s="27" t="s">
        <v>174</v>
      </c>
    </row>
    <row r="42" spans="1:11">
      <c r="A42" s="27" t="s">
        <v>142</v>
      </c>
      <c r="B42" s="27" t="s">
        <v>140</v>
      </c>
      <c r="C42" s="27" t="s">
        <v>21</v>
      </c>
      <c r="D42" s="27" t="s">
        <v>141</v>
      </c>
      <c r="E42" s="28" t="s">
        <v>70</v>
      </c>
      <c r="F42" s="28" t="s">
        <v>42</v>
      </c>
      <c r="G42" s="28" t="s">
        <v>15</v>
      </c>
      <c r="H42" s="28" t="s">
        <v>14</v>
      </c>
      <c r="I42" s="29">
        <v>72000</v>
      </c>
      <c r="J42" s="28" t="s">
        <v>216</v>
      </c>
      <c r="K42" s="27" t="s">
        <v>174</v>
      </c>
    </row>
    <row r="43" spans="1:11">
      <c r="A43" s="27" t="s">
        <v>143</v>
      </c>
      <c r="B43" s="27" t="s">
        <v>140</v>
      </c>
      <c r="C43" s="27" t="s">
        <v>21</v>
      </c>
      <c r="D43" s="27" t="s">
        <v>141</v>
      </c>
      <c r="E43" s="28" t="s">
        <v>74</v>
      </c>
      <c r="F43" s="28" t="s">
        <v>26</v>
      </c>
      <c r="G43" s="28" t="s">
        <v>15</v>
      </c>
      <c r="H43" s="28" t="s">
        <v>14</v>
      </c>
      <c r="I43" s="29">
        <v>36000</v>
      </c>
      <c r="J43" s="28" t="s">
        <v>216</v>
      </c>
      <c r="K43" s="27" t="s">
        <v>174</v>
      </c>
    </row>
    <row r="44" spans="1:11">
      <c r="A44" s="27" t="s">
        <v>144</v>
      </c>
      <c r="B44" s="27" t="s">
        <v>140</v>
      </c>
      <c r="C44" s="27" t="s">
        <v>21</v>
      </c>
      <c r="D44" s="27" t="s">
        <v>141</v>
      </c>
      <c r="E44" s="28" t="s">
        <v>74</v>
      </c>
      <c r="F44" s="28" t="s">
        <v>42</v>
      </c>
      <c r="G44" s="28" t="s">
        <v>15</v>
      </c>
      <c r="H44" s="28" t="s">
        <v>14</v>
      </c>
      <c r="I44" s="29">
        <v>96000</v>
      </c>
      <c r="J44" s="28" t="s">
        <v>216</v>
      </c>
      <c r="K44" s="27" t="s">
        <v>174</v>
      </c>
    </row>
    <row r="45" spans="1:11">
      <c r="A45" s="27" t="s">
        <v>145</v>
      </c>
      <c r="B45" s="27" t="s">
        <v>140</v>
      </c>
      <c r="C45" s="27" t="s">
        <v>21</v>
      </c>
      <c r="D45" s="27" t="s">
        <v>141</v>
      </c>
      <c r="E45" s="28" t="s">
        <v>72</v>
      </c>
      <c r="F45" s="28" t="s">
        <v>26</v>
      </c>
      <c r="G45" s="28" t="s">
        <v>15</v>
      </c>
      <c r="H45" s="28" t="s">
        <v>14</v>
      </c>
      <c r="I45" s="29">
        <v>36000</v>
      </c>
      <c r="J45" s="28" t="s">
        <v>216</v>
      </c>
      <c r="K45" s="27" t="s">
        <v>174</v>
      </c>
    </row>
    <row r="46" spans="1:11">
      <c r="A46" s="27" t="s">
        <v>146</v>
      </c>
      <c r="B46" s="27" t="s">
        <v>140</v>
      </c>
      <c r="C46" s="27" t="s">
        <v>21</v>
      </c>
      <c r="D46" s="27" t="s">
        <v>141</v>
      </c>
      <c r="E46" s="28" t="s">
        <v>72</v>
      </c>
      <c r="F46" s="28" t="s">
        <v>42</v>
      </c>
      <c r="G46" s="28" t="s">
        <v>15</v>
      </c>
      <c r="H46" s="28" t="s">
        <v>14</v>
      </c>
      <c r="I46" s="29">
        <v>108000</v>
      </c>
      <c r="J46" s="28" t="s">
        <v>216</v>
      </c>
      <c r="K46" s="27" t="s">
        <v>174</v>
      </c>
    </row>
    <row r="47" spans="1:11">
      <c r="A47" s="30" t="s">
        <v>147</v>
      </c>
      <c r="B47" s="30" t="s">
        <v>148</v>
      </c>
      <c r="C47" s="30" t="s">
        <v>21</v>
      </c>
      <c r="D47" s="30" t="s">
        <v>128</v>
      </c>
      <c r="E47" s="31" t="s">
        <v>70</v>
      </c>
      <c r="F47" s="31" t="s">
        <v>42</v>
      </c>
      <c r="G47" s="31" t="s">
        <v>15</v>
      </c>
      <c r="H47" s="31" t="s">
        <v>14</v>
      </c>
      <c r="I47" s="32">
        <v>20592000</v>
      </c>
      <c r="J47" s="31" t="s">
        <v>216</v>
      </c>
      <c r="K47" s="30" t="s">
        <v>174</v>
      </c>
    </row>
    <row r="48" spans="1:11">
      <c r="A48" s="33" t="s">
        <v>2164</v>
      </c>
      <c r="B48" s="33" t="s">
        <v>148</v>
      </c>
      <c r="C48" s="33" t="s">
        <v>21</v>
      </c>
      <c r="D48" s="33" t="s">
        <v>128</v>
      </c>
      <c r="E48" s="34" t="s">
        <v>70</v>
      </c>
      <c r="F48" s="34" t="s">
        <v>42</v>
      </c>
      <c r="G48" s="34" t="s">
        <v>15</v>
      </c>
      <c r="H48" s="34" t="s">
        <v>14</v>
      </c>
      <c r="I48" s="35">
        <f>+I47*(1-25%)</f>
        <v>15444000</v>
      </c>
      <c r="J48" s="34" t="s">
        <v>216</v>
      </c>
      <c r="K48" s="33" t="s">
        <v>174</v>
      </c>
    </row>
    <row r="49" spans="1:11">
      <c r="A49" s="33" t="s">
        <v>2165</v>
      </c>
      <c r="B49" s="33" t="s">
        <v>148</v>
      </c>
      <c r="C49" s="33" t="s">
        <v>21</v>
      </c>
      <c r="D49" s="33" t="s">
        <v>128</v>
      </c>
      <c r="E49" s="34" t="s">
        <v>70</v>
      </c>
      <c r="F49" s="34" t="s">
        <v>42</v>
      </c>
      <c r="G49" s="34" t="s">
        <v>15</v>
      </c>
      <c r="H49" s="34" t="s">
        <v>14</v>
      </c>
      <c r="I49" s="35">
        <f>+I48*(1-45%)</f>
        <v>8494200</v>
      </c>
      <c r="J49" s="34" t="s">
        <v>216</v>
      </c>
      <c r="K49" s="33" t="s">
        <v>174</v>
      </c>
    </row>
    <row r="50" spans="1:11">
      <c r="A50" s="30" t="s">
        <v>149</v>
      </c>
      <c r="B50" s="30" t="s">
        <v>148</v>
      </c>
      <c r="C50" s="30" t="s">
        <v>21</v>
      </c>
      <c r="D50" s="30" t="s">
        <v>128</v>
      </c>
      <c r="E50" s="31" t="s">
        <v>74</v>
      </c>
      <c r="F50" s="31" t="s">
        <v>42</v>
      </c>
      <c r="G50" s="31" t="s">
        <v>15</v>
      </c>
      <c r="H50" s="31" t="s">
        <v>14</v>
      </c>
      <c r="I50" s="32">
        <v>31152000</v>
      </c>
      <c r="J50" s="31" t="s">
        <v>216</v>
      </c>
      <c r="K50" s="30" t="s">
        <v>174</v>
      </c>
    </row>
    <row r="51" spans="1:11">
      <c r="A51" s="33" t="s">
        <v>2166</v>
      </c>
      <c r="B51" s="33" t="s">
        <v>148</v>
      </c>
      <c r="C51" s="33" t="s">
        <v>21</v>
      </c>
      <c r="D51" s="33" t="s">
        <v>128</v>
      </c>
      <c r="E51" s="34" t="s">
        <v>74</v>
      </c>
      <c r="F51" s="34" t="s">
        <v>42</v>
      </c>
      <c r="G51" s="34" t="s">
        <v>15</v>
      </c>
      <c r="H51" s="34" t="s">
        <v>14</v>
      </c>
      <c r="I51" s="35">
        <f>+I50*(1-25%)</f>
        <v>23364000</v>
      </c>
      <c r="J51" s="34" t="s">
        <v>216</v>
      </c>
      <c r="K51" s="33" t="s">
        <v>174</v>
      </c>
    </row>
    <row r="52" spans="1:11">
      <c r="A52" s="33" t="s">
        <v>2167</v>
      </c>
      <c r="B52" s="33" t="s">
        <v>148</v>
      </c>
      <c r="C52" s="33" t="s">
        <v>21</v>
      </c>
      <c r="D52" s="33" t="s">
        <v>128</v>
      </c>
      <c r="E52" s="34" t="s">
        <v>74</v>
      </c>
      <c r="F52" s="34" t="s">
        <v>42</v>
      </c>
      <c r="G52" s="34" t="s">
        <v>15</v>
      </c>
      <c r="H52" s="34" t="s">
        <v>14</v>
      </c>
      <c r="I52" s="35">
        <f>+I51*(1-45%)</f>
        <v>12850200.000000002</v>
      </c>
      <c r="J52" s="34" t="s">
        <v>216</v>
      </c>
      <c r="K52" s="33" t="s">
        <v>174</v>
      </c>
    </row>
    <row r="53" spans="1:11">
      <c r="A53" s="30" t="s">
        <v>150</v>
      </c>
      <c r="B53" s="30" t="s">
        <v>148</v>
      </c>
      <c r="C53" s="30" t="s">
        <v>21</v>
      </c>
      <c r="D53" s="30" t="s">
        <v>128</v>
      </c>
      <c r="E53" s="31" t="s">
        <v>72</v>
      </c>
      <c r="F53" s="31" t="s">
        <v>42</v>
      </c>
      <c r="G53" s="31" t="s">
        <v>15</v>
      </c>
      <c r="H53" s="31" t="s">
        <v>14</v>
      </c>
      <c r="I53" s="32">
        <v>36960000</v>
      </c>
      <c r="J53" s="31" t="s">
        <v>216</v>
      </c>
      <c r="K53" s="30" t="s">
        <v>174</v>
      </c>
    </row>
    <row r="54" spans="1:11">
      <c r="A54" s="33" t="s">
        <v>2168</v>
      </c>
      <c r="B54" s="33" t="s">
        <v>148</v>
      </c>
      <c r="C54" s="33" t="s">
        <v>21</v>
      </c>
      <c r="D54" s="33" t="s">
        <v>128</v>
      </c>
      <c r="E54" s="34" t="s">
        <v>72</v>
      </c>
      <c r="F54" s="34" t="s">
        <v>42</v>
      </c>
      <c r="G54" s="34" t="s">
        <v>15</v>
      </c>
      <c r="H54" s="34" t="s">
        <v>14</v>
      </c>
      <c r="I54" s="35">
        <f>+I53*(1-25%)</f>
        <v>27720000</v>
      </c>
      <c r="J54" s="34" t="s">
        <v>216</v>
      </c>
      <c r="K54" s="33" t="s">
        <v>174</v>
      </c>
    </row>
    <row r="55" spans="1:11">
      <c r="A55" s="33" t="s">
        <v>2169</v>
      </c>
      <c r="B55" s="33" t="s">
        <v>148</v>
      </c>
      <c r="C55" s="33" t="s">
        <v>21</v>
      </c>
      <c r="D55" s="33" t="s">
        <v>128</v>
      </c>
      <c r="E55" s="34" t="s">
        <v>72</v>
      </c>
      <c r="F55" s="34" t="s">
        <v>42</v>
      </c>
      <c r="G55" s="34" t="s">
        <v>15</v>
      </c>
      <c r="H55" s="34" t="s">
        <v>14</v>
      </c>
      <c r="I55" s="35">
        <f>+I54*(1-45%)</f>
        <v>15246000.000000002</v>
      </c>
      <c r="J55" s="34" t="s">
        <v>216</v>
      </c>
      <c r="K55" s="33" t="s">
        <v>174</v>
      </c>
    </row>
    <row r="56" spans="1:11">
      <c r="A56" s="36" t="s">
        <v>151</v>
      </c>
      <c r="B56" s="36" t="s">
        <v>152</v>
      </c>
      <c r="C56" s="36" t="s">
        <v>21</v>
      </c>
      <c r="D56" s="36" t="s">
        <v>29</v>
      </c>
      <c r="E56" s="37" t="s">
        <v>74</v>
      </c>
      <c r="F56" s="37" t="s">
        <v>26</v>
      </c>
      <c r="G56" s="37" t="s">
        <v>15</v>
      </c>
      <c r="H56" s="37" t="s">
        <v>14</v>
      </c>
      <c r="I56" s="38">
        <v>160000</v>
      </c>
      <c r="J56" s="37" t="s">
        <v>216</v>
      </c>
      <c r="K56" s="36" t="s">
        <v>174</v>
      </c>
    </row>
    <row r="57" spans="1:11">
      <c r="A57" s="36" t="s">
        <v>153</v>
      </c>
      <c r="B57" s="36" t="s">
        <v>152</v>
      </c>
      <c r="C57" s="36" t="s">
        <v>21</v>
      </c>
      <c r="D57" s="36" t="s">
        <v>29</v>
      </c>
      <c r="E57" s="37" t="s">
        <v>74</v>
      </c>
      <c r="F57" s="37" t="s">
        <v>42</v>
      </c>
      <c r="G57" s="37" t="s">
        <v>15</v>
      </c>
      <c r="H57" s="37" t="s">
        <v>14</v>
      </c>
      <c r="I57" s="38">
        <v>250000</v>
      </c>
      <c r="J57" s="37" t="s">
        <v>216</v>
      </c>
      <c r="K57" s="36" t="s">
        <v>174</v>
      </c>
    </row>
    <row r="58" spans="1:11">
      <c r="A58" s="36" t="s">
        <v>154</v>
      </c>
      <c r="B58" s="36" t="s">
        <v>152</v>
      </c>
      <c r="C58" s="36" t="s">
        <v>21</v>
      </c>
      <c r="D58" s="36" t="s">
        <v>29</v>
      </c>
      <c r="E58" s="37" t="s">
        <v>70</v>
      </c>
      <c r="F58" s="37" t="s">
        <v>26</v>
      </c>
      <c r="G58" s="37" t="s">
        <v>15</v>
      </c>
      <c r="H58" s="37" t="s">
        <v>14</v>
      </c>
      <c r="I58" s="38">
        <v>158000</v>
      </c>
      <c r="J58" s="37" t="s">
        <v>216</v>
      </c>
      <c r="K58" s="36" t="s">
        <v>174</v>
      </c>
    </row>
    <row r="59" spans="1:11">
      <c r="A59" s="36" t="s">
        <v>155</v>
      </c>
      <c r="B59" s="36" t="s">
        <v>152</v>
      </c>
      <c r="C59" s="36" t="s">
        <v>21</v>
      </c>
      <c r="D59" s="36" t="s">
        <v>29</v>
      </c>
      <c r="E59" s="37" t="s">
        <v>72</v>
      </c>
      <c r="F59" s="37" t="s">
        <v>26</v>
      </c>
      <c r="G59" s="37" t="s">
        <v>15</v>
      </c>
      <c r="H59" s="37" t="s">
        <v>14</v>
      </c>
      <c r="I59" s="38">
        <v>160000</v>
      </c>
      <c r="J59" s="37" t="s">
        <v>216</v>
      </c>
      <c r="K59" s="36" t="s">
        <v>174</v>
      </c>
    </row>
    <row r="60" spans="1:11">
      <c r="A60" s="36" t="s">
        <v>156</v>
      </c>
      <c r="B60" s="36" t="s">
        <v>152</v>
      </c>
      <c r="C60" s="36" t="s">
        <v>21</v>
      </c>
      <c r="D60" s="36" t="s">
        <v>29</v>
      </c>
      <c r="E60" s="37" t="s">
        <v>72</v>
      </c>
      <c r="F60" s="37" t="s">
        <v>42</v>
      </c>
      <c r="G60" s="37" t="s">
        <v>15</v>
      </c>
      <c r="H60" s="37" t="s">
        <v>14</v>
      </c>
      <c r="I60" s="38">
        <v>300000</v>
      </c>
      <c r="J60" s="37" t="s">
        <v>216</v>
      </c>
      <c r="K60" s="36" t="s">
        <v>174</v>
      </c>
    </row>
    <row r="61" spans="1:11">
      <c r="A61" s="36" t="s">
        <v>157</v>
      </c>
      <c r="B61" s="36" t="s">
        <v>152</v>
      </c>
      <c r="C61" s="36" t="s">
        <v>21</v>
      </c>
      <c r="D61" s="36" t="s">
        <v>29</v>
      </c>
      <c r="E61" s="37" t="s">
        <v>70</v>
      </c>
      <c r="F61" s="37" t="s">
        <v>42</v>
      </c>
      <c r="G61" s="37" t="s">
        <v>15</v>
      </c>
      <c r="H61" s="37" t="s">
        <v>14</v>
      </c>
      <c r="I61" s="38">
        <v>200000</v>
      </c>
      <c r="J61" s="37" t="s">
        <v>216</v>
      </c>
      <c r="K61" s="36" t="s">
        <v>174</v>
      </c>
    </row>
    <row r="62" spans="1:11">
      <c r="A62" s="36" t="s">
        <v>158</v>
      </c>
      <c r="B62" s="36" t="s">
        <v>159</v>
      </c>
      <c r="C62" s="36" t="s">
        <v>21</v>
      </c>
      <c r="D62" s="36" t="s">
        <v>29</v>
      </c>
      <c r="E62" s="37" t="s">
        <v>70</v>
      </c>
      <c r="F62" s="37" t="s">
        <v>42</v>
      </c>
      <c r="G62" s="37" t="s">
        <v>15</v>
      </c>
      <c r="H62" s="37" t="s">
        <v>14</v>
      </c>
      <c r="I62" s="38">
        <v>180000</v>
      </c>
      <c r="J62" s="37" t="s">
        <v>216</v>
      </c>
      <c r="K62" s="36" t="s">
        <v>174</v>
      </c>
    </row>
    <row r="63" spans="1:11">
      <c r="A63" s="36" t="s">
        <v>160</v>
      </c>
      <c r="B63" s="36" t="s">
        <v>159</v>
      </c>
      <c r="C63" s="36" t="s">
        <v>21</v>
      </c>
      <c r="D63" s="36" t="s">
        <v>29</v>
      </c>
      <c r="E63" s="37" t="s">
        <v>74</v>
      </c>
      <c r="F63" s="37" t="s">
        <v>26</v>
      </c>
      <c r="G63" s="37" t="s">
        <v>15</v>
      </c>
      <c r="H63" s="37" t="s">
        <v>14</v>
      </c>
      <c r="I63" s="38">
        <v>160000</v>
      </c>
      <c r="J63" s="37" t="s">
        <v>216</v>
      </c>
      <c r="K63" s="36" t="s">
        <v>174</v>
      </c>
    </row>
    <row r="64" spans="1:11">
      <c r="A64" s="36" t="s">
        <v>161</v>
      </c>
      <c r="B64" s="36" t="s">
        <v>159</v>
      </c>
      <c r="C64" s="36" t="s">
        <v>21</v>
      </c>
      <c r="D64" s="36" t="s">
        <v>29</v>
      </c>
      <c r="E64" s="37" t="s">
        <v>74</v>
      </c>
      <c r="F64" s="37" t="s">
        <v>42</v>
      </c>
      <c r="G64" s="37" t="s">
        <v>15</v>
      </c>
      <c r="H64" s="37" t="s">
        <v>14</v>
      </c>
      <c r="I64" s="38">
        <v>300000</v>
      </c>
      <c r="J64" s="37" t="s">
        <v>216</v>
      </c>
      <c r="K64" s="36" t="s">
        <v>174</v>
      </c>
    </row>
    <row r="65" spans="1:11">
      <c r="A65" s="36" t="s">
        <v>162</v>
      </c>
      <c r="B65" s="36" t="s">
        <v>159</v>
      </c>
      <c r="C65" s="36" t="s">
        <v>21</v>
      </c>
      <c r="D65" s="36" t="s">
        <v>29</v>
      </c>
      <c r="E65" s="37" t="s">
        <v>72</v>
      </c>
      <c r="F65" s="37" t="s">
        <v>26</v>
      </c>
      <c r="G65" s="37" t="s">
        <v>15</v>
      </c>
      <c r="H65" s="37" t="s">
        <v>14</v>
      </c>
      <c r="I65" s="38">
        <v>160000</v>
      </c>
      <c r="J65" s="37" t="s">
        <v>216</v>
      </c>
      <c r="K65" s="36" t="s">
        <v>174</v>
      </c>
    </row>
    <row r="66" spans="1:11">
      <c r="A66" s="36" t="s">
        <v>163</v>
      </c>
      <c r="B66" s="36" t="s">
        <v>159</v>
      </c>
      <c r="C66" s="36" t="s">
        <v>21</v>
      </c>
      <c r="D66" s="36" t="s">
        <v>29</v>
      </c>
      <c r="E66" s="37" t="s">
        <v>72</v>
      </c>
      <c r="F66" s="37" t="s">
        <v>42</v>
      </c>
      <c r="G66" s="37" t="s">
        <v>15</v>
      </c>
      <c r="H66" s="37" t="s">
        <v>14</v>
      </c>
      <c r="I66" s="38">
        <v>300000</v>
      </c>
      <c r="J66" s="37" t="s">
        <v>216</v>
      </c>
      <c r="K66" s="36" t="s">
        <v>174</v>
      </c>
    </row>
    <row r="67" spans="1:11">
      <c r="A67" s="36" t="s">
        <v>164</v>
      </c>
      <c r="B67" s="36" t="s">
        <v>159</v>
      </c>
      <c r="C67" s="36" t="s">
        <v>21</v>
      </c>
      <c r="D67" s="36" t="s">
        <v>29</v>
      </c>
      <c r="E67" s="37" t="s">
        <v>70</v>
      </c>
      <c r="F67" s="37" t="s">
        <v>26</v>
      </c>
      <c r="G67" s="37" t="s">
        <v>15</v>
      </c>
      <c r="H67" s="37" t="s">
        <v>14</v>
      </c>
      <c r="I67" s="38">
        <v>160000</v>
      </c>
      <c r="J67" s="37" t="s">
        <v>216</v>
      </c>
      <c r="K67" s="36" t="s">
        <v>174</v>
      </c>
    </row>
    <row r="68" spans="1:11">
      <c r="A68" s="36" t="s">
        <v>2170</v>
      </c>
      <c r="B68" s="39" t="s">
        <v>2171</v>
      </c>
      <c r="C68" s="36" t="s">
        <v>2172</v>
      </c>
      <c r="D68" s="36" t="s">
        <v>133</v>
      </c>
      <c r="E68" s="37" t="s">
        <v>17</v>
      </c>
      <c r="F68" s="36" t="s">
        <v>2173</v>
      </c>
      <c r="G68" s="36" t="s">
        <v>2173</v>
      </c>
      <c r="H68" s="37" t="s">
        <v>14</v>
      </c>
      <c r="I68" s="38">
        <v>240000000</v>
      </c>
      <c r="J68" s="37" t="s">
        <v>216</v>
      </c>
      <c r="K68" s="36" t="s">
        <v>2174</v>
      </c>
    </row>
    <row r="69" spans="1:11">
      <c r="A69" s="36" t="s">
        <v>2175</v>
      </c>
      <c r="B69" s="39" t="s">
        <v>2176</v>
      </c>
      <c r="C69" s="36" t="s">
        <v>2172</v>
      </c>
      <c r="D69" s="36" t="s">
        <v>133</v>
      </c>
      <c r="E69" s="37" t="s">
        <v>17</v>
      </c>
      <c r="F69" s="36" t="s">
        <v>2173</v>
      </c>
      <c r="G69" s="36" t="s">
        <v>2173</v>
      </c>
      <c r="H69" s="37" t="s">
        <v>14</v>
      </c>
      <c r="I69" s="38">
        <v>1000000</v>
      </c>
      <c r="J69" s="37" t="s">
        <v>216</v>
      </c>
      <c r="K69" s="36" t="s">
        <v>2174</v>
      </c>
    </row>
    <row r="70" spans="1:11">
      <c r="A70" s="36" t="s">
        <v>2177</v>
      </c>
      <c r="B70" s="39" t="s">
        <v>2178</v>
      </c>
      <c r="C70" s="36" t="s">
        <v>21</v>
      </c>
      <c r="D70" s="36" t="s">
        <v>133</v>
      </c>
      <c r="E70" s="37" t="s">
        <v>17</v>
      </c>
      <c r="F70" s="36" t="s">
        <v>2173</v>
      </c>
      <c r="G70" s="36" t="s">
        <v>2173</v>
      </c>
      <c r="H70" s="37" t="s">
        <v>14</v>
      </c>
      <c r="I70" s="38">
        <v>80000000</v>
      </c>
      <c r="J70" s="37" t="s">
        <v>216</v>
      </c>
      <c r="K70" s="36" t="s">
        <v>22</v>
      </c>
    </row>
    <row r="71" spans="1:11">
      <c r="A71" s="36" t="s">
        <v>2179</v>
      </c>
      <c r="B71" s="39" t="s">
        <v>2180</v>
      </c>
      <c r="C71" s="36" t="s">
        <v>2172</v>
      </c>
      <c r="D71" s="36" t="s">
        <v>133</v>
      </c>
      <c r="E71" s="37" t="s">
        <v>17</v>
      </c>
      <c r="F71" s="36" t="s">
        <v>2173</v>
      </c>
      <c r="G71" s="36" t="s">
        <v>2173</v>
      </c>
      <c r="H71" s="37" t="s">
        <v>14</v>
      </c>
      <c r="I71" s="38">
        <v>7500000</v>
      </c>
      <c r="J71" s="37" t="s">
        <v>402</v>
      </c>
      <c r="K71" s="36" t="s">
        <v>2181</v>
      </c>
    </row>
    <row r="72" spans="1:11">
      <c r="A72" s="36" t="s">
        <v>2182</v>
      </c>
      <c r="B72" s="39" t="s">
        <v>2183</v>
      </c>
      <c r="C72" s="36" t="s">
        <v>2172</v>
      </c>
      <c r="D72" s="36" t="s">
        <v>133</v>
      </c>
      <c r="E72" s="37" t="s">
        <v>17</v>
      </c>
      <c r="F72" s="36" t="s">
        <v>2173</v>
      </c>
      <c r="G72" s="36" t="s">
        <v>2173</v>
      </c>
      <c r="H72" s="37" t="s">
        <v>14</v>
      </c>
      <c r="I72" s="38">
        <v>90000000</v>
      </c>
      <c r="J72" s="37" t="s">
        <v>402</v>
      </c>
      <c r="K72" s="36" t="s">
        <v>22</v>
      </c>
    </row>
    <row r="73" spans="1:11">
      <c r="A73" s="36" t="s">
        <v>2184</v>
      </c>
      <c r="B73" s="39" t="s">
        <v>2185</v>
      </c>
      <c r="C73" s="36" t="s">
        <v>2172</v>
      </c>
      <c r="D73" s="36" t="s">
        <v>133</v>
      </c>
      <c r="E73" s="37" t="s">
        <v>17</v>
      </c>
      <c r="F73" s="36" t="s">
        <v>2173</v>
      </c>
      <c r="G73" s="36" t="s">
        <v>2173</v>
      </c>
      <c r="H73" s="37" t="s">
        <v>14</v>
      </c>
      <c r="I73" s="38">
        <v>75000</v>
      </c>
      <c r="J73" s="37" t="s">
        <v>402</v>
      </c>
      <c r="K73" s="36" t="s">
        <v>2181</v>
      </c>
    </row>
    <row r="74" spans="1:11">
      <c r="A74" s="36" t="s">
        <v>2186</v>
      </c>
      <c r="B74" s="39" t="s">
        <v>2187</v>
      </c>
      <c r="C74" s="36" t="s">
        <v>2172</v>
      </c>
      <c r="D74" s="36" t="s">
        <v>133</v>
      </c>
      <c r="E74" s="37" t="s">
        <v>17</v>
      </c>
      <c r="F74" s="36" t="s">
        <v>2173</v>
      </c>
      <c r="G74" s="36" t="s">
        <v>2173</v>
      </c>
      <c r="H74" s="37" t="s">
        <v>14</v>
      </c>
      <c r="I74" s="38">
        <v>900000</v>
      </c>
      <c r="J74" s="37" t="s">
        <v>402</v>
      </c>
      <c r="K74" s="36" t="s">
        <v>22</v>
      </c>
    </row>
    <row r="75" spans="1:11">
      <c r="A75" s="36" t="s">
        <v>2188</v>
      </c>
      <c r="B75" s="39" t="s">
        <v>2189</v>
      </c>
      <c r="C75" s="36" t="s">
        <v>2172</v>
      </c>
      <c r="D75" s="36" t="s">
        <v>133</v>
      </c>
      <c r="E75" s="37" t="s">
        <v>17</v>
      </c>
      <c r="F75" s="36" t="s">
        <v>2173</v>
      </c>
      <c r="G75" s="36" t="s">
        <v>2173</v>
      </c>
      <c r="H75" s="37" t="s">
        <v>14</v>
      </c>
      <c r="I75" s="38">
        <v>800000</v>
      </c>
      <c r="J75" s="37" t="s">
        <v>402</v>
      </c>
      <c r="K75" s="36" t="s">
        <v>2181</v>
      </c>
    </row>
    <row r="76" spans="1:11">
      <c r="A76" s="36" t="s">
        <v>2190</v>
      </c>
      <c r="B76" s="39" t="s">
        <v>2191</v>
      </c>
      <c r="C76" s="36" t="s">
        <v>2172</v>
      </c>
      <c r="D76" s="36" t="s">
        <v>133</v>
      </c>
      <c r="E76" s="37" t="s">
        <v>17</v>
      </c>
      <c r="F76" s="36" t="s">
        <v>2173</v>
      </c>
      <c r="G76" s="36" t="s">
        <v>2173</v>
      </c>
      <c r="H76" s="37" t="s">
        <v>14</v>
      </c>
      <c r="I76" s="38">
        <v>9600000</v>
      </c>
      <c r="J76" s="37" t="s">
        <v>402</v>
      </c>
      <c r="K76" s="36" t="s">
        <v>22</v>
      </c>
    </row>
    <row r="77" spans="1:11">
      <c r="A77" s="36" t="s">
        <v>2192</v>
      </c>
      <c r="B77" s="39" t="s">
        <v>2193</v>
      </c>
      <c r="C77" s="36" t="s">
        <v>2172</v>
      </c>
      <c r="D77" s="36" t="s">
        <v>133</v>
      </c>
      <c r="E77" s="37" t="s">
        <v>17</v>
      </c>
      <c r="F77" s="36" t="s">
        <v>2173</v>
      </c>
      <c r="G77" s="36" t="s">
        <v>2173</v>
      </c>
      <c r="H77" s="37" t="s">
        <v>14</v>
      </c>
      <c r="I77" s="38">
        <v>4000000</v>
      </c>
      <c r="J77" s="37" t="s">
        <v>402</v>
      </c>
      <c r="K77" s="36" t="s">
        <v>2181</v>
      </c>
    </row>
    <row r="78" spans="1:11">
      <c r="A78" s="36" t="s">
        <v>2194</v>
      </c>
      <c r="B78" s="39" t="s">
        <v>2195</v>
      </c>
      <c r="C78" s="36" t="s">
        <v>2172</v>
      </c>
      <c r="D78" s="36" t="s">
        <v>133</v>
      </c>
      <c r="E78" s="37" t="s">
        <v>17</v>
      </c>
      <c r="F78" s="36" t="s">
        <v>2173</v>
      </c>
      <c r="G78" s="36" t="s">
        <v>2173</v>
      </c>
      <c r="H78" s="37" t="s">
        <v>14</v>
      </c>
      <c r="I78" s="38">
        <v>48000000</v>
      </c>
      <c r="J78" s="37" t="s">
        <v>402</v>
      </c>
      <c r="K78" s="36" t="s">
        <v>22</v>
      </c>
    </row>
    <row r="79" spans="1:11">
      <c r="A79" s="36" t="s">
        <v>2196</v>
      </c>
      <c r="B79" s="39" t="s">
        <v>2197</v>
      </c>
      <c r="C79" s="36" t="s">
        <v>2172</v>
      </c>
      <c r="D79" s="36" t="s">
        <v>133</v>
      </c>
      <c r="E79" s="37" t="s">
        <v>17</v>
      </c>
      <c r="F79" s="36" t="s">
        <v>2173</v>
      </c>
      <c r="G79" s="36" t="s">
        <v>2173</v>
      </c>
      <c r="H79" s="37" t="s">
        <v>14</v>
      </c>
      <c r="I79" s="38">
        <v>2000000</v>
      </c>
      <c r="J79" s="37" t="s">
        <v>402</v>
      </c>
      <c r="K79" s="36" t="s">
        <v>2181</v>
      </c>
    </row>
    <row r="80" spans="1:11">
      <c r="A80" s="36" t="s">
        <v>2198</v>
      </c>
      <c r="B80" s="39" t="s">
        <v>2199</v>
      </c>
      <c r="C80" s="36" t="s">
        <v>2172</v>
      </c>
      <c r="D80" s="36" t="s">
        <v>133</v>
      </c>
      <c r="E80" s="37" t="s">
        <v>17</v>
      </c>
      <c r="F80" s="36" t="s">
        <v>2173</v>
      </c>
      <c r="G80" s="36" t="s">
        <v>2173</v>
      </c>
      <c r="H80" s="37" t="s">
        <v>14</v>
      </c>
      <c r="I80" s="38">
        <v>10000000</v>
      </c>
      <c r="J80" s="37" t="s">
        <v>402</v>
      </c>
      <c r="K80" s="36" t="s">
        <v>22</v>
      </c>
    </row>
    <row r="81" spans="1:11">
      <c r="A81" s="36" t="s">
        <v>2200</v>
      </c>
      <c r="B81" s="39" t="s">
        <v>2201</v>
      </c>
      <c r="C81" s="36" t="s">
        <v>2172</v>
      </c>
      <c r="D81" s="36" t="s">
        <v>133</v>
      </c>
      <c r="E81" s="37" t="s">
        <v>17</v>
      </c>
      <c r="F81" s="36" t="s">
        <v>2173</v>
      </c>
      <c r="G81" s="36" t="s">
        <v>2173</v>
      </c>
      <c r="H81" s="37" t="s">
        <v>14</v>
      </c>
      <c r="I81" s="38">
        <v>8000000</v>
      </c>
      <c r="J81" s="37" t="s">
        <v>402</v>
      </c>
      <c r="K81" s="36" t="s">
        <v>2181</v>
      </c>
    </row>
    <row r="82" spans="1:11">
      <c r="A82" s="36" t="s">
        <v>2202</v>
      </c>
      <c r="B82" s="39" t="s">
        <v>2203</v>
      </c>
      <c r="C82" s="36" t="s">
        <v>2172</v>
      </c>
      <c r="D82" s="36" t="s">
        <v>133</v>
      </c>
      <c r="E82" s="37" t="s">
        <v>17</v>
      </c>
      <c r="F82" s="36" t="s">
        <v>2173</v>
      </c>
      <c r="G82" s="36" t="s">
        <v>2173</v>
      </c>
      <c r="H82" s="37" t="s">
        <v>14</v>
      </c>
      <c r="I82" s="38">
        <v>90000000</v>
      </c>
      <c r="J82" s="37" t="s">
        <v>402</v>
      </c>
      <c r="K82" s="36" t="s">
        <v>22</v>
      </c>
    </row>
    <row r="83" spans="1:11">
      <c r="A83" s="36" t="s">
        <v>2204</v>
      </c>
      <c r="B83" s="39" t="s">
        <v>2205</v>
      </c>
      <c r="C83" s="36" t="s">
        <v>2172</v>
      </c>
      <c r="D83" s="36" t="s">
        <v>133</v>
      </c>
      <c r="E83" s="37" t="s">
        <v>17</v>
      </c>
      <c r="F83" s="36" t="s">
        <v>2173</v>
      </c>
      <c r="G83" s="36" t="s">
        <v>2173</v>
      </c>
      <c r="H83" s="37" t="s">
        <v>14</v>
      </c>
      <c r="I83" s="38">
        <v>75000</v>
      </c>
      <c r="J83" s="37" t="s">
        <v>402</v>
      </c>
      <c r="K83" s="36" t="s">
        <v>2181</v>
      </c>
    </row>
    <row r="84" spans="1:11">
      <c r="A84" s="36" t="s">
        <v>2206</v>
      </c>
      <c r="B84" s="39" t="s">
        <v>2207</v>
      </c>
      <c r="C84" s="36" t="s">
        <v>2172</v>
      </c>
      <c r="D84" s="36" t="s">
        <v>133</v>
      </c>
      <c r="E84" s="37" t="s">
        <v>17</v>
      </c>
      <c r="F84" s="36" t="s">
        <v>2173</v>
      </c>
      <c r="G84" s="36" t="s">
        <v>2173</v>
      </c>
      <c r="H84" s="37" t="s">
        <v>14</v>
      </c>
      <c r="I84" s="38">
        <v>900000</v>
      </c>
      <c r="J84" s="37" t="s">
        <v>402</v>
      </c>
      <c r="K84" s="36" t="s">
        <v>22</v>
      </c>
    </row>
    <row r="85" spans="1:11">
      <c r="A85" s="40" t="s">
        <v>2208</v>
      </c>
      <c r="B85" s="39" t="s">
        <v>2209</v>
      </c>
      <c r="C85" s="36" t="s">
        <v>2172</v>
      </c>
      <c r="D85" s="36" t="s">
        <v>133</v>
      </c>
      <c r="E85" s="37" t="s">
        <v>17</v>
      </c>
      <c r="F85" s="36" t="s">
        <v>2173</v>
      </c>
      <c r="G85" s="36" t="s">
        <v>2173</v>
      </c>
      <c r="H85" s="37" t="s">
        <v>14</v>
      </c>
      <c r="I85" s="38">
        <v>28000000</v>
      </c>
      <c r="J85" s="37" t="s">
        <v>216</v>
      </c>
      <c r="K85" s="36" t="s">
        <v>2174</v>
      </c>
    </row>
    <row r="86" spans="1:11">
      <c r="A86" s="40" t="s">
        <v>2210</v>
      </c>
      <c r="B86" s="39" t="s">
        <v>2211</v>
      </c>
      <c r="C86" s="36" t="s">
        <v>2172</v>
      </c>
      <c r="D86" s="36" t="s">
        <v>133</v>
      </c>
      <c r="E86" s="37" t="s">
        <v>17</v>
      </c>
      <c r="F86" s="36" t="s">
        <v>2173</v>
      </c>
      <c r="G86" s="36" t="s">
        <v>2173</v>
      </c>
      <c r="H86" s="37" t="s">
        <v>14</v>
      </c>
      <c r="I86" s="38">
        <v>2500000</v>
      </c>
      <c r="J86" s="37" t="s">
        <v>216</v>
      </c>
      <c r="K86" s="36" t="s">
        <v>2174</v>
      </c>
    </row>
    <row r="87" spans="1:11">
      <c r="A87" s="40" t="s">
        <v>2212</v>
      </c>
      <c r="B87" s="39" t="s">
        <v>2197</v>
      </c>
      <c r="C87" s="36" t="s">
        <v>2172</v>
      </c>
      <c r="D87" s="36" t="s">
        <v>133</v>
      </c>
      <c r="E87" s="37" t="s">
        <v>17</v>
      </c>
      <c r="F87" s="36" t="s">
        <v>2173</v>
      </c>
      <c r="G87" s="36" t="s">
        <v>2173</v>
      </c>
      <c r="H87" s="37" t="s">
        <v>14</v>
      </c>
      <c r="I87" s="38">
        <v>3000000</v>
      </c>
      <c r="J87" s="37" t="s">
        <v>402</v>
      </c>
      <c r="K87" s="36" t="s">
        <v>2181</v>
      </c>
    </row>
    <row r="88" spans="1:11">
      <c r="A88" s="40" t="s">
        <v>2213</v>
      </c>
      <c r="B88" s="39" t="s">
        <v>2214</v>
      </c>
      <c r="C88" s="36" t="s">
        <v>2172</v>
      </c>
      <c r="D88" s="36" t="s">
        <v>133</v>
      </c>
      <c r="E88" s="37" t="s">
        <v>17</v>
      </c>
      <c r="F88" s="36" t="s">
        <v>2173</v>
      </c>
      <c r="G88" s="36" t="s">
        <v>2173</v>
      </c>
      <c r="H88" s="37" t="s">
        <v>14</v>
      </c>
      <c r="I88" s="38">
        <v>9000000</v>
      </c>
      <c r="J88" s="37" t="s">
        <v>402</v>
      </c>
      <c r="K88" s="36" t="s">
        <v>22</v>
      </c>
    </row>
    <row r="89" spans="1:11">
      <c r="A89" s="40" t="s">
        <v>2215</v>
      </c>
      <c r="B89" s="39" t="s">
        <v>2199</v>
      </c>
      <c r="C89" s="36" t="s">
        <v>2172</v>
      </c>
      <c r="D89" s="36" t="s">
        <v>133</v>
      </c>
      <c r="E89" s="37" t="s">
        <v>17</v>
      </c>
      <c r="F89" s="36" t="s">
        <v>2173</v>
      </c>
      <c r="G89" s="36" t="s">
        <v>2173</v>
      </c>
      <c r="H89" s="37" t="s">
        <v>14</v>
      </c>
      <c r="I89" s="38">
        <v>15000000</v>
      </c>
      <c r="J89" s="37" t="s">
        <v>402</v>
      </c>
      <c r="K89" s="36" t="s">
        <v>22</v>
      </c>
    </row>
    <row r="90" spans="1:11">
      <c r="A90" s="36" t="s">
        <v>2216</v>
      </c>
      <c r="B90" s="39" t="s">
        <v>2217</v>
      </c>
      <c r="C90" s="36" t="s">
        <v>2172</v>
      </c>
      <c r="D90" s="36" t="s">
        <v>133</v>
      </c>
      <c r="E90" s="37" t="s">
        <v>17</v>
      </c>
      <c r="F90" s="36" t="s">
        <v>2173</v>
      </c>
      <c r="G90" s="36" t="s">
        <v>2173</v>
      </c>
      <c r="H90" s="37" t="s">
        <v>14</v>
      </c>
      <c r="I90" s="38">
        <v>96000000</v>
      </c>
      <c r="J90" s="37" t="s">
        <v>402</v>
      </c>
      <c r="K90" s="36" t="s">
        <v>22</v>
      </c>
    </row>
    <row r="91" spans="1:11">
      <c r="A91" s="36" t="s">
        <v>2218</v>
      </c>
      <c r="B91" s="39" t="s">
        <v>2219</v>
      </c>
      <c r="C91" s="36" t="s">
        <v>2172</v>
      </c>
      <c r="D91" s="36" t="s">
        <v>133</v>
      </c>
      <c r="E91" s="37" t="s">
        <v>17</v>
      </c>
      <c r="F91" s="36" t="s">
        <v>2173</v>
      </c>
      <c r="G91" s="36" t="s">
        <v>2173</v>
      </c>
      <c r="H91" s="37" t="s">
        <v>14</v>
      </c>
      <c r="I91" s="38">
        <v>960000</v>
      </c>
      <c r="J91" s="37" t="s">
        <v>402</v>
      </c>
      <c r="K91" s="36" t="s">
        <v>22</v>
      </c>
    </row>
    <row r="92" spans="1:11">
      <c r="A92" s="36" t="s">
        <v>2220</v>
      </c>
      <c r="B92" s="39" t="s">
        <v>2221</v>
      </c>
      <c r="C92" s="36" t="s">
        <v>2172</v>
      </c>
      <c r="D92" s="36" t="s">
        <v>133</v>
      </c>
      <c r="E92" s="37" t="s">
        <v>17</v>
      </c>
      <c r="F92" s="36" t="s">
        <v>2173</v>
      </c>
      <c r="G92" s="36" t="s">
        <v>2173</v>
      </c>
      <c r="H92" s="37" t="s">
        <v>14</v>
      </c>
      <c r="I92" s="38">
        <v>2900000</v>
      </c>
      <c r="J92" s="37" t="s">
        <v>402</v>
      </c>
      <c r="K92" s="36" t="s">
        <v>2181</v>
      </c>
    </row>
    <row r="93" spans="1:11">
      <c r="A93" s="27" t="s">
        <v>2222</v>
      </c>
      <c r="B93" s="41" t="s">
        <v>2223</v>
      </c>
      <c r="C93" s="27" t="s">
        <v>2172</v>
      </c>
      <c r="D93" s="27" t="s">
        <v>133</v>
      </c>
      <c r="E93" s="28" t="s">
        <v>17</v>
      </c>
      <c r="F93" s="27" t="s">
        <v>2173</v>
      </c>
      <c r="G93" s="27" t="s">
        <v>2173</v>
      </c>
      <c r="H93" s="28" t="s">
        <v>14</v>
      </c>
      <c r="I93" s="29">
        <v>34800000</v>
      </c>
      <c r="J93" s="28" t="s">
        <v>402</v>
      </c>
      <c r="K93" s="27" t="s">
        <v>22</v>
      </c>
    </row>
    <row r="94" spans="1:11">
      <c r="A94" s="27" t="s">
        <v>2224</v>
      </c>
      <c r="B94" s="41" t="s">
        <v>2225</v>
      </c>
      <c r="C94" s="27" t="s">
        <v>2172</v>
      </c>
      <c r="D94" s="27" t="s">
        <v>133</v>
      </c>
      <c r="E94" s="28" t="s">
        <v>17</v>
      </c>
      <c r="F94" s="27" t="s">
        <v>2173</v>
      </c>
      <c r="G94" s="27" t="s">
        <v>2173</v>
      </c>
      <c r="H94" s="28" t="s">
        <v>14</v>
      </c>
      <c r="I94" s="29">
        <v>90000000</v>
      </c>
      <c r="J94" s="28" t="s">
        <v>216</v>
      </c>
      <c r="K94" s="27" t="s">
        <v>2174</v>
      </c>
    </row>
    <row r="95" spans="1:11">
      <c r="A95" s="27" t="s">
        <v>2226</v>
      </c>
      <c r="B95" s="41" t="s">
        <v>2227</v>
      </c>
      <c r="C95" s="27" t="s">
        <v>2172</v>
      </c>
      <c r="D95" s="27" t="s">
        <v>133</v>
      </c>
      <c r="E95" s="28" t="s">
        <v>17</v>
      </c>
      <c r="F95" s="27" t="s">
        <v>2173</v>
      </c>
      <c r="G95" s="27" t="s">
        <v>2173</v>
      </c>
      <c r="H95" s="28" t="s">
        <v>14</v>
      </c>
      <c r="I95" s="29">
        <v>900000</v>
      </c>
      <c r="J95" s="28" t="s">
        <v>216</v>
      </c>
      <c r="K95" s="27" t="s">
        <v>2174</v>
      </c>
    </row>
    <row r="96" spans="1:11">
      <c r="A96" s="27" t="s">
        <v>2226</v>
      </c>
      <c r="B96" s="41" t="s">
        <v>2228</v>
      </c>
      <c r="C96" s="27" t="s">
        <v>2172</v>
      </c>
      <c r="D96" s="27" t="s">
        <v>133</v>
      </c>
      <c r="E96" s="28" t="s">
        <v>17</v>
      </c>
      <c r="F96" s="27" t="s">
        <v>2173</v>
      </c>
      <c r="G96" s="27" t="s">
        <v>2173</v>
      </c>
      <c r="H96" s="28" t="s">
        <v>14</v>
      </c>
      <c r="I96" s="29">
        <v>27000000</v>
      </c>
      <c r="J96" s="28" t="s">
        <v>216</v>
      </c>
      <c r="K96" s="27" t="s">
        <v>22</v>
      </c>
    </row>
    <row r="97" spans="1:11">
      <c r="A97" s="27" t="s">
        <v>2229</v>
      </c>
      <c r="B97" s="41" t="s">
        <v>2197</v>
      </c>
      <c r="C97" s="27" t="s">
        <v>2172</v>
      </c>
      <c r="D97" s="27" t="s">
        <v>133</v>
      </c>
      <c r="E97" s="28" t="s">
        <v>17</v>
      </c>
      <c r="F97" s="27" t="s">
        <v>2173</v>
      </c>
      <c r="G97" s="27" t="s">
        <v>2173</v>
      </c>
      <c r="H97" s="28" t="s">
        <v>14</v>
      </c>
      <c r="I97" s="29">
        <v>2000000</v>
      </c>
      <c r="J97" s="28" t="s">
        <v>402</v>
      </c>
      <c r="K97" s="27" t="s">
        <v>2181</v>
      </c>
    </row>
    <row r="98" spans="1:11">
      <c r="A98" s="27" t="s">
        <v>2230</v>
      </c>
      <c r="B98" s="41" t="s">
        <v>2199</v>
      </c>
      <c r="C98" s="27" t="s">
        <v>2172</v>
      </c>
      <c r="D98" s="27" t="s">
        <v>133</v>
      </c>
      <c r="E98" s="28" t="s">
        <v>17</v>
      </c>
      <c r="F98" s="27" t="s">
        <v>2173</v>
      </c>
      <c r="G98" s="27" t="s">
        <v>2173</v>
      </c>
      <c r="H98" s="28" t="s">
        <v>14</v>
      </c>
      <c r="I98" s="29">
        <v>10000000</v>
      </c>
      <c r="J98" s="28" t="s">
        <v>402</v>
      </c>
      <c r="K98" s="27" t="s">
        <v>22</v>
      </c>
    </row>
    <row r="99" spans="1:11">
      <c r="A99" s="27" t="s">
        <v>2231</v>
      </c>
      <c r="B99" s="41" t="s">
        <v>2232</v>
      </c>
      <c r="C99" s="27" t="s">
        <v>2172</v>
      </c>
      <c r="D99" s="27" t="s">
        <v>133</v>
      </c>
      <c r="E99" s="28" t="s">
        <v>17</v>
      </c>
      <c r="F99" s="27" t="s">
        <v>2173</v>
      </c>
      <c r="G99" s="27" t="s">
        <v>2173</v>
      </c>
      <c r="H99" s="28" t="s">
        <v>14</v>
      </c>
      <c r="I99" s="29">
        <v>3000000</v>
      </c>
      <c r="J99" s="28" t="s">
        <v>402</v>
      </c>
      <c r="K99" s="27" t="s">
        <v>2181</v>
      </c>
    </row>
    <row r="100" spans="1:11">
      <c r="A100" s="27" t="s">
        <v>2233</v>
      </c>
      <c r="B100" s="41" t="s">
        <v>2234</v>
      </c>
      <c r="C100" s="27" t="s">
        <v>2172</v>
      </c>
      <c r="D100" s="27" t="s">
        <v>133</v>
      </c>
      <c r="E100" s="28" t="s">
        <v>17</v>
      </c>
      <c r="F100" s="27" t="s">
        <v>2173</v>
      </c>
      <c r="G100" s="27" t="s">
        <v>2173</v>
      </c>
      <c r="H100" s="28" t="s">
        <v>14</v>
      </c>
      <c r="I100" s="29">
        <v>36000000</v>
      </c>
      <c r="J100" s="28" t="s">
        <v>402</v>
      </c>
      <c r="K100" s="27" t="s">
        <v>22</v>
      </c>
    </row>
    <row r="101" spans="1:11">
      <c r="A101" s="27" t="s">
        <v>2235</v>
      </c>
      <c r="B101" s="41" t="s">
        <v>2197</v>
      </c>
      <c r="C101" s="27" t="s">
        <v>2172</v>
      </c>
      <c r="D101" s="27" t="s">
        <v>133</v>
      </c>
      <c r="E101" s="28" t="s">
        <v>17</v>
      </c>
      <c r="F101" s="27" t="s">
        <v>2173</v>
      </c>
      <c r="G101" s="27" t="s">
        <v>2173</v>
      </c>
      <c r="H101" s="28" t="s">
        <v>14</v>
      </c>
      <c r="I101" s="29">
        <v>2000000</v>
      </c>
      <c r="J101" s="28" t="s">
        <v>402</v>
      </c>
      <c r="K101" s="27" t="s">
        <v>2181</v>
      </c>
    </row>
    <row r="102" spans="1:11">
      <c r="A102" s="36" t="s">
        <v>2236</v>
      </c>
      <c r="B102" s="39" t="s">
        <v>2199</v>
      </c>
      <c r="C102" s="36" t="s">
        <v>2172</v>
      </c>
      <c r="D102" s="36" t="s">
        <v>133</v>
      </c>
      <c r="E102" s="37" t="s">
        <v>17</v>
      </c>
      <c r="F102" s="36" t="s">
        <v>2173</v>
      </c>
      <c r="G102" s="36" t="s">
        <v>2173</v>
      </c>
      <c r="H102" s="37" t="s">
        <v>14</v>
      </c>
      <c r="I102" s="38">
        <v>10000000</v>
      </c>
      <c r="J102" s="37" t="s">
        <v>402</v>
      </c>
      <c r="K102" s="36" t="s">
        <v>22</v>
      </c>
    </row>
    <row r="103" spans="1:11">
      <c r="A103" s="36" t="s">
        <v>2237</v>
      </c>
      <c r="B103" s="39" t="s">
        <v>2238</v>
      </c>
      <c r="C103" s="36" t="s">
        <v>2172</v>
      </c>
      <c r="D103" s="36" t="s">
        <v>133</v>
      </c>
      <c r="E103" s="37" t="s">
        <v>17</v>
      </c>
      <c r="F103" s="36" t="s">
        <v>2173</v>
      </c>
      <c r="G103" s="36" t="s">
        <v>2173</v>
      </c>
      <c r="H103" s="37" t="s">
        <v>14</v>
      </c>
      <c r="I103" s="38">
        <v>84000000</v>
      </c>
      <c r="J103" s="37" t="s">
        <v>402</v>
      </c>
      <c r="K103" s="36" t="s">
        <v>22</v>
      </c>
    </row>
    <row r="104" spans="1:11">
      <c r="A104" s="36" t="s">
        <v>2239</v>
      </c>
      <c r="B104" s="39" t="s">
        <v>2240</v>
      </c>
      <c r="C104" s="36" t="s">
        <v>2172</v>
      </c>
      <c r="D104" s="36" t="s">
        <v>133</v>
      </c>
      <c r="E104" s="37" t="s">
        <v>17</v>
      </c>
      <c r="F104" s="36" t="s">
        <v>2173</v>
      </c>
      <c r="G104" s="36" t="s">
        <v>2173</v>
      </c>
      <c r="H104" s="37" t="s">
        <v>14</v>
      </c>
      <c r="I104" s="38">
        <v>1000000</v>
      </c>
      <c r="J104" s="37" t="s">
        <v>402</v>
      </c>
      <c r="K104" s="36" t="s">
        <v>22</v>
      </c>
    </row>
    <row r="105" spans="1:11">
      <c r="A105" s="36" t="s">
        <v>2241</v>
      </c>
      <c r="B105" s="39" t="s">
        <v>2242</v>
      </c>
      <c r="C105" s="36" t="s">
        <v>2172</v>
      </c>
      <c r="D105" s="36" t="s">
        <v>133</v>
      </c>
      <c r="E105" s="37" t="s">
        <v>17</v>
      </c>
      <c r="F105" s="36" t="s">
        <v>2173</v>
      </c>
      <c r="G105" s="36" t="s">
        <v>2173</v>
      </c>
      <c r="H105" s="37" t="s">
        <v>14</v>
      </c>
      <c r="I105" s="38">
        <v>25000000</v>
      </c>
      <c r="J105" s="37" t="s">
        <v>216</v>
      </c>
      <c r="K105" s="36" t="s">
        <v>2243</v>
      </c>
    </row>
    <row r="106" spans="1:11">
      <c r="A106" s="36" t="s">
        <v>2241</v>
      </c>
      <c r="B106" s="39" t="s">
        <v>2244</v>
      </c>
      <c r="C106" s="36" t="s">
        <v>2172</v>
      </c>
      <c r="D106" s="36" t="s">
        <v>133</v>
      </c>
      <c r="E106" s="37" t="s">
        <v>17</v>
      </c>
      <c r="F106" s="36" t="s">
        <v>2173</v>
      </c>
      <c r="G106" s="36" t="s">
        <v>2173</v>
      </c>
      <c r="H106" s="37" t="s">
        <v>14</v>
      </c>
      <c r="I106" s="38">
        <v>2500000</v>
      </c>
      <c r="J106" s="37" t="s">
        <v>216</v>
      </c>
      <c r="K106" s="36" t="s">
        <v>2243</v>
      </c>
    </row>
    <row r="107" spans="1:11">
      <c r="A107" s="36" t="s">
        <v>2245</v>
      </c>
      <c r="B107" s="39" t="s">
        <v>2246</v>
      </c>
      <c r="C107" s="36" t="s">
        <v>2172</v>
      </c>
      <c r="D107" s="36" t="s">
        <v>133</v>
      </c>
      <c r="E107" s="37" t="s">
        <v>17</v>
      </c>
      <c r="F107" s="36" t="s">
        <v>2173</v>
      </c>
      <c r="G107" s="36" t="s">
        <v>2173</v>
      </c>
      <c r="H107" s="37" t="s">
        <v>14</v>
      </c>
      <c r="I107" s="38">
        <v>12500000</v>
      </c>
      <c r="J107" s="37" t="s">
        <v>402</v>
      </c>
      <c r="K107" s="36" t="s">
        <v>2181</v>
      </c>
    </row>
    <row r="108" spans="1:11">
      <c r="A108" s="36" t="s">
        <v>2247</v>
      </c>
      <c r="B108" s="39" t="s">
        <v>2248</v>
      </c>
      <c r="C108" s="36" t="s">
        <v>2172</v>
      </c>
      <c r="D108" s="36" t="s">
        <v>133</v>
      </c>
      <c r="E108" s="37" t="s">
        <v>17</v>
      </c>
      <c r="F108" s="36" t="s">
        <v>2173</v>
      </c>
      <c r="G108" s="36" t="s">
        <v>2173</v>
      </c>
      <c r="H108" s="37" t="s">
        <v>14</v>
      </c>
      <c r="I108" s="38">
        <v>150000000</v>
      </c>
      <c r="J108" s="37" t="s">
        <v>402</v>
      </c>
      <c r="K108" s="36" t="s">
        <v>22</v>
      </c>
    </row>
    <row r="109" spans="1:11">
      <c r="A109" s="36" t="s">
        <v>2249</v>
      </c>
      <c r="B109" s="39" t="s">
        <v>2250</v>
      </c>
      <c r="C109" s="36" t="s">
        <v>2172</v>
      </c>
      <c r="D109" s="36" t="s">
        <v>133</v>
      </c>
      <c r="E109" s="37" t="s">
        <v>17</v>
      </c>
      <c r="F109" s="36" t="s">
        <v>2173</v>
      </c>
      <c r="G109" s="36" t="s">
        <v>2173</v>
      </c>
      <c r="H109" s="37" t="s">
        <v>14</v>
      </c>
      <c r="I109" s="38">
        <v>125000</v>
      </c>
      <c r="J109" s="37" t="s">
        <v>402</v>
      </c>
      <c r="K109" s="36" t="s">
        <v>2181</v>
      </c>
    </row>
    <row r="110" spans="1:11">
      <c r="A110" s="36" t="s">
        <v>2251</v>
      </c>
      <c r="B110" s="39" t="s">
        <v>2252</v>
      </c>
      <c r="C110" s="36" t="s">
        <v>2172</v>
      </c>
      <c r="D110" s="36" t="s">
        <v>133</v>
      </c>
      <c r="E110" s="37" t="s">
        <v>17</v>
      </c>
      <c r="F110" s="36" t="s">
        <v>2173</v>
      </c>
      <c r="G110" s="36" t="s">
        <v>2173</v>
      </c>
      <c r="H110" s="37" t="s">
        <v>14</v>
      </c>
      <c r="I110" s="38">
        <v>1500000</v>
      </c>
      <c r="J110" s="37" t="s">
        <v>402</v>
      </c>
      <c r="K110" s="36" t="s">
        <v>22</v>
      </c>
    </row>
    <row r="111" spans="1:11">
      <c r="A111" s="36" t="s">
        <v>2253</v>
      </c>
      <c r="B111" s="39" t="s">
        <v>2254</v>
      </c>
      <c r="C111" s="36" t="s">
        <v>2172</v>
      </c>
      <c r="D111" s="36" t="s">
        <v>133</v>
      </c>
      <c r="E111" s="37" t="s">
        <v>17</v>
      </c>
      <c r="F111" s="36" t="s">
        <v>2173</v>
      </c>
      <c r="G111" s="36" t="s">
        <v>2173</v>
      </c>
      <c r="H111" s="37" t="s">
        <v>14</v>
      </c>
      <c r="I111" s="38">
        <v>10000000</v>
      </c>
      <c r="J111" s="37" t="s">
        <v>402</v>
      </c>
      <c r="K111" s="36" t="s">
        <v>2181</v>
      </c>
    </row>
    <row r="112" spans="1:11">
      <c r="A112" s="36" t="s">
        <v>2255</v>
      </c>
      <c r="B112" s="39" t="s">
        <v>2256</v>
      </c>
      <c r="C112" s="36" t="s">
        <v>2172</v>
      </c>
      <c r="D112" s="36" t="s">
        <v>133</v>
      </c>
      <c r="E112" s="37" t="s">
        <v>17</v>
      </c>
      <c r="F112" s="36" t="s">
        <v>2173</v>
      </c>
      <c r="G112" s="36" t="s">
        <v>2173</v>
      </c>
      <c r="H112" s="37" t="s">
        <v>14</v>
      </c>
      <c r="I112" s="38">
        <v>120000000</v>
      </c>
      <c r="J112" s="37" t="s">
        <v>402</v>
      </c>
      <c r="K112" s="36" t="s">
        <v>22</v>
      </c>
    </row>
    <row r="113" spans="1:11">
      <c r="A113" s="36" t="s">
        <v>2257</v>
      </c>
      <c r="B113" s="39" t="s">
        <v>2258</v>
      </c>
      <c r="C113" s="36" t="s">
        <v>2172</v>
      </c>
      <c r="D113" s="36" t="s">
        <v>133</v>
      </c>
      <c r="E113" s="37" t="s">
        <v>17</v>
      </c>
      <c r="F113" s="36" t="s">
        <v>2173</v>
      </c>
      <c r="G113" s="36" t="s">
        <v>2173</v>
      </c>
      <c r="H113" s="37" t="s">
        <v>14</v>
      </c>
      <c r="I113" s="38">
        <v>125000</v>
      </c>
      <c r="J113" s="37" t="s">
        <v>402</v>
      </c>
      <c r="K113" s="36" t="s">
        <v>2181</v>
      </c>
    </row>
    <row r="114" spans="1:11">
      <c r="A114" s="36" t="s">
        <v>2259</v>
      </c>
      <c r="B114" s="39" t="s">
        <v>2260</v>
      </c>
      <c r="C114" s="36" t="s">
        <v>2172</v>
      </c>
      <c r="D114" s="36" t="s">
        <v>133</v>
      </c>
      <c r="E114" s="37" t="s">
        <v>17</v>
      </c>
      <c r="F114" s="36" t="s">
        <v>2173</v>
      </c>
      <c r="G114" s="36" t="s">
        <v>2173</v>
      </c>
      <c r="H114" s="37" t="s">
        <v>14</v>
      </c>
      <c r="I114" s="38">
        <v>1500000</v>
      </c>
      <c r="J114" s="37" t="s">
        <v>402</v>
      </c>
      <c r="K114" s="36" t="s">
        <v>22</v>
      </c>
    </row>
    <row r="116" spans="1:11" ht="15" customHeight="1">
      <c r="B116" s="42"/>
      <c r="C116" s="285" t="s">
        <v>2261</v>
      </c>
      <c r="D116" s="285"/>
      <c r="E116" s="285"/>
    </row>
    <row r="117" spans="1:11" ht="14.4" customHeight="1">
      <c r="B117" s="43" t="s">
        <v>2262</v>
      </c>
      <c r="C117" s="286" t="s">
        <v>2263</v>
      </c>
      <c r="D117" s="286"/>
      <c r="E117" s="286"/>
    </row>
    <row r="118" spans="1:11" ht="145.25" customHeight="1">
      <c r="B118" s="43" t="s">
        <v>2264</v>
      </c>
      <c r="C118" s="287"/>
      <c r="D118" s="287"/>
      <c r="E118" s="287"/>
    </row>
    <row r="119" spans="1:11" ht="15" customHeight="1">
      <c r="B119" s="286" t="s">
        <v>2265</v>
      </c>
      <c r="C119" s="288" t="s">
        <v>2266</v>
      </c>
      <c r="D119" s="288"/>
      <c r="E119" s="288"/>
    </row>
    <row r="120" spans="1:11">
      <c r="B120" s="286"/>
      <c r="C120" s="288" t="s">
        <v>2440</v>
      </c>
      <c r="D120" s="288"/>
      <c r="E120" s="288"/>
    </row>
    <row r="121" spans="1:11">
      <c r="B121" s="286"/>
      <c r="C121" s="288" t="s">
        <v>2441</v>
      </c>
      <c r="D121" s="288"/>
      <c r="E121" s="288"/>
    </row>
    <row r="122" spans="1:11">
      <c r="B122" s="286"/>
      <c r="C122" s="288" t="s">
        <v>2267</v>
      </c>
      <c r="D122" s="288"/>
      <c r="E122" s="288"/>
    </row>
    <row r="123" spans="1:11">
      <c r="B123" s="286"/>
      <c r="C123" s="288" t="s">
        <v>2268</v>
      </c>
      <c r="D123" s="288"/>
      <c r="E123" s="288"/>
    </row>
    <row r="124" spans="1:11">
      <c r="B124" s="286"/>
      <c r="C124" s="288" t="s">
        <v>2269</v>
      </c>
      <c r="D124" s="288"/>
      <c r="E124" s="288"/>
    </row>
    <row r="125" spans="1:11">
      <c r="B125" s="286"/>
      <c r="C125" s="288" t="s">
        <v>2270</v>
      </c>
      <c r="D125" s="288"/>
      <c r="E125" s="288"/>
    </row>
    <row r="126" spans="1:11">
      <c r="B126" s="286"/>
      <c r="C126" s="288" t="s">
        <v>2271</v>
      </c>
      <c r="D126" s="288"/>
      <c r="E126" s="288"/>
    </row>
    <row r="127" spans="1:11" ht="30.65" customHeight="1">
      <c r="B127" s="284" t="s">
        <v>2272</v>
      </c>
      <c r="C127" s="284"/>
      <c r="D127" s="284"/>
      <c r="E127" s="284"/>
    </row>
    <row r="128" spans="1:11">
      <c r="B128" s="43" t="s">
        <v>2273</v>
      </c>
      <c r="C128" s="288" t="s">
        <v>2274</v>
      </c>
      <c r="D128" s="288"/>
      <c r="E128" s="288"/>
    </row>
    <row r="129" spans="1:5" ht="14.4" customHeight="1">
      <c r="B129" s="42"/>
      <c r="C129" s="285" t="s">
        <v>2275</v>
      </c>
      <c r="D129" s="285"/>
      <c r="E129" s="285"/>
    </row>
    <row r="130" spans="1:5" ht="39" customHeight="1">
      <c r="B130" s="286" t="s">
        <v>2262</v>
      </c>
      <c r="C130" s="288" t="s">
        <v>2276</v>
      </c>
      <c r="D130" s="288"/>
      <c r="E130" s="288"/>
    </row>
    <row r="131" spans="1:5" ht="53.4" customHeight="1">
      <c r="B131" s="286"/>
      <c r="C131" s="288" t="s">
        <v>2277</v>
      </c>
      <c r="D131" s="288"/>
      <c r="E131" s="288"/>
    </row>
    <row r="132" spans="1:5">
      <c r="B132" s="286" t="s">
        <v>2265</v>
      </c>
      <c r="C132" s="288" t="s">
        <v>2278</v>
      </c>
      <c r="D132" s="288"/>
      <c r="E132" s="288"/>
    </row>
    <row r="133" spans="1:5">
      <c r="B133" s="286"/>
      <c r="C133" s="288" t="s">
        <v>2279</v>
      </c>
      <c r="D133" s="288"/>
      <c r="E133" s="288"/>
    </row>
    <row r="134" spans="1:5">
      <c r="B134" s="286"/>
      <c r="C134" s="288" t="s">
        <v>2280</v>
      </c>
      <c r="D134" s="288"/>
      <c r="E134" s="288"/>
    </row>
    <row r="135" spans="1:5">
      <c r="B135" s="286"/>
      <c r="C135" s="288" t="s">
        <v>2281</v>
      </c>
      <c r="D135" s="288"/>
      <c r="E135" s="288"/>
    </row>
    <row r="136" spans="1:5" ht="14.4" customHeight="1">
      <c r="B136" s="286"/>
      <c r="C136" s="288" t="s">
        <v>2282</v>
      </c>
      <c r="D136" s="288"/>
      <c r="E136" s="288"/>
    </row>
    <row r="137" spans="1:5" ht="41.4" customHeight="1">
      <c r="B137" s="43" t="s">
        <v>2283</v>
      </c>
      <c r="C137" s="288" t="s">
        <v>2284</v>
      </c>
      <c r="D137" s="288"/>
      <c r="E137" s="288"/>
    </row>
    <row r="139" spans="1:5" ht="15" thickBot="1"/>
    <row r="140" spans="1:5" ht="15" thickBot="1">
      <c r="A140" s="44">
        <v>1</v>
      </c>
      <c r="B140" s="45" t="s">
        <v>2285</v>
      </c>
      <c r="C140" s="46" t="s">
        <v>2286</v>
      </c>
    </row>
    <row r="141" spans="1:5" ht="26.5" thickBot="1">
      <c r="A141" s="44"/>
      <c r="B141" s="45" t="s">
        <v>2287</v>
      </c>
      <c r="C141" s="46" t="s">
        <v>634</v>
      </c>
    </row>
    <row r="142" spans="1:5" ht="65">
      <c r="A142" s="44"/>
      <c r="B142" s="289" t="s">
        <v>2288</v>
      </c>
      <c r="C142" s="47" t="s">
        <v>2289</v>
      </c>
    </row>
    <row r="143" spans="1:5">
      <c r="A143" s="44"/>
      <c r="B143" s="290"/>
      <c r="C143" s="48" t="s">
        <v>2290</v>
      </c>
    </row>
    <row r="144" spans="1:5">
      <c r="A144" s="44"/>
      <c r="B144" s="290"/>
      <c r="C144" s="49" t="s">
        <v>2291</v>
      </c>
    </row>
    <row r="145" spans="1:3" ht="26">
      <c r="A145" s="44"/>
      <c r="B145" s="290"/>
      <c r="C145" s="50" t="s">
        <v>2292</v>
      </c>
    </row>
    <row r="146" spans="1:3" ht="39.5" thickBot="1">
      <c r="A146" s="44"/>
      <c r="B146" s="290"/>
      <c r="C146" s="49" t="s">
        <v>2293</v>
      </c>
    </row>
    <row r="147" spans="1:3" ht="26.5" thickBot="1">
      <c r="A147" s="44"/>
      <c r="B147" s="45" t="s">
        <v>2294</v>
      </c>
      <c r="C147" s="46" t="s">
        <v>2295</v>
      </c>
    </row>
    <row r="148" spans="1:3" ht="15" thickBot="1">
      <c r="A148" s="44"/>
      <c r="B148" s="45" t="s">
        <v>2296</v>
      </c>
      <c r="C148" s="46" t="s">
        <v>2297</v>
      </c>
    </row>
    <row r="149" spans="1:3" ht="15" thickBot="1">
      <c r="A149" s="44"/>
      <c r="B149" s="45" t="s">
        <v>2298</v>
      </c>
      <c r="C149" s="46" t="s">
        <v>133</v>
      </c>
    </row>
    <row r="150" spans="1:3">
      <c r="A150" s="44"/>
      <c r="B150" s="51"/>
      <c r="C150" s="51"/>
    </row>
    <row r="151" spans="1:3" ht="15" thickBot="1">
      <c r="A151" s="44"/>
      <c r="B151" s="51"/>
      <c r="C151" s="51"/>
    </row>
    <row r="152" spans="1:3" ht="15" thickBot="1">
      <c r="A152" s="44">
        <v>2</v>
      </c>
      <c r="B152" s="45" t="s">
        <v>2285</v>
      </c>
      <c r="C152" s="46" t="s">
        <v>2299</v>
      </c>
    </row>
    <row r="153" spans="1:3" ht="15" thickBot="1">
      <c r="A153" s="44"/>
      <c r="B153" s="45" t="s">
        <v>2287</v>
      </c>
      <c r="C153" s="46" t="s">
        <v>2300</v>
      </c>
    </row>
    <row r="154" spans="1:3" ht="91">
      <c r="A154" s="44"/>
      <c r="B154" s="292" t="s">
        <v>2288</v>
      </c>
      <c r="C154" s="47" t="s">
        <v>2301</v>
      </c>
    </row>
    <row r="155" spans="1:3" ht="78">
      <c r="A155" s="44"/>
      <c r="B155" s="293"/>
      <c r="C155" s="48" t="s">
        <v>2302</v>
      </c>
    </row>
    <row r="156" spans="1:3" ht="78">
      <c r="A156" s="44"/>
      <c r="B156" s="293"/>
      <c r="C156" s="48" t="s">
        <v>2303</v>
      </c>
    </row>
    <row r="157" spans="1:3" ht="78">
      <c r="A157" s="44"/>
      <c r="B157" s="293"/>
      <c r="C157" s="48" t="s">
        <v>2304</v>
      </c>
    </row>
    <row r="158" spans="1:3" ht="78">
      <c r="A158" s="44"/>
      <c r="B158" s="293"/>
      <c r="C158" s="52" t="s">
        <v>2305</v>
      </c>
    </row>
    <row r="159" spans="1:3" ht="78">
      <c r="A159" s="44"/>
      <c r="B159" s="293"/>
      <c r="C159" s="48" t="s">
        <v>2306</v>
      </c>
    </row>
    <row r="160" spans="1:3" ht="39">
      <c r="A160" s="44"/>
      <c r="B160" s="293"/>
      <c r="C160" s="48" t="s">
        <v>2307</v>
      </c>
    </row>
    <row r="161" spans="1:3" ht="65">
      <c r="A161" s="44"/>
      <c r="B161" s="293"/>
      <c r="C161" s="48" t="s">
        <v>2308</v>
      </c>
    </row>
    <row r="162" spans="1:3" ht="52">
      <c r="A162" s="44"/>
      <c r="B162" s="293"/>
      <c r="C162" s="48" t="s">
        <v>2309</v>
      </c>
    </row>
    <row r="163" spans="1:3" ht="78">
      <c r="A163" s="44"/>
      <c r="B163" s="293"/>
      <c r="C163" s="48" t="s">
        <v>2310</v>
      </c>
    </row>
    <row r="164" spans="1:3" ht="26">
      <c r="A164" s="44"/>
      <c r="B164" s="293"/>
      <c r="C164" s="48" t="s">
        <v>2311</v>
      </c>
    </row>
    <row r="165" spans="1:3">
      <c r="A165" s="44"/>
      <c r="B165" s="293"/>
      <c r="C165" s="48"/>
    </row>
    <row r="166" spans="1:3" ht="104.5" thickBot="1">
      <c r="A166" s="44"/>
      <c r="B166" s="53"/>
      <c r="C166" s="48" t="s">
        <v>2312</v>
      </c>
    </row>
    <row r="167" spans="1:3" ht="247.5" thickBot="1">
      <c r="A167" s="44"/>
      <c r="B167" s="45" t="s">
        <v>2294</v>
      </c>
      <c r="C167" s="46" t="s">
        <v>2313</v>
      </c>
    </row>
    <row r="168" spans="1:3" ht="91.5" thickBot="1">
      <c r="A168" s="44"/>
      <c r="B168" s="45" t="s">
        <v>2296</v>
      </c>
      <c r="C168" s="46" t="s">
        <v>2314</v>
      </c>
    </row>
    <row r="169" spans="1:3" ht="15" thickBot="1">
      <c r="A169" s="44"/>
      <c r="B169" s="45" t="s">
        <v>2298</v>
      </c>
      <c r="C169" s="54" t="s">
        <v>128</v>
      </c>
    </row>
    <row r="170" spans="1:3">
      <c r="A170" s="44"/>
      <c r="B170" s="51"/>
      <c r="C170" s="51"/>
    </row>
    <row r="171" spans="1:3" ht="15" thickBot="1">
      <c r="A171" s="44"/>
      <c r="B171" s="51"/>
      <c r="C171" s="51"/>
    </row>
    <row r="172" spans="1:3" ht="15" thickBot="1">
      <c r="A172" s="44">
        <v>3</v>
      </c>
      <c r="B172" s="45" t="s">
        <v>2285</v>
      </c>
      <c r="C172" s="46" t="s">
        <v>2315</v>
      </c>
    </row>
    <row r="173" spans="1:3" ht="15" thickBot="1">
      <c r="A173" s="44"/>
      <c r="B173" s="45" t="s">
        <v>2287</v>
      </c>
      <c r="C173" s="46" t="s">
        <v>637</v>
      </c>
    </row>
    <row r="174" spans="1:3" ht="130">
      <c r="A174" s="44"/>
      <c r="B174" s="292" t="s">
        <v>2288</v>
      </c>
      <c r="C174" s="47" t="s">
        <v>2316</v>
      </c>
    </row>
    <row r="175" spans="1:3" ht="65">
      <c r="A175" s="44"/>
      <c r="B175" s="293"/>
      <c r="C175" s="48" t="s">
        <v>2317</v>
      </c>
    </row>
    <row r="176" spans="1:3" ht="182">
      <c r="A176" s="44"/>
      <c r="B176" s="293"/>
      <c r="C176" s="48" t="s">
        <v>2318</v>
      </c>
    </row>
    <row r="177" spans="1:3" ht="78">
      <c r="A177" s="44"/>
      <c r="B177" s="293"/>
      <c r="C177" s="48" t="s">
        <v>2319</v>
      </c>
    </row>
    <row r="178" spans="1:3" ht="26">
      <c r="A178" s="44"/>
      <c r="B178" s="293"/>
      <c r="C178" s="48" t="s">
        <v>2320</v>
      </c>
    </row>
    <row r="179" spans="1:3" ht="130">
      <c r="A179" s="44"/>
      <c r="B179" s="293"/>
      <c r="C179" s="48" t="s">
        <v>2321</v>
      </c>
    </row>
    <row r="180" spans="1:3" ht="78">
      <c r="A180" s="44"/>
      <c r="B180" s="293"/>
      <c r="C180" s="48" t="s">
        <v>2306</v>
      </c>
    </row>
    <row r="181" spans="1:3" ht="78">
      <c r="A181" s="44"/>
      <c r="B181" s="293"/>
      <c r="C181" s="48" t="s">
        <v>2310</v>
      </c>
    </row>
    <row r="182" spans="1:3" ht="65">
      <c r="A182" s="44"/>
      <c r="B182" s="293"/>
      <c r="C182" s="48" t="s">
        <v>2322</v>
      </c>
    </row>
    <row r="183" spans="1:3">
      <c r="A183" s="44"/>
      <c r="B183" s="53"/>
      <c r="C183" s="48"/>
    </row>
    <row r="184" spans="1:3" ht="104.5" thickBot="1">
      <c r="A184" s="44"/>
      <c r="B184" s="53"/>
      <c r="C184" s="48" t="s">
        <v>2323</v>
      </c>
    </row>
    <row r="185" spans="1:3" ht="26.5" thickBot="1">
      <c r="A185" s="44"/>
      <c r="B185" s="45" t="s">
        <v>2294</v>
      </c>
      <c r="C185" s="46" t="s">
        <v>2295</v>
      </c>
    </row>
    <row r="186" spans="1:3" ht="91.5" thickBot="1">
      <c r="A186" s="44"/>
      <c r="B186" s="45" t="s">
        <v>2296</v>
      </c>
      <c r="C186" s="46" t="s">
        <v>2314</v>
      </c>
    </row>
    <row r="187" spans="1:3" ht="15" thickBot="1">
      <c r="A187" s="44"/>
      <c r="B187" s="45" t="s">
        <v>2298</v>
      </c>
      <c r="C187" s="46" t="s">
        <v>29</v>
      </c>
    </row>
    <row r="188" spans="1:3">
      <c r="A188" s="44"/>
      <c r="B188" s="51"/>
      <c r="C188" s="51"/>
    </row>
    <row r="189" spans="1:3" ht="15" thickBot="1">
      <c r="A189" s="44"/>
      <c r="B189" s="51"/>
      <c r="C189" s="51"/>
    </row>
    <row r="190" spans="1:3" ht="15" thickBot="1">
      <c r="A190" s="44">
        <v>4</v>
      </c>
      <c r="B190" s="45" t="s">
        <v>2285</v>
      </c>
      <c r="C190" s="46" t="s">
        <v>2324</v>
      </c>
    </row>
    <row r="191" spans="1:3" ht="15" thickBot="1">
      <c r="A191" s="44"/>
      <c r="B191" s="45" t="s">
        <v>2287</v>
      </c>
      <c r="C191" s="46" t="s">
        <v>638</v>
      </c>
    </row>
    <row r="192" spans="1:3" ht="169">
      <c r="A192" s="44"/>
      <c r="B192" s="292" t="s">
        <v>2288</v>
      </c>
      <c r="C192" s="47" t="s">
        <v>2325</v>
      </c>
    </row>
    <row r="193" spans="1:3" ht="78">
      <c r="A193" s="44"/>
      <c r="B193" s="293"/>
      <c r="C193" s="48" t="s">
        <v>2326</v>
      </c>
    </row>
    <row r="194" spans="1:3" ht="78">
      <c r="A194" s="44"/>
      <c r="B194" s="293"/>
      <c r="C194" s="48" t="s">
        <v>2327</v>
      </c>
    </row>
    <row r="195" spans="1:3" ht="78">
      <c r="A195" s="44"/>
      <c r="B195" s="293"/>
      <c r="C195" s="48" t="s">
        <v>2328</v>
      </c>
    </row>
    <row r="196" spans="1:3" ht="78">
      <c r="A196" s="44"/>
      <c r="B196" s="293"/>
      <c r="C196" s="48" t="s">
        <v>2306</v>
      </c>
    </row>
    <row r="197" spans="1:3" ht="39">
      <c r="A197" s="44"/>
      <c r="B197" s="293"/>
      <c r="C197" s="48" t="s">
        <v>2307</v>
      </c>
    </row>
    <row r="198" spans="1:3" ht="65">
      <c r="A198" s="44"/>
      <c r="B198" s="293"/>
      <c r="C198" s="48" t="s">
        <v>2308</v>
      </c>
    </row>
    <row r="199" spans="1:3" ht="65">
      <c r="A199" s="44"/>
      <c r="B199" s="293"/>
      <c r="C199" s="48" t="s">
        <v>2329</v>
      </c>
    </row>
    <row r="200" spans="1:3" ht="78">
      <c r="A200" s="44"/>
      <c r="B200" s="293"/>
      <c r="C200" s="48" t="s">
        <v>2310</v>
      </c>
    </row>
    <row r="201" spans="1:3">
      <c r="A201" s="44"/>
      <c r="B201" s="293"/>
      <c r="C201" s="48"/>
    </row>
    <row r="202" spans="1:3" ht="91.5" thickBot="1">
      <c r="A202" s="44"/>
      <c r="B202" s="53"/>
      <c r="C202" s="48" t="s">
        <v>2330</v>
      </c>
    </row>
    <row r="203" spans="1:3" ht="26.5" thickBot="1">
      <c r="A203" s="44"/>
      <c r="B203" s="45" t="s">
        <v>2294</v>
      </c>
      <c r="C203" s="46" t="s">
        <v>2295</v>
      </c>
    </row>
    <row r="204" spans="1:3" ht="91.5" thickBot="1">
      <c r="A204" s="44"/>
      <c r="B204" s="45" t="s">
        <v>2296</v>
      </c>
      <c r="C204" s="46" t="s">
        <v>2314</v>
      </c>
    </row>
    <row r="205" spans="1:3" ht="15" thickBot="1">
      <c r="A205" s="44"/>
      <c r="B205" s="45" t="s">
        <v>2298</v>
      </c>
      <c r="C205" s="46" t="s">
        <v>29</v>
      </c>
    </row>
    <row r="206" spans="1:3">
      <c r="A206" s="44"/>
      <c r="B206" s="51"/>
      <c r="C206" s="51"/>
    </row>
    <row r="207" spans="1:3" ht="15" thickBot="1">
      <c r="A207" s="44"/>
      <c r="B207" s="51"/>
      <c r="C207" s="51"/>
    </row>
    <row r="208" spans="1:3" ht="15" thickBot="1">
      <c r="A208" s="44">
        <v>6</v>
      </c>
      <c r="B208" s="45" t="s">
        <v>2285</v>
      </c>
      <c r="C208" s="46" t="s">
        <v>2331</v>
      </c>
    </row>
    <row r="209" spans="1:3" ht="26.5" thickBot="1">
      <c r="A209" s="44"/>
      <c r="B209" s="45" t="s">
        <v>2287</v>
      </c>
      <c r="C209" s="46" t="s">
        <v>2332</v>
      </c>
    </row>
    <row r="210" spans="1:3" ht="104">
      <c r="A210" s="44"/>
      <c r="B210" s="289" t="s">
        <v>2288</v>
      </c>
      <c r="C210" s="47" t="s">
        <v>2333</v>
      </c>
    </row>
    <row r="211" spans="1:3">
      <c r="A211" s="44"/>
      <c r="B211" s="290"/>
      <c r="C211" s="48"/>
    </row>
    <row r="212" spans="1:3" ht="26">
      <c r="A212" s="44"/>
      <c r="B212" s="290"/>
      <c r="C212" s="49" t="s">
        <v>2334</v>
      </c>
    </row>
    <row r="213" spans="1:3" ht="26">
      <c r="A213" s="44"/>
      <c r="B213" s="290"/>
      <c r="C213" s="49" t="s">
        <v>2335</v>
      </c>
    </row>
    <row r="214" spans="1:3" ht="52">
      <c r="A214" s="44"/>
      <c r="B214" s="290"/>
      <c r="C214" s="49" t="s">
        <v>2336</v>
      </c>
    </row>
    <row r="215" spans="1:3" ht="39">
      <c r="A215" s="44"/>
      <c r="B215" s="290"/>
      <c r="C215" s="55" t="s">
        <v>2337</v>
      </c>
    </row>
    <row r="216" spans="1:3" ht="78">
      <c r="A216" s="44"/>
      <c r="B216" s="290"/>
      <c r="C216" s="55" t="s">
        <v>2338</v>
      </c>
    </row>
    <row r="217" spans="1:3" ht="52">
      <c r="A217" s="44"/>
      <c r="B217" s="290"/>
      <c r="C217" s="55" t="s">
        <v>2339</v>
      </c>
    </row>
    <row r="218" spans="1:3" ht="39">
      <c r="A218" s="44"/>
      <c r="B218" s="290"/>
      <c r="C218" s="55" t="s">
        <v>2340</v>
      </c>
    </row>
    <row r="219" spans="1:3" ht="78">
      <c r="A219" s="44"/>
      <c r="B219" s="290"/>
      <c r="C219" s="55" t="s">
        <v>2341</v>
      </c>
    </row>
    <row r="220" spans="1:3" ht="52">
      <c r="A220" s="44"/>
      <c r="B220" s="290"/>
      <c r="C220" s="55" t="s">
        <v>2342</v>
      </c>
    </row>
    <row r="221" spans="1:3" ht="65">
      <c r="A221" s="44"/>
      <c r="B221" s="290"/>
      <c r="C221" s="55" t="s">
        <v>2343</v>
      </c>
    </row>
    <row r="222" spans="1:3" ht="91">
      <c r="A222" s="44"/>
      <c r="B222" s="290"/>
      <c r="C222" s="55" t="s">
        <v>2344</v>
      </c>
    </row>
    <row r="223" spans="1:3" ht="26">
      <c r="A223" s="44"/>
      <c r="B223" s="290"/>
      <c r="C223" s="55" t="s">
        <v>2345</v>
      </c>
    </row>
    <row r="224" spans="1:3" ht="52">
      <c r="A224" s="44"/>
      <c r="B224" s="290"/>
      <c r="C224" s="55" t="s">
        <v>2346</v>
      </c>
    </row>
    <row r="225" spans="1:3" ht="39">
      <c r="A225" s="44"/>
      <c r="B225" s="290"/>
      <c r="C225" s="55" t="s">
        <v>2347</v>
      </c>
    </row>
    <row r="226" spans="1:3" ht="39">
      <c r="A226" s="44"/>
      <c r="B226" s="290"/>
      <c r="C226" s="55" t="s">
        <v>2348</v>
      </c>
    </row>
    <row r="227" spans="1:3">
      <c r="A227" s="44"/>
      <c r="B227" s="290"/>
      <c r="C227" s="48"/>
    </row>
    <row r="228" spans="1:3" ht="78">
      <c r="A228" s="44"/>
      <c r="B228" s="290"/>
      <c r="C228" s="48" t="s">
        <v>2349</v>
      </c>
    </row>
    <row r="229" spans="1:3" ht="78">
      <c r="A229" s="44"/>
      <c r="B229" s="290"/>
      <c r="C229" s="48" t="s">
        <v>2350</v>
      </c>
    </row>
    <row r="230" spans="1:3">
      <c r="A230" s="44"/>
      <c r="B230" s="290"/>
      <c r="C230" s="48"/>
    </row>
    <row r="231" spans="1:3" ht="39.5" thickBot="1">
      <c r="A231" s="44"/>
      <c r="B231" s="291"/>
      <c r="C231" s="56" t="s">
        <v>2351</v>
      </c>
    </row>
    <row r="232" spans="1:3" ht="26.5" thickBot="1">
      <c r="A232" s="44"/>
      <c r="B232" s="45" t="s">
        <v>2294</v>
      </c>
      <c r="C232" s="46" t="s">
        <v>2295</v>
      </c>
    </row>
    <row r="233" spans="1:3" ht="39.5" thickBot="1">
      <c r="A233" s="44"/>
      <c r="B233" s="45" t="s">
        <v>2296</v>
      </c>
      <c r="C233" s="46" t="s">
        <v>2352</v>
      </c>
    </row>
    <row r="234" spans="1:3" ht="26.5" thickBot="1">
      <c r="A234" s="44"/>
      <c r="B234" s="45" t="s">
        <v>2298</v>
      </c>
      <c r="C234" s="46" t="s">
        <v>91</v>
      </c>
    </row>
    <row r="235" spans="1:3">
      <c r="A235" s="44"/>
      <c r="B235" s="51"/>
      <c r="C235" s="51"/>
    </row>
    <row r="236" spans="1:3" ht="15" thickBot="1">
      <c r="A236" s="44"/>
      <c r="B236" s="51"/>
      <c r="C236" s="51"/>
    </row>
    <row r="237" spans="1:3" ht="15" thickBot="1">
      <c r="A237" s="44">
        <v>7</v>
      </c>
      <c r="B237" s="45" t="s">
        <v>2285</v>
      </c>
      <c r="C237" s="46" t="s">
        <v>2353</v>
      </c>
    </row>
    <row r="238" spans="1:3" ht="26.5" thickBot="1">
      <c r="A238" s="44"/>
      <c r="B238" s="45" t="s">
        <v>2287</v>
      </c>
      <c r="C238" s="46" t="s">
        <v>2354</v>
      </c>
    </row>
    <row r="239" spans="1:3" ht="104">
      <c r="A239" s="44"/>
      <c r="B239" s="289" t="s">
        <v>2288</v>
      </c>
      <c r="C239" s="47" t="s">
        <v>2355</v>
      </c>
    </row>
    <row r="240" spans="1:3">
      <c r="A240" s="44"/>
      <c r="B240" s="290"/>
      <c r="C240" s="48"/>
    </row>
    <row r="241" spans="1:3" ht="26">
      <c r="A241" s="44"/>
      <c r="B241" s="290"/>
      <c r="C241" s="49" t="s">
        <v>2334</v>
      </c>
    </row>
    <row r="242" spans="1:3" ht="26">
      <c r="A242" s="44"/>
      <c r="B242" s="290"/>
      <c r="C242" s="49" t="s">
        <v>2335</v>
      </c>
    </row>
    <row r="243" spans="1:3" ht="52">
      <c r="A243" s="44"/>
      <c r="B243" s="290"/>
      <c r="C243" s="49" t="s">
        <v>2336</v>
      </c>
    </row>
    <row r="244" spans="1:3" ht="39">
      <c r="A244" s="44"/>
      <c r="B244" s="290"/>
      <c r="C244" s="55" t="s">
        <v>2337</v>
      </c>
    </row>
    <row r="245" spans="1:3" ht="78">
      <c r="A245" s="44"/>
      <c r="B245" s="290"/>
      <c r="C245" s="55" t="s">
        <v>2338</v>
      </c>
    </row>
    <row r="246" spans="1:3" ht="52">
      <c r="A246" s="44"/>
      <c r="B246" s="290"/>
      <c r="C246" s="55" t="s">
        <v>2339</v>
      </c>
    </row>
    <row r="247" spans="1:3" ht="39">
      <c r="A247" s="44"/>
      <c r="B247" s="290"/>
      <c r="C247" s="55" t="s">
        <v>2340</v>
      </c>
    </row>
    <row r="248" spans="1:3" ht="78">
      <c r="A248" s="44"/>
      <c r="B248" s="290"/>
      <c r="C248" s="55" t="s">
        <v>2341</v>
      </c>
    </row>
    <row r="249" spans="1:3" ht="52">
      <c r="A249" s="44"/>
      <c r="B249" s="290"/>
      <c r="C249" s="55" t="s">
        <v>2342</v>
      </c>
    </row>
    <row r="250" spans="1:3" ht="65">
      <c r="A250" s="44"/>
      <c r="B250" s="290"/>
      <c r="C250" s="55" t="s">
        <v>2343</v>
      </c>
    </row>
    <row r="251" spans="1:3" ht="91">
      <c r="A251" s="44"/>
      <c r="B251" s="290"/>
      <c r="C251" s="55" t="s">
        <v>2344</v>
      </c>
    </row>
    <row r="252" spans="1:3" ht="26">
      <c r="A252" s="44"/>
      <c r="B252" s="290"/>
      <c r="C252" s="55" t="s">
        <v>2345</v>
      </c>
    </row>
    <row r="253" spans="1:3" ht="52">
      <c r="A253" s="44"/>
      <c r="B253" s="290"/>
      <c r="C253" s="55" t="s">
        <v>2346</v>
      </c>
    </row>
    <row r="254" spans="1:3" ht="39">
      <c r="A254" s="44"/>
      <c r="B254" s="290"/>
      <c r="C254" s="55" t="s">
        <v>2356</v>
      </c>
    </row>
    <row r="255" spans="1:3" ht="39">
      <c r="A255" s="44"/>
      <c r="B255" s="290"/>
      <c r="C255" s="55" t="s">
        <v>2357</v>
      </c>
    </row>
    <row r="256" spans="1:3">
      <c r="A256" s="44"/>
      <c r="B256" s="290"/>
      <c r="C256" s="48"/>
    </row>
    <row r="257" spans="1:3" ht="78">
      <c r="A257" s="44"/>
      <c r="B257" s="290"/>
      <c r="C257" s="48" t="s">
        <v>2349</v>
      </c>
    </row>
    <row r="258" spans="1:3" ht="78">
      <c r="A258" s="44"/>
      <c r="B258" s="290"/>
      <c r="C258" s="48" t="s">
        <v>2358</v>
      </c>
    </row>
    <row r="259" spans="1:3">
      <c r="A259" s="44"/>
      <c r="B259" s="290"/>
      <c r="C259" s="48"/>
    </row>
    <row r="260" spans="1:3" ht="39.5" thickBot="1">
      <c r="A260" s="44"/>
      <c r="B260" s="291"/>
      <c r="C260" s="56" t="s">
        <v>2351</v>
      </c>
    </row>
    <row r="261" spans="1:3" ht="26.5" thickBot="1">
      <c r="A261" s="44"/>
      <c r="B261" s="45" t="s">
        <v>2294</v>
      </c>
      <c r="C261" s="46" t="s">
        <v>2295</v>
      </c>
    </row>
    <row r="262" spans="1:3" ht="39.5" thickBot="1">
      <c r="A262" s="44"/>
      <c r="B262" s="45" t="s">
        <v>2296</v>
      </c>
      <c r="C262" s="46" t="s">
        <v>2352</v>
      </c>
    </row>
    <row r="263" spans="1:3" ht="26.5" thickBot="1">
      <c r="A263" s="44"/>
      <c r="B263" s="45" t="s">
        <v>2298</v>
      </c>
      <c r="C263" s="46" t="s">
        <v>99</v>
      </c>
    </row>
    <row r="264" spans="1:3">
      <c r="A264" s="44"/>
      <c r="B264" s="51"/>
      <c r="C264" s="51"/>
    </row>
    <row r="265" spans="1:3" ht="15" thickBot="1">
      <c r="A265" s="44"/>
      <c r="B265" s="51"/>
      <c r="C265" s="51"/>
    </row>
    <row r="266" spans="1:3" ht="15" thickBot="1">
      <c r="A266" s="44">
        <v>8</v>
      </c>
      <c r="B266" s="45" t="s">
        <v>2285</v>
      </c>
      <c r="C266" s="46" t="s">
        <v>2359</v>
      </c>
    </row>
    <row r="267" spans="1:3" ht="26.5" thickBot="1">
      <c r="A267" s="44"/>
      <c r="B267" s="45" t="s">
        <v>2287</v>
      </c>
      <c r="C267" s="46" t="s">
        <v>2360</v>
      </c>
    </row>
    <row r="268" spans="1:3" ht="91">
      <c r="A268" s="44"/>
      <c r="B268" s="289" t="s">
        <v>2288</v>
      </c>
      <c r="C268" s="47" t="s">
        <v>2361</v>
      </c>
    </row>
    <row r="269" spans="1:3">
      <c r="A269" s="44"/>
      <c r="B269" s="290"/>
      <c r="C269" s="48"/>
    </row>
    <row r="270" spans="1:3" ht="26">
      <c r="A270" s="44"/>
      <c r="B270" s="290"/>
      <c r="C270" s="49" t="s">
        <v>2334</v>
      </c>
    </row>
    <row r="271" spans="1:3" ht="26">
      <c r="A271" s="44"/>
      <c r="B271" s="290"/>
      <c r="C271" s="49" t="s">
        <v>2335</v>
      </c>
    </row>
    <row r="272" spans="1:3" ht="52">
      <c r="A272" s="44"/>
      <c r="B272" s="290"/>
      <c r="C272" s="49" t="s">
        <v>2336</v>
      </c>
    </row>
    <row r="273" spans="1:3" ht="39">
      <c r="A273" s="44"/>
      <c r="B273" s="290"/>
      <c r="C273" s="55" t="s">
        <v>2337</v>
      </c>
    </row>
    <row r="274" spans="1:3" ht="78">
      <c r="A274" s="44"/>
      <c r="B274" s="290"/>
      <c r="C274" s="55" t="s">
        <v>2338</v>
      </c>
    </row>
    <row r="275" spans="1:3" ht="52">
      <c r="A275" s="44"/>
      <c r="B275" s="290"/>
      <c r="C275" s="55" t="s">
        <v>2339</v>
      </c>
    </row>
    <row r="276" spans="1:3" ht="39">
      <c r="A276" s="44"/>
      <c r="B276" s="290"/>
      <c r="C276" s="55" t="s">
        <v>2340</v>
      </c>
    </row>
    <row r="277" spans="1:3" ht="78">
      <c r="A277" s="44"/>
      <c r="B277" s="290"/>
      <c r="C277" s="55" t="s">
        <v>2341</v>
      </c>
    </row>
    <row r="278" spans="1:3" ht="52">
      <c r="A278" s="44"/>
      <c r="B278" s="290"/>
      <c r="C278" s="55" t="s">
        <v>2342</v>
      </c>
    </row>
    <row r="279" spans="1:3" ht="65">
      <c r="A279" s="44"/>
      <c r="B279" s="290"/>
      <c r="C279" s="55" t="s">
        <v>2343</v>
      </c>
    </row>
    <row r="280" spans="1:3" ht="91">
      <c r="A280" s="44"/>
      <c r="B280" s="290"/>
      <c r="C280" s="55" t="s">
        <v>2344</v>
      </c>
    </row>
    <row r="281" spans="1:3" ht="26">
      <c r="A281" s="44"/>
      <c r="B281" s="290"/>
      <c r="C281" s="55" t="s">
        <v>2345</v>
      </c>
    </row>
    <row r="282" spans="1:3">
      <c r="A282" s="44"/>
      <c r="B282" s="290"/>
      <c r="C282" s="48"/>
    </row>
    <row r="283" spans="1:3" ht="78">
      <c r="A283" s="44"/>
      <c r="B283" s="290"/>
      <c r="C283" s="48" t="s">
        <v>2349</v>
      </c>
    </row>
    <row r="284" spans="1:3" ht="78">
      <c r="A284" s="44"/>
      <c r="B284" s="290"/>
      <c r="C284" s="48" t="s">
        <v>2350</v>
      </c>
    </row>
    <row r="285" spans="1:3">
      <c r="A285" s="44"/>
      <c r="B285" s="290"/>
      <c r="C285" s="48"/>
    </row>
    <row r="286" spans="1:3" ht="39.5" thickBot="1">
      <c r="A286" s="44"/>
      <c r="B286" s="291"/>
      <c r="C286" s="56" t="s">
        <v>2351</v>
      </c>
    </row>
    <row r="287" spans="1:3" ht="26.5" thickBot="1">
      <c r="A287" s="44"/>
      <c r="B287" s="45" t="s">
        <v>2294</v>
      </c>
      <c r="C287" s="46" t="s">
        <v>2295</v>
      </c>
    </row>
    <row r="288" spans="1:3" ht="39.5" thickBot="1">
      <c r="A288" s="44"/>
      <c r="B288" s="45" t="s">
        <v>2296</v>
      </c>
      <c r="C288" s="46" t="s">
        <v>2352</v>
      </c>
    </row>
    <row r="289" spans="1:3" ht="26.5" thickBot="1">
      <c r="A289" s="44"/>
      <c r="B289" s="45" t="s">
        <v>2298</v>
      </c>
      <c r="C289" s="46" t="s">
        <v>91</v>
      </c>
    </row>
    <row r="290" spans="1:3" ht="15" thickBot="1">
      <c r="A290" s="44"/>
      <c r="B290" s="51"/>
      <c r="C290" s="51"/>
    </row>
    <row r="291" spans="1:3" ht="15" thickBot="1">
      <c r="A291" s="44">
        <v>9</v>
      </c>
      <c r="B291" s="45" t="s">
        <v>2285</v>
      </c>
      <c r="C291" s="46" t="s">
        <v>2362</v>
      </c>
    </row>
    <row r="292" spans="1:3" ht="26.5" thickBot="1">
      <c r="A292" s="44"/>
      <c r="B292" s="45" t="s">
        <v>2287</v>
      </c>
      <c r="C292" s="46" t="s">
        <v>2363</v>
      </c>
    </row>
    <row r="293" spans="1:3" ht="91">
      <c r="A293" s="44"/>
      <c r="B293" s="289" t="s">
        <v>2288</v>
      </c>
      <c r="C293" s="47" t="s">
        <v>2364</v>
      </c>
    </row>
    <row r="294" spans="1:3">
      <c r="A294" s="44"/>
      <c r="B294" s="290"/>
      <c r="C294" s="48"/>
    </row>
    <row r="295" spans="1:3" ht="26">
      <c r="A295" s="44"/>
      <c r="B295" s="290"/>
      <c r="C295" s="49" t="s">
        <v>2334</v>
      </c>
    </row>
    <row r="296" spans="1:3" ht="26">
      <c r="A296" s="44"/>
      <c r="B296" s="290"/>
      <c r="C296" s="49" t="s">
        <v>2335</v>
      </c>
    </row>
    <row r="297" spans="1:3" ht="52">
      <c r="A297" s="44"/>
      <c r="B297" s="290"/>
      <c r="C297" s="49" t="s">
        <v>2336</v>
      </c>
    </row>
    <row r="298" spans="1:3" ht="39">
      <c r="A298" s="44"/>
      <c r="B298" s="290"/>
      <c r="C298" s="55" t="s">
        <v>2337</v>
      </c>
    </row>
    <row r="299" spans="1:3" ht="78">
      <c r="A299" s="44"/>
      <c r="B299" s="290"/>
      <c r="C299" s="55" t="s">
        <v>2338</v>
      </c>
    </row>
    <row r="300" spans="1:3" ht="52">
      <c r="A300" s="44"/>
      <c r="B300" s="290"/>
      <c r="C300" s="55" t="s">
        <v>2339</v>
      </c>
    </row>
    <row r="301" spans="1:3" ht="39">
      <c r="A301" s="44"/>
      <c r="B301" s="290"/>
      <c r="C301" s="55" t="s">
        <v>2340</v>
      </c>
    </row>
    <row r="302" spans="1:3" ht="78">
      <c r="A302" s="44"/>
      <c r="B302" s="290"/>
      <c r="C302" s="55" t="s">
        <v>2341</v>
      </c>
    </row>
    <row r="303" spans="1:3" ht="52">
      <c r="A303" s="44"/>
      <c r="B303" s="290"/>
      <c r="C303" s="55" t="s">
        <v>2342</v>
      </c>
    </row>
    <row r="304" spans="1:3" ht="65">
      <c r="A304" s="44"/>
      <c r="B304" s="290"/>
      <c r="C304" s="55" t="s">
        <v>2343</v>
      </c>
    </row>
    <row r="305" spans="1:3" ht="91">
      <c r="A305" s="44"/>
      <c r="B305" s="290"/>
      <c r="C305" s="55" t="s">
        <v>2344</v>
      </c>
    </row>
    <row r="306" spans="1:3" ht="26">
      <c r="A306" s="44"/>
      <c r="B306" s="290"/>
      <c r="C306" s="55" t="s">
        <v>2345</v>
      </c>
    </row>
    <row r="307" spans="1:3">
      <c r="A307" s="44"/>
      <c r="B307" s="290"/>
      <c r="C307" s="48"/>
    </row>
    <row r="308" spans="1:3" ht="78">
      <c r="A308" s="44"/>
      <c r="B308" s="290"/>
      <c r="C308" s="48" t="s">
        <v>2349</v>
      </c>
    </row>
    <row r="309" spans="1:3" ht="78">
      <c r="A309" s="44"/>
      <c r="B309" s="290"/>
      <c r="C309" s="48" t="s">
        <v>2350</v>
      </c>
    </row>
    <row r="310" spans="1:3">
      <c r="A310" s="44"/>
      <c r="B310" s="290"/>
      <c r="C310" s="48"/>
    </row>
    <row r="311" spans="1:3" ht="39.5" thickBot="1">
      <c r="A311" s="44"/>
      <c r="B311" s="291"/>
      <c r="C311" s="56" t="s">
        <v>2351</v>
      </c>
    </row>
    <row r="312" spans="1:3" ht="26.5" thickBot="1">
      <c r="A312" s="44"/>
      <c r="B312" s="45" t="s">
        <v>2294</v>
      </c>
      <c r="C312" s="46" t="s">
        <v>2295</v>
      </c>
    </row>
    <row r="313" spans="1:3" ht="39.5" thickBot="1">
      <c r="A313" s="44"/>
      <c r="B313" s="45" t="s">
        <v>2296</v>
      </c>
      <c r="C313" s="46" t="s">
        <v>2352</v>
      </c>
    </row>
    <row r="314" spans="1:3" ht="26.5" thickBot="1">
      <c r="A314" s="44"/>
      <c r="B314" s="45" t="s">
        <v>2298</v>
      </c>
      <c r="C314" s="46" t="s">
        <v>99</v>
      </c>
    </row>
    <row r="315" spans="1:3">
      <c r="A315" s="44"/>
      <c r="B315" s="51"/>
      <c r="C315" s="51"/>
    </row>
    <row r="316" spans="1:3" ht="15" thickBot="1">
      <c r="A316" s="44"/>
      <c r="B316" s="51"/>
      <c r="C316" s="51"/>
    </row>
    <row r="317" spans="1:3" ht="15" thickBot="1">
      <c r="A317" s="44">
        <v>10</v>
      </c>
      <c r="B317" s="45" t="s">
        <v>2285</v>
      </c>
      <c r="C317" s="46" t="s">
        <v>2365</v>
      </c>
    </row>
    <row r="318" spans="1:3" ht="26.5" thickBot="1">
      <c r="A318" s="44"/>
      <c r="B318" s="45" t="s">
        <v>2287</v>
      </c>
      <c r="C318" s="46" t="s">
        <v>120</v>
      </c>
    </row>
    <row r="319" spans="1:3" ht="15" thickBot="1">
      <c r="A319" s="44"/>
      <c r="B319" s="57" t="s">
        <v>2366</v>
      </c>
      <c r="C319" s="47" t="s">
        <v>2367</v>
      </c>
    </row>
    <row r="320" spans="1:3" ht="78">
      <c r="A320" s="44"/>
      <c r="B320" s="289" t="s">
        <v>2288</v>
      </c>
      <c r="C320" s="47" t="s">
        <v>2368</v>
      </c>
    </row>
    <row r="321" spans="1:3">
      <c r="A321" s="44"/>
      <c r="B321" s="290"/>
      <c r="C321" s="48"/>
    </row>
    <row r="322" spans="1:3">
      <c r="A322" s="44"/>
      <c r="B322" s="290"/>
      <c r="C322" s="48" t="s">
        <v>2290</v>
      </c>
    </row>
    <row r="323" spans="1:3" ht="39">
      <c r="A323" s="44"/>
      <c r="B323" s="290"/>
      <c r="C323" s="49" t="s">
        <v>2369</v>
      </c>
    </row>
    <row r="324" spans="1:3" ht="39">
      <c r="A324" s="44"/>
      <c r="B324" s="290"/>
      <c r="C324" s="49" t="s">
        <v>2370</v>
      </c>
    </row>
    <row r="325" spans="1:3" ht="26">
      <c r="A325" s="44"/>
      <c r="B325" s="290"/>
      <c r="C325" s="49" t="s">
        <v>2371</v>
      </c>
    </row>
    <row r="326" spans="1:3" ht="26">
      <c r="A326" s="44"/>
      <c r="B326" s="290"/>
      <c r="C326" s="49" t="s">
        <v>2372</v>
      </c>
    </row>
    <row r="327" spans="1:3" ht="91.5" thickBot="1">
      <c r="A327" s="44"/>
      <c r="B327" s="290"/>
      <c r="C327" s="49" t="s">
        <v>2373</v>
      </c>
    </row>
    <row r="328" spans="1:3" ht="26.5" thickBot="1">
      <c r="A328" s="44"/>
      <c r="B328" s="45" t="s">
        <v>2294</v>
      </c>
      <c r="C328" s="46" t="s">
        <v>2295</v>
      </c>
    </row>
    <row r="329" spans="1:3" ht="26.5" thickBot="1">
      <c r="A329" s="44"/>
      <c r="B329" s="45" t="s">
        <v>2296</v>
      </c>
      <c r="C329" s="46" t="s">
        <v>2374</v>
      </c>
    </row>
    <row r="330" spans="1:3" ht="15" thickBot="1">
      <c r="A330" s="44"/>
      <c r="B330" s="45" t="s">
        <v>2298</v>
      </c>
      <c r="C330" s="46" t="s">
        <v>29</v>
      </c>
    </row>
    <row r="331" spans="1:3">
      <c r="A331" s="44"/>
      <c r="B331" s="51"/>
      <c r="C331" s="51"/>
    </row>
    <row r="332" spans="1:3" ht="15" thickBot="1">
      <c r="A332" s="44"/>
      <c r="B332" s="51"/>
      <c r="C332" s="51"/>
    </row>
    <row r="333" spans="1:3" ht="15" thickBot="1">
      <c r="A333" s="44">
        <v>11</v>
      </c>
      <c r="B333" s="45" t="s">
        <v>2285</v>
      </c>
      <c r="C333" s="46" t="s">
        <v>2375</v>
      </c>
    </row>
    <row r="334" spans="1:3" ht="26.5" thickBot="1">
      <c r="A334" s="44"/>
      <c r="B334" s="45" t="s">
        <v>2287</v>
      </c>
      <c r="C334" s="58" t="s">
        <v>635</v>
      </c>
    </row>
    <row r="335" spans="1:3" ht="208">
      <c r="A335" s="44"/>
      <c r="B335" s="289" t="s">
        <v>2288</v>
      </c>
      <c r="C335" s="47" t="s">
        <v>2376</v>
      </c>
    </row>
    <row r="336" spans="1:3" ht="195">
      <c r="A336" s="44"/>
      <c r="B336" s="290"/>
      <c r="C336" s="48" t="s">
        <v>2377</v>
      </c>
    </row>
    <row r="337" spans="1:3">
      <c r="A337" s="44"/>
      <c r="B337" s="290"/>
      <c r="C337" s="48"/>
    </row>
    <row r="338" spans="1:3" ht="39">
      <c r="A338" s="44"/>
      <c r="B338" s="290"/>
      <c r="C338" s="48" t="s">
        <v>2378</v>
      </c>
    </row>
    <row r="339" spans="1:3" ht="39">
      <c r="A339" s="44"/>
      <c r="B339" s="290"/>
      <c r="C339" s="48" t="s">
        <v>2379</v>
      </c>
    </row>
    <row r="340" spans="1:3" ht="39">
      <c r="A340" s="44"/>
      <c r="B340" s="290"/>
      <c r="C340" s="48" t="s">
        <v>2380</v>
      </c>
    </row>
    <row r="341" spans="1:3" ht="117">
      <c r="A341" s="44"/>
      <c r="B341" s="290"/>
      <c r="C341" s="48" t="s">
        <v>2381</v>
      </c>
    </row>
    <row r="342" spans="1:3" ht="52.5" thickBot="1">
      <c r="A342" s="44"/>
      <c r="B342" s="290"/>
      <c r="C342" s="56" t="s">
        <v>2382</v>
      </c>
    </row>
    <row r="343" spans="1:3" ht="26.5" thickBot="1">
      <c r="A343" s="44"/>
      <c r="B343" s="45" t="s">
        <v>2294</v>
      </c>
      <c r="C343" s="46" t="s">
        <v>2295</v>
      </c>
    </row>
    <row r="344" spans="1:3" ht="65">
      <c r="A344" s="44"/>
      <c r="B344" s="289" t="s">
        <v>2296</v>
      </c>
      <c r="C344" s="47" t="s">
        <v>2383</v>
      </c>
    </row>
    <row r="345" spans="1:3">
      <c r="A345" s="44"/>
      <c r="B345" s="290"/>
      <c r="C345" s="48"/>
    </row>
    <row r="346" spans="1:3" ht="39.5" thickBot="1">
      <c r="A346" s="44"/>
      <c r="B346" s="291"/>
      <c r="C346" s="56" t="s">
        <v>2384</v>
      </c>
    </row>
    <row r="347" spans="1:3" ht="15" thickBot="1">
      <c r="A347" s="44"/>
      <c r="B347" s="45" t="s">
        <v>2298</v>
      </c>
      <c r="C347" s="46" t="s">
        <v>437</v>
      </c>
    </row>
    <row r="348" spans="1:3">
      <c r="A348" s="44"/>
      <c r="B348" s="51"/>
      <c r="C348" s="51"/>
    </row>
    <row r="349" spans="1:3" ht="15" thickBot="1">
      <c r="A349" s="44"/>
      <c r="B349" s="51"/>
      <c r="C349" s="51"/>
    </row>
    <row r="350" spans="1:3" ht="15" thickBot="1">
      <c r="A350" s="44"/>
      <c r="B350" s="59" t="s">
        <v>2285</v>
      </c>
      <c r="C350" s="47" t="s">
        <v>2385</v>
      </c>
    </row>
    <row r="351" spans="1:3" ht="15" thickBot="1">
      <c r="A351" s="44"/>
      <c r="B351" s="60" t="s">
        <v>2287</v>
      </c>
      <c r="C351" s="59" t="s">
        <v>2386</v>
      </c>
    </row>
    <row r="352" spans="1:3" ht="15" thickBot="1">
      <c r="A352" s="44"/>
      <c r="B352" s="60" t="s">
        <v>2298</v>
      </c>
      <c r="C352" s="61" t="s">
        <v>128</v>
      </c>
    </row>
    <row r="353" spans="1:3" ht="36">
      <c r="A353" s="44"/>
      <c r="B353" s="296" t="s">
        <v>2387</v>
      </c>
      <c r="C353" s="62" t="s">
        <v>2388</v>
      </c>
    </row>
    <row r="354" spans="1:3" ht="36">
      <c r="A354" s="44"/>
      <c r="B354" s="297"/>
      <c r="C354" s="62" t="s">
        <v>2389</v>
      </c>
    </row>
    <row r="355" spans="1:3" ht="36">
      <c r="A355" s="44"/>
      <c r="B355" s="297"/>
      <c r="C355" s="62" t="s">
        <v>2390</v>
      </c>
    </row>
    <row r="356" spans="1:3" ht="24.5" thickBot="1">
      <c r="A356" s="44"/>
      <c r="B356" s="297"/>
      <c r="C356" s="61" t="s">
        <v>2391</v>
      </c>
    </row>
    <row r="357" spans="1:3" ht="24.5" thickBot="1">
      <c r="A357" s="44"/>
      <c r="B357" s="297"/>
      <c r="C357" s="61" t="s">
        <v>2392</v>
      </c>
    </row>
    <row r="358" spans="1:3" ht="36.5" thickBot="1">
      <c r="A358" s="44"/>
      <c r="B358" s="297"/>
      <c r="C358" s="61" t="s">
        <v>2393</v>
      </c>
    </row>
    <row r="359" spans="1:3" ht="24.5" thickBot="1">
      <c r="A359" s="44"/>
      <c r="B359" s="297"/>
      <c r="C359" s="61" t="s">
        <v>2394</v>
      </c>
    </row>
    <row r="360" spans="1:3" ht="36.5" thickBot="1">
      <c r="A360" s="44"/>
      <c r="B360" s="297"/>
      <c r="C360" s="61" t="s">
        <v>2395</v>
      </c>
    </row>
    <row r="361" spans="1:3" ht="60.5" thickBot="1">
      <c r="A361" s="44"/>
      <c r="B361" s="297"/>
      <c r="C361" s="61" t="s">
        <v>2396</v>
      </c>
    </row>
    <row r="362" spans="1:3">
      <c r="A362" s="44"/>
      <c r="B362" s="298" t="s">
        <v>2298</v>
      </c>
      <c r="C362" s="62" t="s">
        <v>128</v>
      </c>
    </row>
    <row r="363" spans="1:3" ht="32" customHeight="1" thickBot="1">
      <c r="A363" s="44"/>
      <c r="B363" s="299"/>
      <c r="C363" s="61"/>
    </row>
    <row r="365" spans="1:3" ht="15" thickBot="1">
      <c r="B365" s="63" t="s">
        <v>9</v>
      </c>
      <c r="C365" s="63" t="s">
        <v>166</v>
      </c>
    </row>
    <row r="366" spans="1:3" ht="104.5" thickBot="1">
      <c r="B366" s="64" t="s">
        <v>2397</v>
      </c>
      <c r="C366" s="58" t="s">
        <v>2398</v>
      </c>
    </row>
    <row r="367" spans="1:3" ht="91.5" thickBot="1">
      <c r="B367" s="65" t="s">
        <v>2399</v>
      </c>
      <c r="C367" s="58" t="s">
        <v>2400</v>
      </c>
    </row>
    <row r="368" spans="1:3" ht="104.5" thickBot="1">
      <c r="B368" s="66" t="s">
        <v>2401</v>
      </c>
      <c r="C368" s="67" t="s">
        <v>2402</v>
      </c>
    </row>
    <row r="369" spans="2:3" ht="39.5" thickBot="1">
      <c r="B369" s="64" t="s">
        <v>2403</v>
      </c>
      <c r="C369" s="58" t="s">
        <v>2404</v>
      </c>
    </row>
    <row r="370" spans="2:3" ht="15" thickBot="1">
      <c r="B370" s="51"/>
      <c r="C370" s="51"/>
    </row>
    <row r="371" spans="2:3" ht="15" thickBot="1">
      <c r="B371" s="68" t="s">
        <v>9</v>
      </c>
      <c r="C371" s="69" t="s">
        <v>167</v>
      </c>
    </row>
    <row r="372" spans="2:3" ht="130.5" thickBot="1">
      <c r="B372" s="70" t="s">
        <v>2397</v>
      </c>
      <c r="C372" s="71" t="s">
        <v>2405</v>
      </c>
    </row>
    <row r="373" spans="2:3">
      <c r="B373" s="300" t="s">
        <v>2399</v>
      </c>
      <c r="C373" s="302" t="s">
        <v>2406</v>
      </c>
    </row>
    <row r="374" spans="2:3" ht="15" thickBot="1">
      <c r="B374" s="301"/>
      <c r="C374" s="303"/>
    </row>
    <row r="375" spans="2:3" ht="78.5" thickBot="1">
      <c r="B375" s="70" t="s">
        <v>2401</v>
      </c>
      <c r="C375" s="72" t="s">
        <v>2407</v>
      </c>
    </row>
    <row r="376" spans="2:3" ht="39.5" thickBot="1">
      <c r="B376" s="70" t="s">
        <v>2403</v>
      </c>
      <c r="C376" s="72" t="s">
        <v>2408</v>
      </c>
    </row>
    <row r="377" spans="2:3" ht="15" thickBot="1">
      <c r="B377" s="51"/>
      <c r="C377" s="73"/>
    </row>
    <row r="378" spans="2:3" ht="15" thickBot="1">
      <c r="B378" s="74" t="s">
        <v>2409</v>
      </c>
      <c r="C378" s="69" t="s">
        <v>167</v>
      </c>
    </row>
    <row r="379" spans="2:3" ht="39.5" thickBot="1">
      <c r="B379" s="304" t="s">
        <v>2410</v>
      </c>
      <c r="C379" s="75" t="s">
        <v>2411</v>
      </c>
    </row>
    <row r="380" spans="2:3" ht="39">
      <c r="B380" s="305"/>
      <c r="C380" s="75" t="s">
        <v>2412</v>
      </c>
    </row>
    <row r="381" spans="2:3" ht="91.5" thickBot="1">
      <c r="B381" s="306"/>
      <c r="C381" s="76" t="s">
        <v>2413</v>
      </c>
    </row>
    <row r="382" spans="2:3">
      <c r="B382" s="51"/>
      <c r="C382" s="51"/>
    </row>
    <row r="383" spans="2:3">
      <c r="B383" s="51"/>
      <c r="C383" s="51"/>
    </row>
    <row r="384" spans="2:3" ht="15" thickBot="1">
      <c r="B384" s="63" t="s">
        <v>9</v>
      </c>
      <c r="C384" s="63" t="s">
        <v>2414</v>
      </c>
    </row>
    <row r="385" spans="2:3" ht="143.5" thickBot="1">
      <c r="B385" s="77" t="s">
        <v>2397</v>
      </c>
      <c r="C385" s="78" t="s">
        <v>2415</v>
      </c>
    </row>
    <row r="386" spans="2:3">
      <c r="B386" s="307" t="s">
        <v>2399</v>
      </c>
      <c r="C386" s="309" t="s">
        <v>2416</v>
      </c>
    </row>
    <row r="387" spans="2:3" ht="15" thickBot="1">
      <c r="B387" s="308"/>
      <c r="C387" s="310"/>
    </row>
    <row r="388" spans="2:3" ht="78.5" thickBot="1">
      <c r="B388" s="77" t="s">
        <v>2401</v>
      </c>
      <c r="C388" s="58" t="s">
        <v>2407</v>
      </c>
    </row>
    <row r="389" spans="2:3" ht="26.5" thickBot="1">
      <c r="B389" s="77" t="s">
        <v>2403</v>
      </c>
      <c r="C389" s="58" t="s">
        <v>2417</v>
      </c>
    </row>
    <row r="390" spans="2:3">
      <c r="B390" s="51"/>
      <c r="C390" s="51"/>
    </row>
    <row r="391" spans="2:3" ht="15" thickBot="1">
      <c r="B391" s="63" t="s">
        <v>2409</v>
      </c>
      <c r="C391" s="63" t="s">
        <v>2414</v>
      </c>
    </row>
    <row r="392" spans="2:3" ht="39">
      <c r="B392" s="294" t="s">
        <v>2418</v>
      </c>
      <c r="C392" s="67" t="s">
        <v>2419</v>
      </c>
    </row>
    <row r="393" spans="2:3" ht="52.5" thickBot="1">
      <c r="B393" s="295"/>
      <c r="C393" s="79" t="s">
        <v>2420</v>
      </c>
    </row>
  </sheetData>
  <mergeCells count="44">
    <mergeCell ref="B392:B393"/>
    <mergeCell ref="B353:B361"/>
    <mergeCell ref="B362:B363"/>
    <mergeCell ref="B373:B374"/>
    <mergeCell ref="C373:C374"/>
    <mergeCell ref="B379:B381"/>
    <mergeCell ref="B386:B387"/>
    <mergeCell ref="C386:C387"/>
    <mergeCell ref="B344:B346"/>
    <mergeCell ref="C137:E137"/>
    <mergeCell ref="B142:B146"/>
    <mergeCell ref="B154:B165"/>
    <mergeCell ref="B174:B182"/>
    <mergeCell ref="B192:B201"/>
    <mergeCell ref="B210:B231"/>
    <mergeCell ref="B239:B260"/>
    <mergeCell ref="B268:B286"/>
    <mergeCell ref="B293:B311"/>
    <mergeCell ref="B320:B327"/>
    <mergeCell ref="B335:B342"/>
    <mergeCell ref="C128:E128"/>
    <mergeCell ref="C129:E129"/>
    <mergeCell ref="B132:B136"/>
    <mergeCell ref="C132:E132"/>
    <mergeCell ref="C133:E133"/>
    <mergeCell ref="C134:E134"/>
    <mergeCell ref="C135:E135"/>
    <mergeCell ref="C136:E136"/>
    <mergeCell ref="B130:B131"/>
    <mergeCell ref="C130:E130"/>
    <mergeCell ref="C131:E131"/>
    <mergeCell ref="B127:E127"/>
    <mergeCell ref="C116:E116"/>
    <mergeCell ref="C117:E117"/>
    <mergeCell ref="C118:E118"/>
    <mergeCell ref="B119:B126"/>
    <mergeCell ref="C119:E119"/>
    <mergeCell ref="C120:E120"/>
    <mergeCell ref="C121:E121"/>
    <mergeCell ref="C122:E122"/>
    <mergeCell ref="C123:E123"/>
    <mergeCell ref="C124:E124"/>
    <mergeCell ref="C125:E125"/>
    <mergeCell ref="C126:E126"/>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8575"/>
  <sheetViews>
    <sheetView zoomScale="85" zoomScaleNormal="85" workbookViewId="0">
      <pane ySplit="1" topLeftCell="A2" activePane="bottomLeft" state="frozen"/>
      <selection activeCell="B16" sqref="B16:P16"/>
      <selection pane="bottomLeft" activeCell="D24" sqref="D24"/>
    </sheetView>
  </sheetViews>
  <sheetFormatPr baseColWidth="10" defaultColWidth="12.36328125" defaultRowHeight="14.5"/>
  <cols>
    <col min="1" max="1" width="27.90625" style="8" customWidth="1"/>
    <col min="2" max="2" width="39.08984375" style="10" customWidth="1"/>
    <col min="3" max="3" width="30.54296875" style="10" customWidth="1"/>
    <col min="4" max="4" width="50.36328125" style="10" bestFit="1" customWidth="1"/>
    <col min="5" max="5" width="21.08984375" style="8" bestFit="1" customWidth="1"/>
    <col min="6" max="6" width="18.08984375" style="10" customWidth="1"/>
    <col min="7" max="7" width="12.36328125" style="8" customWidth="1"/>
    <col min="8" max="8" width="18" style="10" customWidth="1"/>
    <col min="9" max="9" width="12.36328125" style="10" customWidth="1"/>
    <col min="10" max="10" width="24.54296875" style="10" bestFit="1" customWidth="1"/>
    <col min="11" max="11" width="22.08984375" style="8" customWidth="1"/>
    <col min="12" max="12" width="19.08984375" style="8" customWidth="1"/>
    <col min="13" max="13" width="18.54296875" style="11" bestFit="1" customWidth="1"/>
    <col min="14" max="14" width="28" style="10" bestFit="1" customWidth="1"/>
    <col min="15" max="15" width="12.36328125" style="10"/>
    <col min="16" max="16384" width="12.36328125" style="8"/>
  </cols>
  <sheetData>
    <row r="1" spans="1:14" s="230" customFormat="1" ht="58.75" customHeight="1">
      <c r="A1" s="311" t="s">
        <v>9462</v>
      </c>
      <c r="B1" s="311"/>
      <c r="C1" s="311"/>
      <c r="D1" s="311"/>
      <c r="E1" s="311"/>
      <c r="F1" s="311"/>
      <c r="G1" s="311"/>
      <c r="H1" s="311"/>
      <c r="I1" s="311"/>
      <c r="J1" s="311"/>
      <c r="K1" s="311"/>
      <c r="L1" s="311"/>
      <c r="M1" s="311"/>
      <c r="N1" s="311"/>
    </row>
    <row r="2" spans="1:14" s="110" customFormat="1" ht="16">
      <c r="A2" s="19" t="s">
        <v>1445</v>
      </c>
      <c r="B2" s="19" t="s">
        <v>1430</v>
      </c>
      <c r="C2" s="19" t="s">
        <v>1446</v>
      </c>
      <c r="D2" s="19" t="s">
        <v>4</v>
      </c>
      <c r="E2" s="19" t="s">
        <v>5</v>
      </c>
      <c r="F2" s="19" t="s">
        <v>6</v>
      </c>
      <c r="G2" s="19" t="s">
        <v>7</v>
      </c>
      <c r="H2" s="19" t="s">
        <v>8</v>
      </c>
      <c r="I2" s="19" t="s">
        <v>9</v>
      </c>
      <c r="J2" s="19" t="s">
        <v>1434</v>
      </c>
      <c r="K2" s="19" t="s">
        <v>1432</v>
      </c>
      <c r="L2" s="19" t="s">
        <v>1433</v>
      </c>
      <c r="M2" s="19" t="s">
        <v>3</v>
      </c>
      <c r="N2" s="19" t="s">
        <v>2938</v>
      </c>
    </row>
    <row r="3" spans="1:14" s="110" customFormat="1">
      <c r="A3" s="231" t="s">
        <v>9462</v>
      </c>
      <c r="B3" s="232" t="s">
        <v>9463</v>
      </c>
      <c r="C3" s="231" t="s">
        <v>9464</v>
      </c>
      <c r="D3" s="233" t="s">
        <v>9465</v>
      </c>
      <c r="E3" s="234" t="s">
        <v>175</v>
      </c>
      <c r="F3" s="234" t="s">
        <v>16</v>
      </c>
      <c r="G3" s="235" t="s">
        <v>221</v>
      </c>
      <c r="H3" s="231" t="s">
        <v>26</v>
      </c>
      <c r="I3" s="236" t="s">
        <v>762</v>
      </c>
      <c r="J3" s="237" t="s">
        <v>9466</v>
      </c>
      <c r="K3" s="237">
        <v>1200</v>
      </c>
      <c r="L3" s="231" t="s">
        <v>173</v>
      </c>
      <c r="M3" s="232" t="s">
        <v>175</v>
      </c>
      <c r="N3" s="229"/>
    </row>
    <row r="4" spans="1:14" s="110" customFormat="1">
      <c r="A4" s="238" t="s">
        <v>9462</v>
      </c>
      <c r="B4" s="239" t="s">
        <v>9467</v>
      </c>
      <c r="C4" s="238" t="s">
        <v>9464</v>
      </c>
      <c r="D4" s="240" t="s">
        <v>9468</v>
      </c>
      <c r="E4" s="241" t="s">
        <v>175</v>
      </c>
      <c r="F4" s="241" t="s">
        <v>16</v>
      </c>
      <c r="G4" s="242" t="s">
        <v>221</v>
      </c>
      <c r="H4" s="238" t="s">
        <v>26</v>
      </c>
      <c r="I4" s="243" t="s">
        <v>762</v>
      </c>
      <c r="J4" s="244" t="s">
        <v>9466</v>
      </c>
      <c r="K4" s="244">
        <v>2800</v>
      </c>
      <c r="L4" s="238" t="s">
        <v>173</v>
      </c>
      <c r="M4" s="239" t="s">
        <v>175</v>
      </c>
      <c r="N4" s="162"/>
    </row>
    <row r="5" spans="1:14" s="110" customFormat="1">
      <c r="A5" s="238" t="s">
        <v>9462</v>
      </c>
      <c r="B5" s="239" t="s">
        <v>9469</v>
      </c>
      <c r="C5" s="238" t="s">
        <v>9464</v>
      </c>
      <c r="D5" s="240" t="s">
        <v>9470</v>
      </c>
      <c r="E5" s="241" t="s">
        <v>175</v>
      </c>
      <c r="F5" s="241" t="s">
        <v>16</v>
      </c>
      <c r="G5" s="242" t="s">
        <v>221</v>
      </c>
      <c r="H5" s="238" t="s">
        <v>26</v>
      </c>
      <c r="I5" s="243" t="s">
        <v>762</v>
      </c>
      <c r="J5" s="244" t="s">
        <v>9466</v>
      </c>
      <c r="K5" s="244">
        <v>4400</v>
      </c>
      <c r="L5" s="238" t="s">
        <v>173</v>
      </c>
      <c r="M5" s="239" t="s">
        <v>175</v>
      </c>
      <c r="N5" s="162"/>
    </row>
    <row r="6" spans="1:14">
      <c r="A6" s="238" t="s">
        <v>9462</v>
      </c>
      <c r="B6" s="239" t="s">
        <v>9471</v>
      </c>
      <c r="C6" s="238" t="s">
        <v>9464</v>
      </c>
      <c r="D6" s="240" t="s">
        <v>9472</v>
      </c>
      <c r="E6" s="241" t="s">
        <v>175</v>
      </c>
      <c r="F6" s="241" t="s">
        <v>16</v>
      </c>
      <c r="G6" s="242" t="s">
        <v>221</v>
      </c>
      <c r="H6" s="238" t="s">
        <v>26</v>
      </c>
      <c r="I6" s="243" t="s">
        <v>762</v>
      </c>
      <c r="J6" s="244" t="s">
        <v>9466</v>
      </c>
      <c r="K6" s="244">
        <v>8400</v>
      </c>
      <c r="L6" s="238" t="s">
        <v>173</v>
      </c>
      <c r="M6" s="239" t="s">
        <v>175</v>
      </c>
      <c r="N6" s="162"/>
    </row>
    <row r="7" spans="1:14">
      <c r="A7" s="238" t="s">
        <v>9462</v>
      </c>
      <c r="B7" s="239" t="s">
        <v>9473</v>
      </c>
      <c r="C7" s="238" t="s">
        <v>9464</v>
      </c>
      <c r="D7" s="240" t="s">
        <v>9474</v>
      </c>
      <c r="E7" s="241" t="s">
        <v>175</v>
      </c>
      <c r="F7" s="241" t="s">
        <v>16</v>
      </c>
      <c r="G7" s="242" t="s">
        <v>221</v>
      </c>
      <c r="H7" s="238" t="s">
        <v>26</v>
      </c>
      <c r="I7" s="243" t="s">
        <v>762</v>
      </c>
      <c r="J7" s="244" t="s">
        <v>9466</v>
      </c>
      <c r="K7" s="244">
        <v>20400</v>
      </c>
      <c r="L7" s="238" t="s">
        <v>173</v>
      </c>
      <c r="M7" s="239" t="s">
        <v>175</v>
      </c>
      <c r="N7" s="162"/>
    </row>
    <row r="8" spans="1:14">
      <c r="A8" s="238" t="s">
        <v>9462</v>
      </c>
      <c r="B8" s="239" t="s">
        <v>9475</v>
      </c>
      <c r="C8" s="238" t="s">
        <v>9464</v>
      </c>
      <c r="D8" s="240" t="s">
        <v>9476</v>
      </c>
      <c r="E8" s="241" t="s">
        <v>175</v>
      </c>
      <c r="F8" s="241" t="s">
        <v>16</v>
      </c>
      <c r="G8" s="242" t="s">
        <v>221</v>
      </c>
      <c r="H8" s="238" t="s">
        <v>26</v>
      </c>
      <c r="I8" s="243" t="s">
        <v>762</v>
      </c>
      <c r="J8" s="244" t="s">
        <v>9466</v>
      </c>
      <c r="K8" s="244">
        <v>40400</v>
      </c>
      <c r="L8" s="238" t="s">
        <v>173</v>
      </c>
      <c r="M8" s="239" t="s">
        <v>175</v>
      </c>
      <c r="N8" s="162"/>
    </row>
    <row r="9" spans="1:14">
      <c r="A9" s="238" t="s">
        <v>9462</v>
      </c>
      <c r="B9" s="239" t="s">
        <v>9477</v>
      </c>
      <c r="C9" s="238" t="s">
        <v>9464</v>
      </c>
      <c r="D9" s="240" t="s">
        <v>9478</v>
      </c>
      <c r="E9" s="241" t="s">
        <v>175</v>
      </c>
      <c r="F9" s="241" t="s">
        <v>16</v>
      </c>
      <c r="G9" s="242" t="s">
        <v>221</v>
      </c>
      <c r="H9" s="238" t="s">
        <v>26</v>
      </c>
      <c r="I9" s="243" t="s">
        <v>762</v>
      </c>
      <c r="J9" s="244" t="s">
        <v>9466</v>
      </c>
      <c r="K9" s="244">
        <v>60400</v>
      </c>
      <c r="L9" s="238" t="s">
        <v>173</v>
      </c>
      <c r="M9" s="239" t="s">
        <v>175</v>
      </c>
      <c r="N9" s="162"/>
    </row>
    <row r="10" spans="1:14">
      <c r="A10" s="238" t="s">
        <v>9462</v>
      </c>
      <c r="B10" s="239" t="s">
        <v>2922</v>
      </c>
      <c r="C10" s="238" t="s">
        <v>9464</v>
      </c>
      <c r="D10" s="240" t="s">
        <v>632</v>
      </c>
      <c r="E10" s="241" t="s">
        <v>175</v>
      </c>
      <c r="F10" s="241" t="s">
        <v>21</v>
      </c>
      <c r="G10" s="242" t="s">
        <v>2923</v>
      </c>
      <c r="H10" s="238" t="s">
        <v>177</v>
      </c>
      <c r="I10" s="243" t="s">
        <v>2924</v>
      </c>
      <c r="J10" s="244" t="s">
        <v>2925</v>
      </c>
      <c r="K10" s="244">
        <v>800</v>
      </c>
      <c r="L10" s="238" t="s">
        <v>2057</v>
      </c>
      <c r="M10" s="239" t="s">
        <v>175</v>
      </c>
      <c r="N10" s="162"/>
    </row>
    <row r="11" spans="1:14">
      <c r="A11" s="238" t="s">
        <v>9462</v>
      </c>
      <c r="B11" s="239" t="s">
        <v>2926</v>
      </c>
      <c r="C11" s="238" t="s">
        <v>9464</v>
      </c>
      <c r="D11" s="240" t="s">
        <v>2927</v>
      </c>
      <c r="E11" s="241" t="s">
        <v>175</v>
      </c>
      <c r="F11" s="241" t="s">
        <v>21</v>
      </c>
      <c r="G11" s="242" t="s">
        <v>2928</v>
      </c>
      <c r="H11" s="238" t="s">
        <v>177</v>
      </c>
      <c r="I11" s="243" t="s">
        <v>2924</v>
      </c>
      <c r="J11" s="244" t="s">
        <v>2925</v>
      </c>
      <c r="K11" s="244">
        <v>1800</v>
      </c>
      <c r="L11" s="238" t="s">
        <v>2057</v>
      </c>
      <c r="M11" s="239" t="s">
        <v>175</v>
      </c>
      <c r="N11" s="162"/>
    </row>
    <row r="12" spans="1:14">
      <c r="A12" s="238" t="s">
        <v>9462</v>
      </c>
      <c r="B12" s="239" t="s">
        <v>2929</v>
      </c>
      <c r="C12" s="238" t="s">
        <v>9464</v>
      </c>
      <c r="D12" s="240" t="s">
        <v>2930</v>
      </c>
      <c r="E12" s="241" t="s">
        <v>175</v>
      </c>
      <c r="F12" s="241" t="s">
        <v>21</v>
      </c>
      <c r="G12" s="242" t="s">
        <v>2931</v>
      </c>
      <c r="H12" s="238" t="s">
        <v>177</v>
      </c>
      <c r="I12" s="243" t="s">
        <v>2924</v>
      </c>
      <c r="J12" s="244" t="s">
        <v>2925</v>
      </c>
      <c r="K12" s="244">
        <v>7500</v>
      </c>
      <c r="L12" s="238" t="s">
        <v>2057</v>
      </c>
      <c r="M12" s="239" t="s">
        <v>175</v>
      </c>
      <c r="N12" s="162"/>
    </row>
    <row r="13" spans="1:14">
      <c r="A13" s="238" t="s">
        <v>9462</v>
      </c>
      <c r="B13" s="239" t="s">
        <v>2932</v>
      </c>
      <c r="C13" s="238" t="s">
        <v>9464</v>
      </c>
      <c r="D13" s="240" t="s">
        <v>2933</v>
      </c>
      <c r="E13" s="241" t="s">
        <v>175</v>
      </c>
      <c r="F13" s="241" t="s">
        <v>21</v>
      </c>
      <c r="G13" s="242" t="s">
        <v>2934</v>
      </c>
      <c r="H13" s="238" t="s">
        <v>177</v>
      </c>
      <c r="I13" s="243" t="s">
        <v>2924</v>
      </c>
      <c r="J13" s="244" t="s">
        <v>2925</v>
      </c>
      <c r="K13" s="244">
        <v>12000</v>
      </c>
      <c r="L13" s="238" t="s">
        <v>2057</v>
      </c>
      <c r="M13" s="239" t="s">
        <v>175</v>
      </c>
      <c r="N13" s="162"/>
    </row>
    <row r="14" spans="1:14">
      <c r="A14" s="238" t="s">
        <v>9462</v>
      </c>
      <c r="B14" s="239" t="s">
        <v>2935</v>
      </c>
      <c r="C14" s="238" t="s">
        <v>9464</v>
      </c>
      <c r="D14" s="240" t="s">
        <v>2936</v>
      </c>
      <c r="E14" s="241" t="s">
        <v>175</v>
      </c>
      <c r="F14" s="241" t="s">
        <v>21</v>
      </c>
      <c r="G14" s="242" t="s">
        <v>2937</v>
      </c>
      <c r="H14" s="238" t="s">
        <v>177</v>
      </c>
      <c r="I14" s="243" t="s">
        <v>2924</v>
      </c>
      <c r="J14" s="244" t="s">
        <v>2925</v>
      </c>
      <c r="K14" s="244">
        <v>240</v>
      </c>
      <c r="L14" s="238" t="s">
        <v>2057</v>
      </c>
      <c r="M14" s="239" t="s">
        <v>175</v>
      </c>
      <c r="N14" s="162"/>
    </row>
    <row r="1048575" spans="10:10">
      <c r="J1048575" s="8" t="s">
        <v>762</v>
      </c>
    </row>
  </sheetData>
  <mergeCells count="1">
    <mergeCell ref="A1:N1"/>
  </mergeCells>
  <conditionalFormatting sqref="B2 M2 D2 F2 H2 J2">
    <cfRule type="duplicateValues" dxfId="56" priority="1"/>
    <cfRule type="duplicateValues" dxfId="55" priority="2"/>
    <cfRule type="duplicateValues" dxfId="54" priority="3"/>
  </conditionalFormatting>
  <conditionalFormatting sqref="B15:B1048576">
    <cfRule type="duplicateValues" dxfId="53" priority="133"/>
    <cfRule type="duplicateValues" dxfId="52" priority="134"/>
    <cfRule type="duplicateValues" dxfId="51" priority="135"/>
  </conditionalFormatting>
  <dataValidations count="2">
    <dataValidation type="list" allowBlank="1" showInputMessage="1" showErrorMessage="1" sqref="M3:M7">
      <formula1>"COP,USD"</formula1>
    </dataValidation>
    <dataValidation type="list" allowBlank="1" showInputMessage="1" showErrorMessage="1" sqref="L3:L7">
      <formula1>"Sí,No"</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4"/>
  <sheetViews>
    <sheetView topLeftCell="E1" zoomScaleNormal="100" workbookViewId="0">
      <selection activeCell="H22" sqref="H22"/>
    </sheetView>
  </sheetViews>
  <sheetFormatPr baseColWidth="10" defaultColWidth="97" defaultRowHeight="13"/>
  <cols>
    <col min="1" max="1" width="19.36328125" style="161" customWidth="1"/>
    <col min="2" max="2" width="54.453125" style="161" customWidth="1"/>
    <col min="3" max="3" width="11.6328125" style="161" bestFit="1" customWidth="1"/>
    <col min="4" max="4" width="54.6328125" style="161" customWidth="1"/>
    <col min="5" max="5" width="12.36328125" style="161" bestFit="1" customWidth="1"/>
    <col min="6" max="6" width="18.36328125" style="161" bestFit="1" customWidth="1"/>
    <col min="7" max="7" width="27.36328125" style="161" customWidth="1"/>
    <col min="8" max="8" width="15.453125" style="161" bestFit="1" customWidth="1"/>
    <col min="9" max="9" width="17.08984375" style="180" bestFit="1" customWidth="1"/>
    <col min="10" max="10" width="17.6328125" style="161" bestFit="1" customWidth="1"/>
    <col min="11" max="11" width="40.08984375" style="161" customWidth="1"/>
    <col min="12" max="12" width="17.08984375" style="161" customWidth="1"/>
    <col min="13" max="13" width="31.453125" style="161" customWidth="1"/>
    <col min="14" max="168" width="17.08984375" style="161" customWidth="1"/>
    <col min="169" max="256" width="97" style="161"/>
    <col min="257" max="257" width="19.36328125" style="161" customWidth="1"/>
    <col min="258" max="258" width="54.453125" style="161" customWidth="1"/>
    <col min="259" max="259" width="11.6328125" style="161" bestFit="1" customWidth="1"/>
    <col min="260" max="260" width="54.6328125" style="161" customWidth="1"/>
    <col min="261" max="261" width="12.36328125" style="161" bestFit="1" customWidth="1"/>
    <col min="262" max="262" width="18.36328125" style="161" bestFit="1" customWidth="1"/>
    <col min="263" max="263" width="27.36328125" style="161" customWidth="1"/>
    <col min="264" max="264" width="15.453125" style="161" bestFit="1" customWidth="1"/>
    <col min="265" max="265" width="17.08984375" style="161" bestFit="1" customWidth="1"/>
    <col min="266" max="266" width="17.6328125" style="161" bestFit="1" customWidth="1"/>
    <col min="267" max="267" width="40.08984375" style="161" customWidth="1"/>
    <col min="268" max="268" width="17.08984375" style="161" customWidth="1"/>
    <col min="269" max="269" width="31.453125" style="161" customWidth="1"/>
    <col min="270" max="424" width="17.08984375" style="161" customWidth="1"/>
    <col min="425" max="512" width="97" style="161"/>
    <col min="513" max="513" width="19.36328125" style="161" customWidth="1"/>
    <col min="514" max="514" width="54.453125" style="161" customWidth="1"/>
    <col min="515" max="515" width="11.6328125" style="161" bestFit="1" customWidth="1"/>
    <col min="516" max="516" width="54.6328125" style="161" customWidth="1"/>
    <col min="517" max="517" width="12.36328125" style="161" bestFit="1" customWidth="1"/>
    <col min="518" max="518" width="18.36328125" style="161" bestFit="1" customWidth="1"/>
    <col min="519" max="519" width="27.36328125" style="161" customWidth="1"/>
    <col min="520" max="520" width="15.453125" style="161" bestFit="1" customWidth="1"/>
    <col min="521" max="521" width="17.08984375" style="161" bestFit="1" customWidth="1"/>
    <col min="522" max="522" width="17.6328125" style="161" bestFit="1" customWidth="1"/>
    <col min="523" max="523" width="40.08984375" style="161" customWidth="1"/>
    <col min="524" max="524" width="17.08984375" style="161" customWidth="1"/>
    <col min="525" max="525" width="31.453125" style="161" customWidth="1"/>
    <col min="526" max="680" width="17.08984375" style="161" customWidth="1"/>
    <col min="681" max="768" width="97" style="161"/>
    <col min="769" max="769" width="19.36328125" style="161" customWidth="1"/>
    <col min="770" max="770" width="54.453125" style="161" customWidth="1"/>
    <col min="771" max="771" width="11.6328125" style="161" bestFit="1" customWidth="1"/>
    <col min="772" max="772" width="54.6328125" style="161" customWidth="1"/>
    <col min="773" max="773" width="12.36328125" style="161" bestFit="1" customWidth="1"/>
    <col min="774" max="774" width="18.36328125" style="161" bestFit="1" customWidth="1"/>
    <col min="775" max="775" width="27.36328125" style="161" customWidth="1"/>
    <col min="776" max="776" width="15.453125" style="161" bestFit="1" customWidth="1"/>
    <col min="777" max="777" width="17.08984375" style="161" bestFit="1" customWidth="1"/>
    <col min="778" max="778" width="17.6328125" style="161" bestFit="1" customWidth="1"/>
    <col min="779" max="779" width="40.08984375" style="161" customWidth="1"/>
    <col min="780" max="780" width="17.08984375" style="161" customWidth="1"/>
    <col min="781" max="781" width="31.453125" style="161" customWidth="1"/>
    <col min="782" max="936" width="17.08984375" style="161" customWidth="1"/>
    <col min="937" max="1024" width="97" style="161"/>
    <col min="1025" max="1025" width="19.36328125" style="161" customWidth="1"/>
    <col min="1026" max="1026" width="54.453125" style="161" customWidth="1"/>
    <col min="1027" max="1027" width="11.6328125" style="161" bestFit="1" customWidth="1"/>
    <col min="1028" max="1028" width="54.6328125" style="161" customWidth="1"/>
    <col min="1029" max="1029" width="12.36328125" style="161" bestFit="1" customWidth="1"/>
    <col min="1030" max="1030" width="18.36328125" style="161" bestFit="1" customWidth="1"/>
    <col min="1031" max="1031" width="27.36328125" style="161" customWidth="1"/>
    <col min="1032" max="1032" width="15.453125" style="161" bestFit="1" customWidth="1"/>
    <col min="1033" max="1033" width="17.08984375" style="161" bestFit="1" customWidth="1"/>
    <col min="1034" max="1034" width="17.6328125" style="161" bestFit="1" customWidth="1"/>
    <col min="1035" max="1035" width="40.08984375" style="161" customWidth="1"/>
    <col min="1036" max="1036" width="17.08984375" style="161" customWidth="1"/>
    <col min="1037" max="1037" width="31.453125" style="161" customWidth="1"/>
    <col min="1038" max="1192" width="17.08984375" style="161" customWidth="1"/>
    <col min="1193" max="1280" width="97" style="161"/>
    <col min="1281" max="1281" width="19.36328125" style="161" customWidth="1"/>
    <col min="1282" max="1282" width="54.453125" style="161" customWidth="1"/>
    <col min="1283" max="1283" width="11.6328125" style="161" bestFit="1" customWidth="1"/>
    <col min="1284" max="1284" width="54.6328125" style="161" customWidth="1"/>
    <col min="1285" max="1285" width="12.36328125" style="161" bestFit="1" customWidth="1"/>
    <col min="1286" max="1286" width="18.36328125" style="161" bestFit="1" customWidth="1"/>
    <col min="1287" max="1287" width="27.36328125" style="161" customWidth="1"/>
    <col min="1288" max="1288" width="15.453125" style="161" bestFit="1" customWidth="1"/>
    <col min="1289" max="1289" width="17.08984375" style="161" bestFit="1" customWidth="1"/>
    <col min="1290" max="1290" width="17.6328125" style="161" bestFit="1" customWidth="1"/>
    <col min="1291" max="1291" width="40.08984375" style="161" customWidth="1"/>
    <col min="1292" max="1292" width="17.08984375" style="161" customWidth="1"/>
    <col min="1293" max="1293" width="31.453125" style="161" customWidth="1"/>
    <col min="1294" max="1448" width="17.08984375" style="161" customWidth="1"/>
    <col min="1449" max="1536" width="97" style="161"/>
    <col min="1537" max="1537" width="19.36328125" style="161" customWidth="1"/>
    <col min="1538" max="1538" width="54.453125" style="161" customWidth="1"/>
    <col min="1539" max="1539" width="11.6328125" style="161" bestFit="1" customWidth="1"/>
    <col min="1540" max="1540" width="54.6328125" style="161" customWidth="1"/>
    <col min="1541" max="1541" width="12.36328125" style="161" bestFit="1" customWidth="1"/>
    <col min="1542" max="1542" width="18.36328125" style="161" bestFit="1" customWidth="1"/>
    <col min="1543" max="1543" width="27.36328125" style="161" customWidth="1"/>
    <col min="1544" max="1544" width="15.453125" style="161" bestFit="1" customWidth="1"/>
    <col min="1545" max="1545" width="17.08984375" style="161" bestFit="1" customWidth="1"/>
    <col min="1546" max="1546" width="17.6328125" style="161" bestFit="1" customWidth="1"/>
    <col min="1547" max="1547" width="40.08984375" style="161" customWidth="1"/>
    <col min="1548" max="1548" width="17.08984375" style="161" customWidth="1"/>
    <col min="1549" max="1549" width="31.453125" style="161" customWidth="1"/>
    <col min="1550" max="1704" width="17.08984375" style="161" customWidth="1"/>
    <col min="1705" max="1792" width="97" style="161"/>
    <col min="1793" max="1793" width="19.36328125" style="161" customWidth="1"/>
    <col min="1794" max="1794" width="54.453125" style="161" customWidth="1"/>
    <col min="1795" max="1795" width="11.6328125" style="161" bestFit="1" customWidth="1"/>
    <col min="1796" max="1796" width="54.6328125" style="161" customWidth="1"/>
    <col min="1797" max="1797" width="12.36328125" style="161" bestFit="1" customWidth="1"/>
    <col min="1798" max="1798" width="18.36328125" style="161" bestFit="1" customWidth="1"/>
    <col min="1799" max="1799" width="27.36328125" style="161" customWidth="1"/>
    <col min="1800" max="1800" width="15.453125" style="161" bestFit="1" customWidth="1"/>
    <col min="1801" max="1801" width="17.08984375" style="161" bestFit="1" customWidth="1"/>
    <col min="1802" max="1802" width="17.6328125" style="161" bestFit="1" customWidth="1"/>
    <col min="1803" max="1803" width="40.08984375" style="161" customWidth="1"/>
    <col min="1804" max="1804" width="17.08984375" style="161" customWidth="1"/>
    <col min="1805" max="1805" width="31.453125" style="161" customWidth="1"/>
    <col min="1806" max="1960" width="17.08984375" style="161" customWidth="1"/>
    <col min="1961" max="2048" width="97" style="161"/>
    <col min="2049" max="2049" width="19.36328125" style="161" customWidth="1"/>
    <col min="2050" max="2050" width="54.453125" style="161" customWidth="1"/>
    <col min="2051" max="2051" width="11.6328125" style="161" bestFit="1" customWidth="1"/>
    <col min="2052" max="2052" width="54.6328125" style="161" customWidth="1"/>
    <col min="2053" max="2053" width="12.36328125" style="161" bestFit="1" customWidth="1"/>
    <col min="2054" max="2054" width="18.36328125" style="161" bestFit="1" customWidth="1"/>
    <col min="2055" max="2055" width="27.36328125" style="161" customWidth="1"/>
    <col min="2056" max="2056" width="15.453125" style="161" bestFit="1" customWidth="1"/>
    <col min="2057" max="2057" width="17.08984375" style="161" bestFit="1" customWidth="1"/>
    <col min="2058" max="2058" width="17.6328125" style="161" bestFit="1" customWidth="1"/>
    <col min="2059" max="2059" width="40.08984375" style="161" customWidth="1"/>
    <col min="2060" max="2060" width="17.08984375" style="161" customWidth="1"/>
    <col min="2061" max="2061" width="31.453125" style="161" customWidth="1"/>
    <col min="2062" max="2216" width="17.08984375" style="161" customWidth="1"/>
    <col min="2217" max="2304" width="97" style="161"/>
    <col min="2305" max="2305" width="19.36328125" style="161" customWidth="1"/>
    <col min="2306" max="2306" width="54.453125" style="161" customWidth="1"/>
    <col min="2307" max="2307" width="11.6328125" style="161" bestFit="1" customWidth="1"/>
    <col min="2308" max="2308" width="54.6328125" style="161" customWidth="1"/>
    <col min="2309" max="2309" width="12.36328125" style="161" bestFit="1" customWidth="1"/>
    <col min="2310" max="2310" width="18.36328125" style="161" bestFit="1" customWidth="1"/>
    <col min="2311" max="2311" width="27.36328125" style="161" customWidth="1"/>
    <col min="2312" max="2312" width="15.453125" style="161" bestFit="1" customWidth="1"/>
    <col min="2313" max="2313" width="17.08984375" style="161" bestFit="1" customWidth="1"/>
    <col min="2314" max="2314" width="17.6328125" style="161" bestFit="1" customWidth="1"/>
    <col min="2315" max="2315" width="40.08984375" style="161" customWidth="1"/>
    <col min="2316" max="2316" width="17.08984375" style="161" customWidth="1"/>
    <col min="2317" max="2317" width="31.453125" style="161" customWidth="1"/>
    <col min="2318" max="2472" width="17.08984375" style="161" customWidth="1"/>
    <col min="2473" max="2560" width="97" style="161"/>
    <col min="2561" max="2561" width="19.36328125" style="161" customWidth="1"/>
    <col min="2562" max="2562" width="54.453125" style="161" customWidth="1"/>
    <col min="2563" max="2563" width="11.6328125" style="161" bestFit="1" customWidth="1"/>
    <col min="2564" max="2564" width="54.6328125" style="161" customWidth="1"/>
    <col min="2565" max="2565" width="12.36328125" style="161" bestFit="1" customWidth="1"/>
    <col min="2566" max="2566" width="18.36328125" style="161" bestFit="1" customWidth="1"/>
    <col min="2567" max="2567" width="27.36328125" style="161" customWidth="1"/>
    <col min="2568" max="2568" width="15.453125" style="161" bestFit="1" customWidth="1"/>
    <col min="2569" max="2569" width="17.08984375" style="161" bestFit="1" customWidth="1"/>
    <col min="2570" max="2570" width="17.6328125" style="161" bestFit="1" customWidth="1"/>
    <col min="2571" max="2571" width="40.08984375" style="161" customWidth="1"/>
    <col min="2572" max="2572" width="17.08984375" style="161" customWidth="1"/>
    <col min="2573" max="2573" width="31.453125" style="161" customWidth="1"/>
    <col min="2574" max="2728" width="17.08984375" style="161" customWidth="1"/>
    <col min="2729" max="2816" width="97" style="161"/>
    <col min="2817" max="2817" width="19.36328125" style="161" customWidth="1"/>
    <col min="2818" max="2818" width="54.453125" style="161" customWidth="1"/>
    <col min="2819" max="2819" width="11.6328125" style="161" bestFit="1" customWidth="1"/>
    <col min="2820" max="2820" width="54.6328125" style="161" customWidth="1"/>
    <col min="2821" max="2821" width="12.36328125" style="161" bestFit="1" customWidth="1"/>
    <col min="2822" max="2822" width="18.36328125" style="161" bestFit="1" customWidth="1"/>
    <col min="2823" max="2823" width="27.36328125" style="161" customWidth="1"/>
    <col min="2824" max="2824" width="15.453125" style="161" bestFit="1" customWidth="1"/>
    <col min="2825" max="2825" width="17.08984375" style="161" bestFit="1" customWidth="1"/>
    <col min="2826" max="2826" width="17.6328125" style="161" bestFit="1" customWidth="1"/>
    <col min="2827" max="2827" width="40.08984375" style="161" customWidth="1"/>
    <col min="2828" max="2828" width="17.08984375" style="161" customWidth="1"/>
    <col min="2829" max="2829" width="31.453125" style="161" customWidth="1"/>
    <col min="2830" max="2984" width="17.08984375" style="161" customWidth="1"/>
    <col min="2985" max="3072" width="97" style="161"/>
    <col min="3073" max="3073" width="19.36328125" style="161" customWidth="1"/>
    <col min="3074" max="3074" width="54.453125" style="161" customWidth="1"/>
    <col min="3075" max="3075" width="11.6328125" style="161" bestFit="1" customWidth="1"/>
    <col min="3076" max="3076" width="54.6328125" style="161" customWidth="1"/>
    <col min="3077" max="3077" width="12.36328125" style="161" bestFit="1" customWidth="1"/>
    <col min="3078" max="3078" width="18.36328125" style="161" bestFit="1" customWidth="1"/>
    <col min="3079" max="3079" width="27.36328125" style="161" customWidth="1"/>
    <col min="3080" max="3080" width="15.453125" style="161" bestFit="1" customWidth="1"/>
    <col min="3081" max="3081" width="17.08984375" style="161" bestFit="1" customWidth="1"/>
    <col min="3082" max="3082" width="17.6328125" style="161" bestFit="1" customWidth="1"/>
    <col min="3083" max="3083" width="40.08984375" style="161" customWidth="1"/>
    <col min="3084" max="3084" width="17.08984375" style="161" customWidth="1"/>
    <col min="3085" max="3085" width="31.453125" style="161" customWidth="1"/>
    <col min="3086" max="3240" width="17.08984375" style="161" customWidth="1"/>
    <col min="3241" max="3328" width="97" style="161"/>
    <col min="3329" max="3329" width="19.36328125" style="161" customWidth="1"/>
    <col min="3330" max="3330" width="54.453125" style="161" customWidth="1"/>
    <col min="3331" max="3331" width="11.6328125" style="161" bestFit="1" customWidth="1"/>
    <col min="3332" max="3332" width="54.6328125" style="161" customWidth="1"/>
    <col min="3333" max="3333" width="12.36328125" style="161" bestFit="1" customWidth="1"/>
    <col min="3334" max="3334" width="18.36328125" style="161" bestFit="1" customWidth="1"/>
    <col min="3335" max="3335" width="27.36328125" style="161" customWidth="1"/>
    <col min="3336" max="3336" width="15.453125" style="161" bestFit="1" customWidth="1"/>
    <col min="3337" max="3337" width="17.08984375" style="161" bestFit="1" customWidth="1"/>
    <col min="3338" max="3338" width="17.6328125" style="161" bestFit="1" customWidth="1"/>
    <col min="3339" max="3339" width="40.08984375" style="161" customWidth="1"/>
    <col min="3340" max="3340" width="17.08984375" style="161" customWidth="1"/>
    <col min="3341" max="3341" width="31.453125" style="161" customWidth="1"/>
    <col min="3342" max="3496" width="17.08984375" style="161" customWidth="1"/>
    <col min="3497" max="3584" width="97" style="161"/>
    <col min="3585" max="3585" width="19.36328125" style="161" customWidth="1"/>
    <col min="3586" max="3586" width="54.453125" style="161" customWidth="1"/>
    <col min="3587" max="3587" width="11.6328125" style="161" bestFit="1" customWidth="1"/>
    <col min="3588" max="3588" width="54.6328125" style="161" customWidth="1"/>
    <col min="3589" max="3589" width="12.36328125" style="161" bestFit="1" customWidth="1"/>
    <col min="3590" max="3590" width="18.36328125" style="161" bestFit="1" customWidth="1"/>
    <col min="3591" max="3591" width="27.36328125" style="161" customWidth="1"/>
    <col min="3592" max="3592" width="15.453125" style="161" bestFit="1" customWidth="1"/>
    <col min="3593" max="3593" width="17.08984375" style="161" bestFit="1" customWidth="1"/>
    <col min="3594" max="3594" width="17.6328125" style="161" bestFit="1" customWidth="1"/>
    <col min="3595" max="3595" width="40.08984375" style="161" customWidth="1"/>
    <col min="3596" max="3596" width="17.08984375" style="161" customWidth="1"/>
    <col min="3597" max="3597" width="31.453125" style="161" customWidth="1"/>
    <col min="3598" max="3752" width="17.08984375" style="161" customWidth="1"/>
    <col min="3753" max="3840" width="97" style="161"/>
    <col min="3841" max="3841" width="19.36328125" style="161" customWidth="1"/>
    <col min="3842" max="3842" width="54.453125" style="161" customWidth="1"/>
    <col min="3843" max="3843" width="11.6328125" style="161" bestFit="1" customWidth="1"/>
    <col min="3844" max="3844" width="54.6328125" style="161" customWidth="1"/>
    <col min="3845" max="3845" width="12.36328125" style="161" bestFit="1" customWidth="1"/>
    <col min="3846" max="3846" width="18.36328125" style="161" bestFit="1" customWidth="1"/>
    <col min="3847" max="3847" width="27.36328125" style="161" customWidth="1"/>
    <col min="3848" max="3848" width="15.453125" style="161" bestFit="1" customWidth="1"/>
    <col min="3849" max="3849" width="17.08984375" style="161" bestFit="1" customWidth="1"/>
    <col min="3850" max="3850" width="17.6328125" style="161" bestFit="1" customWidth="1"/>
    <col min="3851" max="3851" width="40.08984375" style="161" customWidth="1"/>
    <col min="3852" max="3852" width="17.08984375" style="161" customWidth="1"/>
    <col min="3853" max="3853" width="31.453125" style="161" customWidth="1"/>
    <col min="3854" max="4008" width="17.08984375" style="161" customWidth="1"/>
    <col min="4009" max="4096" width="97" style="161"/>
    <col min="4097" max="4097" width="19.36328125" style="161" customWidth="1"/>
    <col min="4098" max="4098" width="54.453125" style="161" customWidth="1"/>
    <col min="4099" max="4099" width="11.6328125" style="161" bestFit="1" customWidth="1"/>
    <col min="4100" max="4100" width="54.6328125" style="161" customWidth="1"/>
    <col min="4101" max="4101" width="12.36328125" style="161" bestFit="1" customWidth="1"/>
    <col min="4102" max="4102" width="18.36328125" style="161" bestFit="1" customWidth="1"/>
    <col min="4103" max="4103" width="27.36328125" style="161" customWidth="1"/>
    <col min="4104" max="4104" width="15.453125" style="161" bestFit="1" customWidth="1"/>
    <col min="4105" max="4105" width="17.08984375" style="161" bestFit="1" customWidth="1"/>
    <col min="4106" max="4106" width="17.6328125" style="161" bestFit="1" customWidth="1"/>
    <col min="4107" max="4107" width="40.08984375" style="161" customWidth="1"/>
    <col min="4108" max="4108" width="17.08984375" style="161" customWidth="1"/>
    <col min="4109" max="4109" width="31.453125" style="161" customWidth="1"/>
    <col min="4110" max="4264" width="17.08984375" style="161" customWidth="1"/>
    <col min="4265" max="4352" width="97" style="161"/>
    <col min="4353" max="4353" width="19.36328125" style="161" customWidth="1"/>
    <col min="4354" max="4354" width="54.453125" style="161" customWidth="1"/>
    <col min="4355" max="4355" width="11.6328125" style="161" bestFit="1" customWidth="1"/>
    <col min="4356" max="4356" width="54.6328125" style="161" customWidth="1"/>
    <col min="4357" max="4357" width="12.36328125" style="161" bestFit="1" customWidth="1"/>
    <col min="4358" max="4358" width="18.36328125" style="161" bestFit="1" customWidth="1"/>
    <col min="4359" max="4359" width="27.36328125" style="161" customWidth="1"/>
    <col min="4360" max="4360" width="15.453125" style="161" bestFit="1" customWidth="1"/>
    <col min="4361" max="4361" width="17.08984375" style="161" bestFit="1" customWidth="1"/>
    <col min="4362" max="4362" width="17.6328125" style="161" bestFit="1" customWidth="1"/>
    <col min="4363" max="4363" width="40.08984375" style="161" customWidth="1"/>
    <col min="4364" max="4364" width="17.08984375" style="161" customWidth="1"/>
    <col min="4365" max="4365" width="31.453125" style="161" customWidth="1"/>
    <col min="4366" max="4520" width="17.08984375" style="161" customWidth="1"/>
    <col min="4521" max="4608" width="97" style="161"/>
    <col min="4609" max="4609" width="19.36328125" style="161" customWidth="1"/>
    <col min="4610" max="4610" width="54.453125" style="161" customWidth="1"/>
    <col min="4611" max="4611" width="11.6328125" style="161" bestFit="1" customWidth="1"/>
    <col min="4612" max="4612" width="54.6328125" style="161" customWidth="1"/>
    <col min="4613" max="4613" width="12.36328125" style="161" bestFit="1" customWidth="1"/>
    <col min="4614" max="4614" width="18.36328125" style="161" bestFit="1" customWidth="1"/>
    <col min="4615" max="4615" width="27.36328125" style="161" customWidth="1"/>
    <col min="4616" max="4616" width="15.453125" style="161" bestFit="1" customWidth="1"/>
    <col min="4617" max="4617" width="17.08984375" style="161" bestFit="1" customWidth="1"/>
    <col min="4618" max="4618" width="17.6328125" style="161" bestFit="1" customWidth="1"/>
    <col min="4619" max="4619" width="40.08984375" style="161" customWidth="1"/>
    <col min="4620" max="4620" width="17.08984375" style="161" customWidth="1"/>
    <col min="4621" max="4621" width="31.453125" style="161" customWidth="1"/>
    <col min="4622" max="4776" width="17.08984375" style="161" customWidth="1"/>
    <col min="4777" max="4864" width="97" style="161"/>
    <col min="4865" max="4865" width="19.36328125" style="161" customWidth="1"/>
    <col min="4866" max="4866" width="54.453125" style="161" customWidth="1"/>
    <col min="4867" max="4867" width="11.6328125" style="161" bestFit="1" customWidth="1"/>
    <col min="4868" max="4868" width="54.6328125" style="161" customWidth="1"/>
    <col min="4869" max="4869" width="12.36328125" style="161" bestFit="1" customWidth="1"/>
    <col min="4870" max="4870" width="18.36328125" style="161" bestFit="1" customWidth="1"/>
    <col min="4871" max="4871" width="27.36328125" style="161" customWidth="1"/>
    <col min="4872" max="4872" width="15.453125" style="161" bestFit="1" customWidth="1"/>
    <col min="4873" max="4873" width="17.08984375" style="161" bestFit="1" customWidth="1"/>
    <col min="4874" max="4874" width="17.6328125" style="161" bestFit="1" customWidth="1"/>
    <col min="4875" max="4875" width="40.08984375" style="161" customWidth="1"/>
    <col min="4876" max="4876" width="17.08984375" style="161" customWidth="1"/>
    <col min="4877" max="4877" width="31.453125" style="161" customWidth="1"/>
    <col min="4878" max="5032" width="17.08984375" style="161" customWidth="1"/>
    <col min="5033" max="5120" width="97" style="161"/>
    <col min="5121" max="5121" width="19.36328125" style="161" customWidth="1"/>
    <col min="5122" max="5122" width="54.453125" style="161" customWidth="1"/>
    <col min="5123" max="5123" width="11.6328125" style="161" bestFit="1" customWidth="1"/>
    <col min="5124" max="5124" width="54.6328125" style="161" customWidth="1"/>
    <col min="5125" max="5125" width="12.36328125" style="161" bestFit="1" customWidth="1"/>
    <col min="5126" max="5126" width="18.36328125" style="161" bestFit="1" customWidth="1"/>
    <col min="5127" max="5127" width="27.36328125" style="161" customWidth="1"/>
    <col min="5128" max="5128" width="15.453125" style="161" bestFit="1" customWidth="1"/>
    <col min="5129" max="5129" width="17.08984375" style="161" bestFit="1" customWidth="1"/>
    <col min="5130" max="5130" width="17.6328125" style="161" bestFit="1" customWidth="1"/>
    <col min="5131" max="5131" width="40.08984375" style="161" customWidth="1"/>
    <col min="5132" max="5132" width="17.08984375" style="161" customWidth="1"/>
    <col min="5133" max="5133" width="31.453125" style="161" customWidth="1"/>
    <col min="5134" max="5288" width="17.08984375" style="161" customWidth="1"/>
    <col min="5289" max="5376" width="97" style="161"/>
    <col min="5377" max="5377" width="19.36328125" style="161" customWidth="1"/>
    <col min="5378" max="5378" width="54.453125" style="161" customWidth="1"/>
    <col min="5379" max="5379" width="11.6328125" style="161" bestFit="1" customWidth="1"/>
    <col min="5380" max="5380" width="54.6328125" style="161" customWidth="1"/>
    <col min="5381" max="5381" width="12.36328125" style="161" bestFit="1" customWidth="1"/>
    <col min="5382" max="5382" width="18.36328125" style="161" bestFit="1" customWidth="1"/>
    <col min="5383" max="5383" width="27.36328125" style="161" customWidth="1"/>
    <col min="5384" max="5384" width="15.453125" style="161" bestFit="1" customWidth="1"/>
    <col min="5385" max="5385" width="17.08984375" style="161" bestFit="1" customWidth="1"/>
    <col min="5386" max="5386" width="17.6328125" style="161" bestFit="1" customWidth="1"/>
    <col min="5387" max="5387" width="40.08984375" style="161" customWidth="1"/>
    <col min="5388" max="5388" width="17.08984375" style="161" customWidth="1"/>
    <col min="5389" max="5389" width="31.453125" style="161" customWidth="1"/>
    <col min="5390" max="5544" width="17.08984375" style="161" customWidth="1"/>
    <col min="5545" max="5632" width="97" style="161"/>
    <col min="5633" max="5633" width="19.36328125" style="161" customWidth="1"/>
    <col min="5634" max="5634" width="54.453125" style="161" customWidth="1"/>
    <col min="5635" max="5635" width="11.6328125" style="161" bestFit="1" customWidth="1"/>
    <col min="5636" max="5636" width="54.6328125" style="161" customWidth="1"/>
    <col min="5637" max="5637" width="12.36328125" style="161" bestFit="1" customWidth="1"/>
    <col min="5638" max="5638" width="18.36328125" style="161" bestFit="1" customWidth="1"/>
    <col min="5639" max="5639" width="27.36328125" style="161" customWidth="1"/>
    <col min="5640" max="5640" width="15.453125" style="161" bestFit="1" customWidth="1"/>
    <col min="5641" max="5641" width="17.08984375" style="161" bestFit="1" customWidth="1"/>
    <col min="5642" max="5642" width="17.6328125" style="161" bestFit="1" customWidth="1"/>
    <col min="5643" max="5643" width="40.08984375" style="161" customWidth="1"/>
    <col min="5644" max="5644" width="17.08984375" style="161" customWidth="1"/>
    <col min="5645" max="5645" width="31.453125" style="161" customWidth="1"/>
    <col min="5646" max="5800" width="17.08984375" style="161" customWidth="1"/>
    <col min="5801" max="5888" width="97" style="161"/>
    <col min="5889" max="5889" width="19.36328125" style="161" customWidth="1"/>
    <col min="5890" max="5890" width="54.453125" style="161" customWidth="1"/>
    <col min="5891" max="5891" width="11.6328125" style="161" bestFit="1" customWidth="1"/>
    <col min="5892" max="5892" width="54.6328125" style="161" customWidth="1"/>
    <col min="5893" max="5893" width="12.36328125" style="161" bestFit="1" customWidth="1"/>
    <col min="5894" max="5894" width="18.36328125" style="161" bestFit="1" customWidth="1"/>
    <col min="5895" max="5895" width="27.36328125" style="161" customWidth="1"/>
    <col min="5896" max="5896" width="15.453125" style="161" bestFit="1" customWidth="1"/>
    <col min="5897" max="5897" width="17.08984375" style="161" bestFit="1" customWidth="1"/>
    <col min="5898" max="5898" width="17.6328125" style="161" bestFit="1" customWidth="1"/>
    <col min="5899" max="5899" width="40.08984375" style="161" customWidth="1"/>
    <col min="5900" max="5900" width="17.08984375" style="161" customWidth="1"/>
    <col min="5901" max="5901" width="31.453125" style="161" customWidth="1"/>
    <col min="5902" max="6056" width="17.08984375" style="161" customWidth="1"/>
    <col min="6057" max="6144" width="97" style="161"/>
    <col min="6145" max="6145" width="19.36328125" style="161" customWidth="1"/>
    <col min="6146" max="6146" width="54.453125" style="161" customWidth="1"/>
    <col min="6147" max="6147" width="11.6328125" style="161" bestFit="1" customWidth="1"/>
    <col min="6148" max="6148" width="54.6328125" style="161" customWidth="1"/>
    <col min="6149" max="6149" width="12.36328125" style="161" bestFit="1" customWidth="1"/>
    <col min="6150" max="6150" width="18.36328125" style="161" bestFit="1" customWidth="1"/>
    <col min="6151" max="6151" width="27.36328125" style="161" customWidth="1"/>
    <col min="6152" max="6152" width="15.453125" style="161" bestFit="1" customWidth="1"/>
    <col min="6153" max="6153" width="17.08984375" style="161" bestFit="1" customWidth="1"/>
    <col min="6154" max="6154" width="17.6328125" style="161" bestFit="1" customWidth="1"/>
    <col min="6155" max="6155" width="40.08984375" style="161" customWidth="1"/>
    <col min="6156" max="6156" width="17.08984375" style="161" customWidth="1"/>
    <col min="6157" max="6157" width="31.453125" style="161" customWidth="1"/>
    <col min="6158" max="6312" width="17.08984375" style="161" customWidth="1"/>
    <col min="6313" max="6400" width="97" style="161"/>
    <col min="6401" max="6401" width="19.36328125" style="161" customWidth="1"/>
    <col min="6402" max="6402" width="54.453125" style="161" customWidth="1"/>
    <col min="6403" max="6403" width="11.6328125" style="161" bestFit="1" customWidth="1"/>
    <col min="6404" max="6404" width="54.6328125" style="161" customWidth="1"/>
    <col min="6405" max="6405" width="12.36328125" style="161" bestFit="1" customWidth="1"/>
    <col min="6406" max="6406" width="18.36328125" style="161" bestFit="1" customWidth="1"/>
    <col min="6407" max="6407" width="27.36328125" style="161" customWidth="1"/>
    <col min="6408" max="6408" width="15.453125" style="161" bestFit="1" customWidth="1"/>
    <col min="6409" max="6409" width="17.08984375" style="161" bestFit="1" customWidth="1"/>
    <col min="6410" max="6410" width="17.6328125" style="161" bestFit="1" customWidth="1"/>
    <col min="6411" max="6411" width="40.08984375" style="161" customWidth="1"/>
    <col min="6412" max="6412" width="17.08984375" style="161" customWidth="1"/>
    <col min="6413" max="6413" width="31.453125" style="161" customWidth="1"/>
    <col min="6414" max="6568" width="17.08984375" style="161" customWidth="1"/>
    <col min="6569" max="6656" width="97" style="161"/>
    <col min="6657" max="6657" width="19.36328125" style="161" customWidth="1"/>
    <col min="6658" max="6658" width="54.453125" style="161" customWidth="1"/>
    <col min="6659" max="6659" width="11.6328125" style="161" bestFit="1" customWidth="1"/>
    <col min="6660" max="6660" width="54.6328125" style="161" customWidth="1"/>
    <col min="6661" max="6661" width="12.36328125" style="161" bestFit="1" customWidth="1"/>
    <col min="6662" max="6662" width="18.36328125" style="161" bestFit="1" customWidth="1"/>
    <col min="6663" max="6663" width="27.36328125" style="161" customWidth="1"/>
    <col min="6664" max="6664" width="15.453125" style="161" bestFit="1" customWidth="1"/>
    <col min="6665" max="6665" width="17.08984375" style="161" bestFit="1" customWidth="1"/>
    <col min="6666" max="6666" width="17.6328125" style="161" bestFit="1" customWidth="1"/>
    <col min="6667" max="6667" width="40.08984375" style="161" customWidth="1"/>
    <col min="6668" max="6668" width="17.08984375" style="161" customWidth="1"/>
    <col min="6669" max="6669" width="31.453125" style="161" customWidth="1"/>
    <col min="6670" max="6824" width="17.08984375" style="161" customWidth="1"/>
    <col min="6825" max="6912" width="97" style="161"/>
    <col min="6913" max="6913" width="19.36328125" style="161" customWidth="1"/>
    <col min="6914" max="6914" width="54.453125" style="161" customWidth="1"/>
    <col min="6915" max="6915" width="11.6328125" style="161" bestFit="1" customWidth="1"/>
    <col min="6916" max="6916" width="54.6328125" style="161" customWidth="1"/>
    <col min="6917" max="6917" width="12.36328125" style="161" bestFit="1" customWidth="1"/>
    <col min="6918" max="6918" width="18.36328125" style="161" bestFit="1" customWidth="1"/>
    <col min="6919" max="6919" width="27.36328125" style="161" customWidth="1"/>
    <col min="6920" max="6920" width="15.453125" style="161" bestFit="1" customWidth="1"/>
    <col min="6921" max="6921" width="17.08984375" style="161" bestFit="1" customWidth="1"/>
    <col min="6922" max="6922" width="17.6328125" style="161" bestFit="1" customWidth="1"/>
    <col min="6923" max="6923" width="40.08984375" style="161" customWidth="1"/>
    <col min="6924" max="6924" width="17.08984375" style="161" customWidth="1"/>
    <col min="6925" max="6925" width="31.453125" style="161" customWidth="1"/>
    <col min="6926" max="7080" width="17.08984375" style="161" customWidth="1"/>
    <col min="7081" max="7168" width="97" style="161"/>
    <col min="7169" max="7169" width="19.36328125" style="161" customWidth="1"/>
    <col min="7170" max="7170" width="54.453125" style="161" customWidth="1"/>
    <col min="7171" max="7171" width="11.6328125" style="161" bestFit="1" customWidth="1"/>
    <col min="7172" max="7172" width="54.6328125" style="161" customWidth="1"/>
    <col min="7173" max="7173" width="12.36328125" style="161" bestFit="1" customWidth="1"/>
    <col min="7174" max="7174" width="18.36328125" style="161" bestFit="1" customWidth="1"/>
    <col min="7175" max="7175" width="27.36328125" style="161" customWidth="1"/>
    <col min="7176" max="7176" width="15.453125" style="161" bestFit="1" customWidth="1"/>
    <col min="7177" max="7177" width="17.08984375" style="161" bestFit="1" customWidth="1"/>
    <col min="7178" max="7178" width="17.6328125" style="161" bestFit="1" customWidth="1"/>
    <col min="7179" max="7179" width="40.08984375" style="161" customWidth="1"/>
    <col min="7180" max="7180" width="17.08984375" style="161" customWidth="1"/>
    <col min="7181" max="7181" width="31.453125" style="161" customWidth="1"/>
    <col min="7182" max="7336" width="17.08984375" style="161" customWidth="1"/>
    <col min="7337" max="7424" width="97" style="161"/>
    <col min="7425" max="7425" width="19.36328125" style="161" customWidth="1"/>
    <col min="7426" max="7426" width="54.453125" style="161" customWidth="1"/>
    <col min="7427" max="7427" width="11.6328125" style="161" bestFit="1" customWidth="1"/>
    <col min="7428" max="7428" width="54.6328125" style="161" customWidth="1"/>
    <col min="7429" max="7429" width="12.36328125" style="161" bestFit="1" customWidth="1"/>
    <col min="7430" max="7430" width="18.36328125" style="161" bestFit="1" customWidth="1"/>
    <col min="7431" max="7431" width="27.36328125" style="161" customWidth="1"/>
    <col min="7432" max="7432" width="15.453125" style="161" bestFit="1" customWidth="1"/>
    <col min="7433" max="7433" width="17.08984375" style="161" bestFit="1" customWidth="1"/>
    <col min="7434" max="7434" width="17.6328125" style="161" bestFit="1" customWidth="1"/>
    <col min="7435" max="7435" width="40.08984375" style="161" customWidth="1"/>
    <col min="7436" max="7436" width="17.08984375" style="161" customWidth="1"/>
    <col min="7437" max="7437" width="31.453125" style="161" customWidth="1"/>
    <col min="7438" max="7592" width="17.08984375" style="161" customWidth="1"/>
    <col min="7593" max="7680" width="97" style="161"/>
    <col min="7681" max="7681" width="19.36328125" style="161" customWidth="1"/>
    <col min="7682" max="7682" width="54.453125" style="161" customWidth="1"/>
    <col min="7683" max="7683" width="11.6328125" style="161" bestFit="1" customWidth="1"/>
    <col min="7684" max="7684" width="54.6328125" style="161" customWidth="1"/>
    <col min="7685" max="7685" width="12.36328125" style="161" bestFit="1" customWidth="1"/>
    <col min="7686" max="7686" width="18.36328125" style="161" bestFit="1" customWidth="1"/>
    <col min="7687" max="7687" width="27.36328125" style="161" customWidth="1"/>
    <col min="7688" max="7688" width="15.453125" style="161" bestFit="1" customWidth="1"/>
    <col min="7689" max="7689" width="17.08984375" style="161" bestFit="1" customWidth="1"/>
    <col min="7690" max="7690" width="17.6328125" style="161" bestFit="1" customWidth="1"/>
    <col min="7691" max="7691" width="40.08984375" style="161" customWidth="1"/>
    <col min="7692" max="7692" width="17.08984375" style="161" customWidth="1"/>
    <col min="7693" max="7693" width="31.453125" style="161" customWidth="1"/>
    <col min="7694" max="7848" width="17.08984375" style="161" customWidth="1"/>
    <col min="7849" max="7936" width="97" style="161"/>
    <col min="7937" max="7937" width="19.36328125" style="161" customWidth="1"/>
    <col min="7938" max="7938" width="54.453125" style="161" customWidth="1"/>
    <col min="7939" max="7939" width="11.6328125" style="161" bestFit="1" customWidth="1"/>
    <col min="7940" max="7940" width="54.6328125" style="161" customWidth="1"/>
    <col min="7941" max="7941" width="12.36328125" style="161" bestFit="1" customWidth="1"/>
    <col min="7942" max="7942" width="18.36328125" style="161" bestFit="1" customWidth="1"/>
    <col min="7943" max="7943" width="27.36328125" style="161" customWidth="1"/>
    <col min="7944" max="7944" width="15.453125" style="161" bestFit="1" customWidth="1"/>
    <col min="7945" max="7945" width="17.08984375" style="161" bestFit="1" customWidth="1"/>
    <col min="7946" max="7946" width="17.6328125" style="161" bestFit="1" customWidth="1"/>
    <col min="7947" max="7947" width="40.08984375" style="161" customWidth="1"/>
    <col min="7948" max="7948" width="17.08984375" style="161" customWidth="1"/>
    <col min="7949" max="7949" width="31.453125" style="161" customWidth="1"/>
    <col min="7950" max="8104" width="17.08984375" style="161" customWidth="1"/>
    <col min="8105" max="8192" width="97" style="161"/>
    <col min="8193" max="8193" width="19.36328125" style="161" customWidth="1"/>
    <col min="8194" max="8194" width="54.453125" style="161" customWidth="1"/>
    <col min="8195" max="8195" width="11.6328125" style="161" bestFit="1" customWidth="1"/>
    <col min="8196" max="8196" width="54.6328125" style="161" customWidth="1"/>
    <col min="8197" max="8197" width="12.36328125" style="161" bestFit="1" customWidth="1"/>
    <col min="8198" max="8198" width="18.36328125" style="161" bestFit="1" customWidth="1"/>
    <col min="8199" max="8199" width="27.36328125" style="161" customWidth="1"/>
    <col min="8200" max="8200" width="15.453125" style="161" bestFit="1" customWidth="1"/>
    <col min="8201" max="8201" width="17.08984375" style="161" bestFit="1" customWidth="1"/>
    <col min="8202" max="8202" width="17.6328125" style="161" bestFit="1" customWidth="1"/>
    <col min="8203" max="8203" width="40.08984375" style="161" customWidth="1"/>
    <col min="8204" max="8204" width="17.08984375" style="161" customWidth="1"/>
    <col min="8205" max="8205" width="31.453125" style="161" customWidth="1"/>
    <col min="8206" max="8360" width="17.08984375" style="161" customWidth="1"/>
    <col min="8361" max="8448" width="97" style="161"/>
    <col min="8449" max="8449" width="19.36328125" style="161" customWidth="1"/>
    <col min="8450" max="8450" width="54.453125" style="161" customWidth="1"/>
    <col min="8451" max="8451" width="11.6328125" style="161" bestFit="1" customWidth="1"/>
    <col min="8452" max="8452" width="54.6328125" style="161" customWidth="1"/>
    <col min="8453" max="8453" width="12.36328125" style="161" bestFit="1" customWidth="1"/>
    <col min="8454" max="8454" width="18.36328125" style="161" bestFit="1" customWidth="1"/>
    <col min="8455" max="8455" width="27.36328125" style="161" customWidth="1"/>
    <col min="8456" max="8456" width="15.453125" style="161" bestFit="1" customWidth="1"/>
    <col min="8457" max="8457" width="17.08984375" style="161" bestFit="1" customWidth="1"/>
    <col min="8458" max="8458" width="17.6328125" style="161" bestFit="1" customWidth="1"/>
    <col min="8459" max="8459" width="40.08984375" style="161" customWidth="1"/>
    <col min="8460" max="8460" width="17.08984375" style="161" customWidth="1"/>
    <col min="8461" max="8461" width="31.453125" style="161" customWidth="1"/>
    <col min="8462" max="8616" width="17.08984375" style="161" customWidth="1"/>
    <col min="8617" max="8704" width="97" style="161"/>
    <col min="8705" max="8705" width="19.36328125" style="161" customWidth="1"/>
    <col min="8706" max="8706" width="54.453125" style="161" customWidth="1"/>
    <col min="8707" max="8707" width="11.6328125" style="161" bestFit="1" customWidth="1"/>
    <col min="8708" max="8708" width="54.6328125" style="161" customWidth="1"/>
    <col min="8709" max="8709" width="12.36328125" style="161" bestFit="1" customWidth="1"/>
    <col min="8710" max="8710" width="18.36328125" style="161" bestFit="1" customWidth="1"/>
    <col min="8711" max="8711" width="27.36328125" style="161" customWidth="1"/>
    <col min="8712" max="8712" width="15.453125" style="161" bestFit="1" customWidth="1"/>
    <col min="8713" max="8713" width="17.08984375" style="161" bestFit="1" customWidth="1"/>
    <col min="8714" max="8714" width="17.6328125" style="161" bestFit="1" customWidth="1"/>
    <col min="8715" max="8715" width="40.08984375" style="161" customWidth="1"/>
    <col min="8716" max="8716" width="17.08984375" style="161" customWidth="1"/>
    <col min="8717" max="8717" width="31.453125" style="161" customWidth="1"/>
    <col min="8718" max="8872" width="17.08984375" style="161" customWidth="1"/>
    <col min="8873" max="8960" width="97" style="161"/>
    <col min="8961" max="8961" width="19.36328125" style="161" customWidth="1"/>
    <col min="8962" max="8962" width="54.453125" style="161" customWidth="1"/>
    <col min="8963" max="8963" width="11.6328125" style="161" bestFit="1" customWidth="1"/>
    <col min="8964" max="8964" width="54.6328125" style="161" customWidth="1"/>
    <col min="8965" max="8965" width="12.36328125" style="161" bestFit="1" customWidth="1"/>
    <col min="8966" max="8966" width="18.36328125" style="161" bestFit="1" customWidth="1"/>
    <col min="8967" max="8967" width="27.36328125" style="161" customWidth="1"/>
    <col min="8968" max="8968" width="15.453125" style="161" bestFit="1" customWidth="1"/>
    <col min="8969" max="8969" width="17.08984375" style="161" bestFit="1" customWidth="1"/>
    <col min="8970" max="8970" width="17.6328125" style="161" bestFit="1" customWidth="1"/>
    <col min="8971" max="8971" width="40.08984375" style="161" customWidth="1"/>
    <col min="8972" max="8972" width="17.08984375" style="161" customWidth="1"/>
    <col min="8973" max="8973" width="31.453125" style="161" customWidth="1"/>
    <col min="8974" max="9128" width="17.08984375" style="161" customWidth="1"/>
    <col min="9129" max="9216" width="97" style="161"/>
    <col min="9217" max="9217" width="19.36328125" style="161" customWidth="1"/>
    <col min="9218" max="9218" width="54.453125" style="161" customWidth="1"/>
    <col min="9219" max="9219" width="11.6328125" style="161" bestFit="1" customWidth="1"/>
    <col min="9220" max="9220" width="54.6328125" style="161" customWidth="1"/>
    <col min="9221" max="9221" width="12.36328125" style="161" bestFit="1" customWidth="1"/>
    <col min="9222" max="9222" width="18.36328125" style="161" bestFit="1" customWidth="1"/>
    <col min="9223" max="9223" width="27.36328125" style="161" customWidth="1"/>
    <col min="9224" max="9224" width="15.453125" style="161" bestFit="1" customWidth="1"/>
    <col min="9225" max="9225" width="17.08984375" style="161" bestFit="1" customWidth="1"/>
    <col min="9226" max="9226" width="17.6328125" style="161" bestFit="1" customWidth="1"/>
    <col min="9227" max="9227" width="40.08984375" style="161" customWidth="1"/>
    <col min="9228" max="9228" width="17.08984375" style="161" customWidth="1"/>
    <col min="9229" max="9229" width="31.453125" style="161" customWidth="1"/>
    <col min="9230" max="9384" width="17.08984375" style="161" customWidth="1"/>
    <col min="9385" max="9472" width="97" style="161"/>
    <col min="9473" max="9473" width="19.36328125" style="161" customWidth="1"/>
    <col min="9474" max="9474" width="54.453125" style="161" customWidth="1"/>
    <col min="9475" max="9475" width="11.6328125" style="161" bestFit="1" customWidth="1"/>
    <col min="9476" max="9476" width="54.6328125" style="161" customWidth="1"/>
    <col min="9477" max="9477" width="12.36328125" style="161" bestFit="1" customWidth="1"/>
    <col min="9478" max="9478" width="18.36328125" style="161" bestFit="1" customWidth="1"/>
    <col min="9479" max="9479" width="27.36328125" style="161" customWidth="1"/>
    <col min="9480" max="9480" width="15.453125" style="161" bestFit="1" customWidth="1"/>
    <col min="9481" max="9481" width="17.08984375" style="161" bestFit="1" customWidth="1"/>
    <col min="9482" max="9482" width="17.6328125" style="161" bestFit="1" customWidth="1"/>
    <col min="9483" max="9483" width="40.08984375" style="161" customWidth="1"/>
    <col min="9484" max="9484" width="17.08984375" style="161" customWidth="1"/>
    <col min="9485" max="9485" width="31.453125" style="161" customWidth="1"/>
    <col min="9486" max="9640" width="17.08984375" style="161" customWidth="1"/>
    <col min="9641" max="9728" width="97" style="161"/>
    <col min="9729" max="9729" width="19.36328125" style="161" customWidth="1"/>
    <col min="9730" max="9730" width="54.453125" style="161" customWidth="1"/>
    <col min="9731" max="9731" width="11.6328125" style="161" bestFit="1" customWidth="1"/>
    <col min="9732" max="9732" width="54.6328125" style="161" customWidth="1"/>
    <col min="9733" max="9733" width="12.36328125" style="161" bestFit="1" customWidth="1"/>
    <col min="9734" max="9734" width="18.36328125" style="161" bestFit="1" customWidth="1"/>
    <col min="9735" max="9735" width="27.36328125" style="161" customWidth="1"/>
    <col min="9736" max="9736" width="15.453125" style="161" bestFit="1" customWidth="1"/>
    <col min="9737" max="9737" width="17.08984375" style="161" bestFit="1" customWidth="1"/>
    <col min="9738" max="9738" width="17.6328125" style="161" bestFit="1" customWidth="1"/>
    <col min="9739" max="9739" width="40.08984375" style="161" customWidth="1"/>
    <col min="9740" max="9740" width="17.08984375" style="161" customWidth="1"/>
    <col min="9741" max="9741" width="31.453125" style="161" customWidth="1"/>
    <col min="9742" max="9896" width="17.08984375" style="161" customWidth="1"/>
    <col min="9897" max="9984" width="97" style="161"/>
    <col min="9985" max="9985" width="19.36328125" style="161" customWidth="1"/>
    <col min="9986" max="9986" width="54.453125" style="161" customWidth="1"/>
    <col min="9987" max="9987" width="11.6328125" style="161" bestFit="1" customWidth="1"/>
    <col min="9988" max="9988" width="54.6328125" style="161" customWidth="1"/>
    <col min="9989" max="9989" width="12.36328125" style="161" bestFit="1" customWidth="1"/>
    <col min="9990" max="9990" width="18.36328125" style="161" bestFit="1" customWidth="1"/>
    <col min="9991" max="9991" width="27.36328125" style="161" customWidth="1"/>
    <col min="9992" max="9992" width="15.453125" style="161" bestFit="1" customWidth="1"/>
    <col min="9993" max="9993" width="17.08984375" style="161" bestFit="1" customWidth="1"/>
    <col min="9994" max="9994" width="17.6328125" style="161" bestFit="1" customWidth="1"/>
    <col min="9995" max="9995" width="40.08984375" style="161" customWidth="1"/>
    <col min="9996" max="9996" width="17.08984375" style="161" customWidth="1"/>
    <col min="9997" max="9997" width="31.453125" style="161" customWidth="1"/>
    <col min="9998" max="10152" width="17.08984375" style="161" customWidth="1"/>
    <col min="10153" max="10240" width="97" style="161"/>
    <col min="10241" max="10241" width="19.36328125" style="161" customWidth="1"/>
    <col min="10242" max="10242" width="54.453125" style="161" customWidth="1"/>
    <col min="10243" max="10243" width="11.6328125" style="161" bestFit="1" customWidth="1"/>
    <col min="10244" max="10244" width="54.6328125" style="161" customWidth="1"/>
    <col min="10245" max="10245" width="12.36328125" style="161" bestFit="1" customWidth="1"/>
    <col min="10246" max="10246" width="18.36328125" style="161" bestFit="1" customWidth="1"/>
    <col min="10247" max="10247" width="27.36328125" style="161" customWidth="1"/>
    <col min="10248" max="10248" width="15.453125" style="161" bestFit="1" customWidth="1"/>
    <col min="10249" max="10249" width="17.08984375" style="161" bestFit="1" customWidth="1"/>
    <col min="10250" max="10250" width="17.6328125" style="161" bestFit="1" customWidth="1"/>
    <col min="10251" max="10251" width="40.08984375" style="161" customWidth="1"/>
    <col min="10252" max="10252" width="17.08984375" style="161" customWidth="1"/>
    <col min="10253" max="10253" width="31.453125" style="161" customWidth="1"/>
    <col min="10254" max="10408" width="17.08984375" style="161" customWidth="1"/>
    <col min="10409" max="10496" width="97" style="161"/>
    <col min="10497" max="10497" width="19.36328125" style="161" customWidth="1"/>
    <col min="10498" max="10498" width="54.453125" style="161" customWidth="1"/>
    <col min="10499" max="10499" width="11.6328125" style="161" bestFit="1" customWidth="1"/>
    <col min="10500" max="10500" width="54.6328125" style="161" customWidth="1"/>
    <col min="10501" max="10501" width="12.36328125" style="161" bestFit="1" customWidth="1"/>
    <col min="10502" max="10502" width="18.36328125" style="161" bestFit="1" customWidth="1"/>
    <col min="10503" max="10503" width="27.36328125" style="161" customWidth="1"/>
    <col min="10504" max="10504" width="15.453125" style="161" bestFit="1" customWidth="1"/>
    <col min="10505" max="10505" width="17.08984375" style="161" bestFit="1" customWidth="1"/>
    <col min="10506" max="10506" width="17.6328125" style="161" bestFit="1" customWidth="1"/>
    <col min="10507" max="10507" width="40.08984375" style="161" customWidth="1"/>
    <col min="10508" max="10508" width="17.08984375" style="161" customWidth="1"/>
    <col min="10509" max="10509" width="31.453125" style="161" customWidth="1"/>
    <col min="10510" max="10664" width="17.08984375" style="161" customWidth="1"/>
    <col min="10665" max="10752" width="97" style="161"/>
    <col min="10753" max="10753" width="19.36328125" style="161" customWidth="1"/>
    <col min="10754" max="10754" width="54.453125" style="161" customWidth="1"/>
    <col min="10755" max="10755" width="11.6328125" style="161" bestFit="1" customWidth="1"/>
    <col min="10756" max="10756" width="54.6328125" style="161" customWidth="1"/>
    <col min="10757" max="10757" width="12.36328125" style="161" bestFit="1" customWidth="1"/>
    <col min="10758" max="10758" width="18.36328125" style="161" bestFit="1" customWidth="1"/>
    <col min="10759" max="10759" width="27.36328125" style="161" customWidth="1"/>
    <col min="10760" max="10760" width="15.453125" style="161" bestFit="1" customWidth="1"/>
    <col min="10761" max="10761" width="17.08984375" style="161" bestFit="1" customWidth="1"/>
    <col min="10762" max="10762" width="17.6328125" style="161" bestFit="1" customWidth="1"/>
    <col min="10763" max="10763" width="40.08984375" style="161" customWidth="1"/>
    <col min="10764" max="10764" width="17.08984375" style="161" customWidth="1"/>
    <col min="10765" max="10765" width="31.453125" style="161" customWidth="1"/>
    <col min="10766" max="10920" width="17.08984375" style="161" customWidth="1"/>
    <col min="10921" max="11008" width="97" style="161"/>
    <col min="11009" max="11009" width="19.36328125" style="161" customWidth="1"/>
    <col min="11010" max="11010" width="54.453125" style="161" customWidth="1"/>
    <col min="11011" max="11011" width="11.6328125" style="161" bestFit="1" customWidth="1"/>
    <col min="11012" max="11012" width="54.6328125" style="161" customWidth="1"/>
    <col min="11013" max="11013" width="12.36328125" style="161" bestFit="1" customWidth="1"/>
    <col min="11014" max="11014" width="18.36328125" style="161" bestFit="1" customWidth="1"/>
    <col min="11015" max="11015" width="27.36328125" style="161" customWidth="1"/>
    <col min="11016" max="11016" width="15.453125" style="161" bestFit="1" customWidth="1"/>
    <col min="11017" max="11017" width="17.08984375" style="161" bestFit="1" customWidth="1"/>
    <col min="11018" max="11018" width="17.6328125" style="161" bestFit="1" customWidth="1"/>
    <col min="11019" max="11019" width="40.08984375" style="161" customWidth="1"/>
    <col min="11020" max="11020" width="17.08984375" style="161" customWidth="1"/>
    <col min="11021" max="11021" width="31.453125" style="161" customWidth="1"/>
    <col min="11022" max="11176" width="17.08984375" style="161" customWidth="1"/>
    <col min="11177" max="11264" width="97" style="161"/>
    <col min="11265" max="11265" width="19.36328125" style="161" customWidth="1"/>
    <col min="11266" max="11266" width="54.453125" style="161" customWidth="1"/>
    <col min="11267" max="11267" width="11.6328125" style="161" bestFit="1" customWidth="1"/>
    <col min="11268" max="11268" width="54.6328125" style="161" customWidth="1"/>
    <col min="11269" max="11269" width="12.36328125" style="161" bestFit="1" customWidth="1"/>
    <col min="11270" max="11270" width="18.36328125" style="161" bestFit="1" customWidth="1"/>
    <col min="11271" max="11271" width="27.36328125" style="161" customWidth="1"/>
    <col min="11272" max="11272" width="15.453125" style="161" bestFit="1" customWidth="1"/>
    <col min="11273" max="11273" width="17.08984375" style="161" bestFit="1" customWidth="1"/>
    <col min="11274" max="11274" width="17.6328125" style="161" bestFit="1" customWidth="1"/>
    <col min="11275" max="11275" width="40.08984375" style="161" customWidth="1"/>
    <col min="11276" max="11276" width="17.08984375" style="161" customWidth="1"/>
    <col min="11277" max="11277" width="31.453125" style="161" customWidth="1"/>
    <col min="11278" max="11432" width="17.08984375" style="161" customWidth="1"/>
    <col min="11433" max="11520" width="97" style="161"/>
    <col min="11521" max="11521" width="19.36328125" style="161" customWidth="1"/>
    <col min="11522" max="11522" width="54.453125" style="161" customWidth="1"/>
    <col min="11523" max="11523" width="11.6328125" style="161" bestFit="1" customWidth="1"/>
    <col min="11524" max="11524" width="54.6328125" style="161" customWidth="1"/>
    <col min="11525" max="11525" width="12.36328125" style="161" bestFit="1" customWidth="1"/>
    <col min="11526" max="11526" width="18.36328125" style="161" bestFit="1" customWidth="1"/>
    <col min="11527" max="11527" width="27.36328125" style="161" customWidth="1"/>
    <col min="11528" max="11528" width="15.453125" style="161" bestFit="1" customWidth="1"/>
    <col min="11529" max="11529" width="17.08984375" style="161" bestFit="1" customWidth="1"/>
    <col min="11530" max="11530" width="17.6328125" style="161" bestFit="1" customWidth="1"/>
    <col min="11531" max="11531" width="40.08984375" style="161" customWidth="1"/>
    <col min="11532" max="11532" width="17.08984375" style="161" customWidth="1"/>
    <col min="11533" max="11533" width="31.453125" style="161" customWidth="1"/>
    <col min="11534" max="11688" width="17.08984375" style="161" customWidth="1"/>
    <col min="11689" max="11776" width="97" style="161"/>
    <col min="11777" max="11777" width="19.36328125" style="161" customWidth="1"/>
    <col min="11778" max="11778" width="54.453125" style="161" customWidth="1"/>
    <col min="11779" max="11779" width="11.6328125" style="161" bestFit="1" customWidth="1"/>
    <col min="11780" max="11780" width="54.6328125" style="161" customWidth="1"/>
    <col min="11781" max="11781" width="12.36328125" style="161" bestFit="1" customWidth="1"/>
    <col min="11782" max="11782" width="18.36328125" style="161" bestFit="1" customWidth="1"/>
    <col min="11783" max="11783" width="27.36328125" style="161" customWidth="1"/>
    <col min="11784" max="11784" width="15.453125" style="161" bestFit="1" customWidth="1"/>
    <col min="11785" max="11785" width="17.08984375" style="161" bestFit="1" customWidth="1"/>
    <col min="11786" max="11786" width="17.6328125" style="161" bestFit="1" customWidth="1"/>
    <col min="11787" max="11787" width="40.08984375" style="161" customWidth="1"/>
    <col min="11788" max="11788" width="17.08984375" style="161" customWidth="1"/>
    <col min="11789" max="11789" width="31.453125" style="161" customWidth="1"/>
    <col min="11790" max="11944" width="17.08984375" style="161" customWidth="1"/>
    <col min="11945" max="12032" width="97" style="161"/>
    <col min="12033" max="12033" width="19.36328125" style="161" customWidth="1"/>
    <col min="12034" max="12034" width="54.453125" style="161" customWidth="1"/>
    <col min="12035" max="12035" width="11.6328125" style="161" bestFit="1" customWidth="1"/>
    <col min="12036" max="12036" width="54.6328125" style="161" customWidth="1"/>
    <col min="12037" max="12037" width="12.36328125" style="161" bestFit="1" customWidth="1"/>
    <col min="12038" max="12038" width="18.36328125" style="161" bestFit="1" customWidth="1"/>
    <col min="12039" max="12039" width="27.36328125" style="161" customWidth="1"/>
    <col min="12040" max="12040" width="15.453125" style="161" bestFit="1" customWidth="1"/>
    <col min="12041" max="12041" width="17.08984375" style="161" bestFit="1" customWidth="1"/>
    <col min="12042" max="12042" width="17.6328125" style="161" bestFit="1" customWidth="1"/>
    <col min="12043" max="12043" width="40.08984375" style="161" customWidth="1"/>
    <col min="12044" max="12044" width="17.08984375" style="161" customWidth="1"/>
    <col min="12045" max="12045" width="31.453125" style="161" customWidth="1"/>
    <col min="12046" max="12200" width="17.08984375" style="161" customWidth="1"/>
    <col min="12201" max="12288" width="97" style="161"/>
    <col min="12289" max="12289" width="19.36328125" style="161" customWidth="1"/>
    <col min="12290" max="12290" width="54.453125" style="161" customWidth="1"/>
    <col min="12291" max="12291" width="11.6328125" style="161" bestFit="1" customWidth="1"/>
    <col min="12292" max="12292" width="54.6328125" style="161" customWidth="1"/>
    <col min="12293" max="12293" width="12.36328125" style="161" bestFit="1" customWidth="1"/>
    <col min="12294" max="12294" width="18.36328125" style="161" bestFit="1" customWidth="1"/>
    <col min="12295" max="12295" width="27.36328125" style="161" customWidth="1"/>
    <col min="12296" max="12296" width="15.453125" style="161" bestFit="1" customWidth="1"/>
    <col min="12297" max="12297" width="17.08984375" style="161" bestFit="1" customWidth="1"/>
    <col min="12298" max="12298" width="17.6328125" style="161" bestFit="1" customWidth="1"/>
    <col min="12299" max="12299" width="40.08984375" style="161" customWidth="1"/>
    <col min="12300" max="12300" width="17.08984375" style="161" customWidth="1"/>
    <col min="12301" max="12301" width="31.453125" style="161" customWidth="1"/>
    <col min="12302" max="12456" width="17.08984375" style="161" customWidth="1"/>
    <col min="12457" max="12544" width="97" style="161"/>
    <col min="12545" max="12545" width="19.36328125" style="161" customWidth="1"/>
    <col min="12546" max="12546" width="54.453125" style="161" customWidth="1"/>
    <col min="12547" max="12547" width="11.6328125" style="161" bestFit="1" customWidth="1"/>
    <col min="12548" max="12548" width="54.6328125" style="161" customWidth="1"/>
    <col min="12549" max="12549" width="12.36328125" style="161" bestFit="1" customWidth="1"/>
    <col min="12550" max="12550" width="18.36328125" style="161" bestFit="1" customWidth="1"/>
    <col min="12551" max="12551" width="27.36328125" style="161" customWidth="1"/>
    <col min="12552" max="12552" width="15.453125" style="161" bestFit="1" customWidth="1"/>
    <col min="12553" max="12553" width="17.08984375" style="161" bestFit="1" customWidth="1"/>
    <col min="12554" max="12554" width="17.6328125" style="161" bestFit="1" customWidth="1"/>
    <col min="12555" max="12555" width="40.08984375" style="161" customWidth="1"/>
    <col min="12556" max="12556" width="17.08984375" style="161" customWidth="1"/>
    <col min="12557" max="12557" width="31.453125" style="161" customWidth="1"/>
    <col min="12558" max="12712" width="17.08984375" style="161" customWidth="1"/>
    <col min="12713" max="12800" width="97" style="161"/>
    <col min="12801" max="12801" width="19.36328125" style="161" customWidth="1"/>
    <col min="12802" max="12802" width="54.453125" style="161" customWidth="1"/>
    <col min="12803" max="12803" width="11.6328125" style="161" bestFit="1" customWidth="1"/>
    <col min="12804" max="12804" width="54.6328125" style="161" customWidth="1"/>
    <col min="12805" max="12805" width="12.36328125" style="161" bestFit="1" customWidth="1"/>
    <col min="12806" max="12806" width="18.36328125" style="161" bestFit="1" customWidth="1"/>
    <col min="12807" max="12807" width="27.36328125" style="161" customWidth="1"/>
    <col min="12808" max="12808" width="15.453125" style="161" bestFit="1" customWidth="1"/>
    <col min="12809" max="12809" width="17.08984375" style="161" bestFit="1" customWidth="1"/>
    <col min="12810" max="12810" width="17.6328125" style="161" bestFit="1" customWidth="1"/>
    <col min="12811" max="12811" width="40.08984375" style="161" customWidth="1"/>
    <col min="12812" max="12812" width="17.08984375" style="161" customWidth="1"/>
    <col min="12813" max="12813" width="31.453125" style="161" customWidth="1"/>
    <col min="12814" max="12968" width="17.08984375" style="161" customWidth="1"/>
    <col min="12969" max="13056" width="97" style="161"/>
    <col min="13057" max="13057" width="19.36328125" style="161" customWidth="1"/>
    <col min="13058" max="13058" width="54.453125" style="161" customWidth="1"/>
    <col min="13059" max="13059" width="11.6328125" style="161" bestFit="1" customWidth="1"/>
    <col min="13060" max="13060" width="54.6328125" style="161" customWidth="1"/>
    <col min="13061" max="13061" width="12.36328125" style="161" bestFit="1" customWidth="1"/>
    <col min="13062" max="13062" width="18.36328125" style="161" bestFit="1" customWidth="1"/>
    <col min="13063" max="13063" width="27.36328125" style="161" customWidth="1"/>
    <col min="13064" max="13064" width="15.453125" style="161" bestFit="1" customWidth="1"/>
    <col min="13065" max="13065" width="17.08984375" style="161" bestFit="1" customWidth="1"/>
    <col min="13066" max="13066" width="17.6328125" style="161" bestFit="1" customWidth="1"/>
    <col min="13067" max="13067" width="40.08984375" style="161" customWidth="1"/>
    <col min="13068" max="13068" width="17.08984375" style="161" customWidth="1"/>
    <col min="13069" max="13069" width="31.453125" style="161" customWidth="1"/>
    <col min="13070" max="13224" width="17.08984375" style="161" customWidth="1"/>
    <col min="13225" max="13312" width="97" style="161"/>
    <col min="13313" max="13313" width="19.36328125" style="161" customWidth="1"/>
    <col min="13314" max="13314" width="54.453125" style="161" customWidth="1"/>
    <col min="13315" max="13315" width="11.6328125" style="161" bestFit="1" customWidth="1"/>
    <col min="13316" max="13316" width="54.6328125" style="161" customWidth="1"/>
    <col min="13317" max="13317" width="12.36328125" style="161" bestFit="1" customWidth="1"/>
    <col min="13318" max="13318" width="18.36328125" style="161" bestFit="1" customWidth="1"/>
    <col min="13319" max="13319" width="27.36328125" style="161" customWidth="1"/>
    <col min="13320" max="13320" width="15.453125" style="161" bestFit="1" customWidth="1"/>
    <col min="13321" max="13321" width="17.08984375" style="161" bestFit="1" customWidth="1"/>
    <col min="13322" max="13322" width="17.6328125" style="161" bestFit="1" customWidth="1"/>
    <col min="13323" max="13323" width="40.08984375" style="161" customWidth="1"/>
    <col min="13324" max="13324" width="17.08984375" style="161" customWidth="1"/>
    <col min="13325" max="13325" width="31.453125" style="161" customWidth="1"/>
    <col min="13326" max="13480" width="17.08984375" style="161" customWidth="1"/>
    <col min="13481" max="13568" width="97" style="161"/>
    <col min="13569" max="13569" width="19.36328125" style="161" customWidth="1"/>
    <col min="13570" max="13570" width="54.453125" style="161" customWidth="1"/>
    <col min="13571" max="13571" width="11.6328125" style="161" bestFit="1" customWidth="1"/>
    <col min="13572" max="13572" width="54.6328125" style="161" customWidth="1"/>
    <col min="13573" max="13573" width="12.36328125" style="161" bestFit="1" customWidth="1"/>
    <col min="13574" max="13574" width="18.36328125" style="161" bestFit="1" customWidth="1"/>
    <col min="13575" max="13575" width="27.36328125" style="161" customWidth="1"/>
    <col min="13576" max="13576" width="15.453125" style="161" bestFit="1" customWidth="1"/>
    <col min="13577" max="13577" width="17.08984375" style="161" bestFit="1" customWidth="1"/>
    <col min="13578" max="13578" width="17.6328125" style="161" bestFit="1" customWidth="1"/>
    <col min="13579" max="13579" width="40.08984375" style="161" customWidth="1"/>
    <col min="13580" max="13580" width="17.08984375" style="161" customWidth="1"/>
    <col min="13581" max="13581" width="31.453125" style="161" customWidth="1"/>
    <col min="13582" max="13736" width="17.08984375" style="161" customWidth="1"/>
    <col min="13737" max="13824" width="97" style="161"/>
    <col min="13825" max="13825" width="19.36328125" style="161" customWidth="1"/>
    <col min="13826" max="13826" width="54.453125" style="161" customWidth="1"/>
    <col min="13827" max="13827" width="11.6328125" style="161" bestFit="1" customWidth="1"/>
    <col min="13828" max="13828" width="54.6328125" style="161" customWidth="1"/>
    <col min="13829" max="13829" width="12.36328125" style="161" bestFit="1" customWidth="1"/>
    <col min="13830" max="13830" width="18.36328125" style="161" bestFit="1" customWidth="1"/>
    <col min="13831" max="13831" width="27.36328125" style="161" customWidth="1"/>
    <col min="13832" max="13832" width="15.453125" style="161" bestFit="1" customWidth="1"/>
    <col min="13833" max="13833" width="17.08984375" style="161" bestFit="1" customWidth="1"/>
    <col min="13834" max="13834" width="17.6328125" style="161" bestFit="1" customWidth="1"/>
    <col min="13835" max="13835" width="40.08984375" style="161" customWidth="1"/>
    <col min="13836" max="13836" width="17.08984375" style="161" customWidth="1"/>
    <col min="13837" max="13837" width="31.453125" style="161" customWidth="1"/>
    <col min="13838" max="13992" width="17.08984375" style="161" customWidth="1"/>
    <col min="13993" max="14080" width="97" style="161"/>
    <col min="14081" max="14081" width="19.36328125" style="161" customWidth="1"/>
    <col min="14082" max="14082" width="54.453125" style="161" customWidth="1"/>
    <col min="14083" max="14083" width="11.6328125" style="161" bestFit="1" customWidth="1"/>
    <col min="14084" max="14084" width="54.6328125" style="161" customWidth="1"/>
    <col min="14085" max="14085" width="12.36328125" style="161" bestFit="1" customWidth="1"/>
    <col min="14086" max="14086" width="18.36328125" style="161" bestFit="1" customWidth="1"/>
    <col min="14087" max="14087" width="27.36328125" style="161" customWidth="1"/>
    <col min="14088" max="14088" width="15.453125" style="161" bestFit="1" customWidth="1"/>
    <col min="14089" max="14089" width="17.08984375" style="161" bestFit="1" customWidth="1"/>
    <col min="14090" max="14090" width="17.6328125" style="161" bestFit="1" customWidth="1"/>
    <col min="14091" max="14091" width="40.08984375" style="161" customWidth="1"/>
    <col min="14092" max="14092" width="17.08984375" style="161" customWidth="1"/>
    <col min="14093" max="14093" width="31.453125" style="161" customWidth="1"/>
    <col min="14094" max="14248" width="17.08984375" style="161" customWidth="1"/>
    <col min="14249" max="14336" width="97" style="161"/>
    <col min="14337" max="14337" width="19.36328125" style="161" customWidth="1"/>
    <col min="14338" max="14338" width="54.453125" style="161" customWidth="1"/>
    <col min="14339" max="14339" width="11.6328125" style="161" bestFit="1" customWidth="1"/>
    <col min="14340" max="14340" width="54.6328125" style="161" customWidth="1"/>
    <col min="14341" max="14341" width="12.36328125" style="161" bestFit="1" customWidth="1"/>
    <col min="14342" max="14342" width="18.36328125" style="161" bestFit="1" customWidth="1"/>
    <col min="14343" max="14343" width="27.36328125" style="161" customWidth="1"/>
    <col min="14344" max="14344" width="15.453125" style="161" bestFit="1" customWidth="1"/>
    <col min="14345" max="14345" width="17.08984375" style="161" bestFit="1" customWidth="1"/>
    <col min="14346" max="14346" width="17.6328125" style="161" bestFit="1" customWidth="1"/>
    <col min="14347" max="14347" width="40.08984375" style="161" customWidth="1"/>
    <col min="14348" max="14348" width="17.08984375" style="161" customWidth="1"/>
    <col min="14349" max="14349" width="31.453125" style="161" customWidth="1"/>
    <col min="14350" max="14504" width="17.08984375" style="161" customWidth="1"/>
    <col min="14505" max="14592" width="97" style="161"/>
    <col min="14593" max="14593" width="19.36328125" style="161" customWidth="1"/>
    <col min="14594" max="14594" width="54.453125" style="161" customWidth="1"/>
    <col min="14595" max="14595" width="11.6328125" style="161" bestFit="1" customWidth="1"/>
    <col min="14596" max="14596" width="54.6328125" style="161" customWidth="1"/>
    <col min="14597" max="14597" width="12.36328125" style="161" bestFit="1" customWidth="1"/>
    <col min="14598" max="14598" width="18.36328125" style="161" bestFit="1" customWidth="1"/>
    <col min="14599" max="14599" width="27.36328125" style="161" customWidth="1"/>
    <col min="14600" max="14600" width="15.453125" style="161" bestFit="1" customWidth="1"/>
    <col min="14601" max="14601" width="17.08984375" style="161" bestFit="1" customWidth="1"/>
    <col min="14602" max="14602" width="17.6328125" style="161" bestFit="1" customWidth="1"/>
    <col min="14603" max="14603" width="40.08984375" style="161" customWidth="1"/>
    <col min="14604" max="14604" width="17.08984375" style="161" customWidth="1"/>
    <col min="14605" max="14605" width="31.453125" style="161" customWidth="1"/>
    <col min="14606" max="14760" width="17.08984375" style="161" customWidth="1"/>
    <col min="14761" max="14848" width="97" style="161"/>
    <col min="14849" max="14849" width="19.36328125" style="161" customWidth="1"/>
    <col min="14850" max="14850" width="54.453125" style="161" customWidth="1"/>
    <col min="14851" max="14851" width="11.6328125" style="161" bestFit="1" customWidth="1"/>
    <col min="14852" max="14852" width="54.6328125" style="161" customWidth="1"/>
    <col min="14853" max="14853" width="12.36328125" style="161" bestFit="1" customWidth="1"/>
    <col min="14854" max="14854" width="18.36328125" style="161" bestFit="1" customWidth="1"/>
    <col min="14855" max="14855" width="27.36328125" style="161" customWidth="1"/>
    <col min="14856" max="14856" width="15.453125" style="161" bestFit="1" customWidth="1"/>
    <col min="14857" max="14857" width="17.08984375" style="161" bestFit="1" customWidth="1"/>
    <col min="14858" max="14858" width="17.6328125" style="161" bestFit="1" customWidth="1"/>
    <col min="14859" max="14859" width="40.08984375" style="161" customWidth="1"/>
    <col min="14860" max="14860" width="17.08984375" style="161" customWidth="1"/>
    <col min="14861" max="14861" width="31.453125" style="161" customWidth="1"/>
    <col min="14862" max="15016" width="17.08984375" style="161" customWidth="1"/>
    <col min="15017" max="15104" width="97" style="161"/>
    <col min="15105" max="15105" width="19.36328125" style="161" customWidth="1"/>
    <col min="15106" max="15106" width="54.453125" style="161" customWidth="1"/>
    <col min="15107" max="15107" width="11.6328125" style="161" bestFit="1" customWidth="1"/>
    <col min="15108" max="15108" width="54.6328125" style="161" customWidth="1"/>
    <col min="15109" max="15109" width="12.36328125" style="161" bestFit="1" customWidth="1"/>
    <col min="15110" max="15110" width="18.36328125" style="161" bestFit="1" customWidth="1"/>
    <col min="15111" max="15111" width="27.36328125" style="161" customWidth="1"/>
    <col min="15112" max="15112" width="15.453125" style="161" bestFit="1" customWidth="1"/>
    <col min="15113" max="15113" width="17.08984375" style="161" bestFit="1" customWidth="1"/>
    <col min="15114" max="15114" width="17.6328125" style="161" bestFit="1" customWidth="1"/>
    <col min="15115" max="15115" width="40.08984375" style="161" customWidth="1"/>
    <col min="15116" max="15116" width="17.08984375" style="161" customWidth="1"/>
    <col min="15117" max="15117" width="31.453125" style="161" customWidth="1"/>
    <col min="15118" max="15272" width="17.08984375" style="161" customWidth="1"/>
    <col min="15273" max="15360" width="97" style="161"/>
    <col min="15361" max="15361" width="19.36328125" style="161" customWidth="1"/>
    <col min="15362" max="15362" width="54.453125" style="161" customWidth="1"/>
    <col min="15363" max="15363" width="11.6328125" style="161" bestFit="1" customWidth="1"/>
    <col min="15364" max="15364" width="54.6328125" style="161" customWidth="1"/>
    <col min="15365" max="15365" width="12.36328125" style="161" bestFit="1" customWidth="1"/>
    <col min="15366" max="15366" width="18.36328125" style="161" bestFit="1" customWidth="1"/>
    <col min="15367" max="15367" width="27.36328125" style="161" customWidth="1"/>
    <col min="15368" max="15368" width="15.453125" style="161" bestFit="1" customWidth="1"/>
    <col min="15369" max="15369" width="17.08984375" style="161" bestFit="1" customWidth="1"/>
    <col min="15370" max="15370" width="17.6328125" style="161" bestFit="1" customWidth="1"/>
    <col min="15371" max="15371" width="40.08984375" style="161" customWidth="1"/>
    <col min="15372" max="15372" width="17.08984375" style="161" customWidth="1"/>
    <col min="15373" max="15373" width="31.453125" style="161" customWidth="1"/>
    <col min="15374" max="15528" width="17.08984375" style="161" customWidth="1"/>
    <col min="15529" max="15616" width="97" style="161"/>
    <col min="15617" max="15617" width="19.36328125" style="161" customWidth="1"/>
    <col min="15618" max="15618" width="54.453125" style="161" customWidth="1"/>
    <col min="15619" max="15619" width="11.6328125" style="161" bestFit="1" customWidth="1"/>
    <col min="15620" max="15620" width="54.6328125" style="161" customWidth="1"/>
    <col min="15621" max="15621" width="12.36328125" style="161" bestFit="1" customWidth="1"/>
    <col min="15622" max="15622" width="18.36328125" style="161" bestFit="1" customWidth="1"/>
    <col min="15623" max="15623" width="27.36328125" style="161" customWidth="1"/>
    <col min="15624" max="15624" width="15.453125" style="161" bestFit="1" customWidth="1"/>
    <col min="15625" max="15625" width="17.08984375" style="161" bestFit="1" customWidth="1"/>
    <col min="15626" max="15626" width="17.6328125" style="161" bestFit="1" customWidth="1"/>
    <col min="15627" max="15627" width="40.08984375" style="161" customWidth="1"/>
    <col min="15628" max="15628" width="17.08984375" style="161" customWidth="1"/>
    <col min="15629" max="15629" width="31.453125" style="161" customWidth="1"/>
    <col min="15630" max="15784" width="17.08984375" style="161" customWidth="1"/>
    <col min="15785" max="15872" width="97" style="161"/>
    <col min="15873" max="15873" width="19.36328125" style="161" customWidth="1"/>
    <col min="15874" max="15874" width="54.453125" style="161" customWidth="1"/>
    <col min="15875" max="15875" width="11.6328125" style="161" bestFit="1" customWidth="1"/>
    <col min="15876" max="15876" width="54.6328125" style="161" customWidth="1"/>
    <col min="15877" max="15877" width="12.36328125" style="161" bestFit="1" customWidth="1"/>
    <col min="15878" max="15878" width="18.36328125" style="161" bestFit="1" customWidth="1"/>
    <col min="15879" max="15879" width="27.36328125" style="161" customWidth="1"/>
    <col min="15880" max="15880" width="15.453125" style="161" bestFit="1" customWidth="1"/>
    <col min="15881" max="15881" width="17.08984375" style="161" bestFit="1" customWidth="1"/>
    <col min="15882" max="15882" width="17.6328125" style="161" bestFit="1" customWidth="1"/>
    <col min="15883" max="15883" width="40.08984375" style="161" customWidth="1"/>
    <col min="15884" max="15884" width="17.08984375" style="161" customWidth="1"/>
    <col min="15885" max="15885" width="31.453125" style="161" customWidth="1"/>
    <col min="15886" max="16040" width="17.08984375" style="161" customWidth="1"/>
    <col min="16041" max="16128" width="97" style="161"/>
    <col min="16129" max="16129" width="19.36328125" style="161" customWidth="1"/>
    <col min="16130" max="16130" width="54.453125" style="161" customWidth="1"/>
    <col min="16131" max="16131" width="11.6328125" style="161" bestFit="1" customWidth="1"/>
    <col min="16132" max="16132" width="54.6328125" style="161" customWidth="1"/>
    <col min="16133" max="16133" width="12.36328125" style="161" bestFit="1" customWidth="1"/>
    <col min="16134" max="16134" width="18.36328125" style="161" bestFit="1" customWidth="1"/>
    <col min="16135" max="16135" width="27.36328125" style="161" customWidth="1"/>
    <col min="16136" max="16136" width="15.453125" style="161" bestFit="1" customWidth="1"/>
    <col min="16137" max="16137" width="17.08984375" style="161" bestFit="1" customWidth="1"/>
    <col min="16138" max="16138" width="17.6328125" style="161" bestFit="1" customWidth="1"/>
    <col min="16139" max="16139" width="40.08984375" style="161" customWidth="1"/>
    <col min="16140" max="16140" width="17.08984375" style="161" customWidth="1"/>
    <col min="16141" max="16141" width="31.453125" style="161" customWidth="1"/>
    <col min="16142" max="16296" width="17.08984375" style="161" customWidth="1"/>
    <col min="16297" max="16384" width="97" style="161"/>
  </cols>
  <sheetData>
    <row r="1" spans="1:13" ht="13.5">
      <c r="A1" s="312" t="s">
        <v>2462</v>
      </c>
      <c r="B1" s="312"/>
      <c r="C1" s="312"/>
      <c r="D1" s="312"/>
      <c r="E1" s="312"/>
      <c r="F1" s="312"/>
      <c r="G1" s="312"/>
      <c r="H1" s="312"/>
      <c r="I1" s="312"/>
      <c r="J1" s="312"/>
      <c r="K1" s="312"/>
      <c r="L1" s="160"/>
    </row>
    <row r="2" spans="1:13" ht="14.5">
      <c r="A2" s="3" t="s">
        <v>2442</v>
      </c>
      <c r="B2" s="5" t="s">
        <v>2443</v>
      </c>
      <c r="C2" s="3" t="s">
        <v>2444</v>
      </c>
      <c r="D2" s="5" t="s">
        <v>2445</v>
      </c>
      <c r="E2" s="3" t="s">
        <v>2446</v>
      </c>
      <c r="F2" s="5" t="s">
        <v>2447</v>
      </c>
      <c r="G2" s="3" t="s">
        <v>2448</v>
      </c>
      <c r="H2" s="5" t="s">
        <v>2449</v>
      </c>
      <c r="I2" s="3" t="s">
        <v>1432</v>
      </c>
      <c r="J2" s="5" t="s">
        <v>2450</v>
      </c>
      <c r="K2" s="3" t="s">
        <v>2451</v>
      </c>
    </row>
    <row r="3" spans="1:13">
      <c r="A3" s="162" t="s">
        <v>89</v>
      </c>
      <c r="B3" s="163" t="s">
        <v>627</v>
      </c>
      <c r="C3" s="162" t="s">
        <v>21</v>
      </c>
      <c r="D3" s="164" t="s">
        <v>91</v>
      </c>
      <c r="E3" s="165" t="s">
        <v>70</v>
      </c>
      <c r="F3" s="165" t="s">
        <v>26</v>
      </c>
      <c r="G3" s="166" t="s">
        <v>166</v>
      </c>
      <c r="H3" s="162" t="s">
        <v>2452</v>
      </c>
      <c r="I3" s="167">
        <v>1190000</v>
      </c>
      <c r="J3" s="168" t="s">
        <v>216</v>
      </c>
      <c r="K3" s="168" t="s">
        <v>2453</v>
      </c>
      <c r="M3" s="169"/>
    </row>
    <row r="4" spans="1:13">
      <c r="A4" s="162" t="s">
        <v>92</v>
      </c>
      <c r="B4" s="163" t="s">
        <v>627</v>
      </c>
      <c r="C4" s="162" t="s">
        <v>21</v>
      </c>
      <c r="D4" s="164" t="s">
        <v>91</v>
      </c>
      <c r="E4" s="165" t="s">
        <v>70</v>
      </c>
      <c r="F4" s="165" t="s">
        <v>42</v>
      </c>
      <c r="G4" s="166" t="s">
        <v>166</v>
      </c>
      <c r="H4" s="168" t="s">
        <v>2452</v>
      </c>
      <c r="I4" s="167">
        <v>1785000</v>
      </c>
      <c r="J4" s="168" t="s">
        <v>216</v>
      </c>
      <c r="K4" s="168" t="s">
        <v>2453</v>
      </c>
      <c r="M4" s="169"/>
    </row>
    <row r="5" spans="1:13">
      <c r="A5" s="162" t="s">
        <v>93</v>
      </c>
      <c r="B5" s="163" t="s">
        <v>627</v>
      </c>
      <c r="C5" s="162" t="s">
        <v>21</v>
      </c>
      <c r="D5" s="164" t="s">
        <v>91</v>
      </c>
      <c r="E5" s="165" t="s">
        <v>74</v>
      </c>
      <c r="F5" s="165" t="s">
        <v>26</v>
      </c>
      <c r="G5" s="166" t="s">
        <v>166</v>
      </c>
      <c r="H5" s="168" t="s">
        <v>2452</v>
      </c>
      <c r="I5" s="167">
        <v>1487500</v>
      </c>
      <c r="J5" s="168" t="s">
        <v>216</v>
      </c>
      <c r="K5" s="168" t="s">
        <v>2453</v>
      </c>
      <c r="M5" s="169"/>
    </row>
    <row r="6" spans="1:13">
      <c r="A6" s="162" t="s">
        <v>94</v>
      </c>
      <c r="B6" s="163" t="s">
        <v>627</v>
      </c>
      <c r="C6" s="162" t="s">
        <v>21</v>
      </c>
      <c r="D6" s="164" t="s">
        <v>91</v>
      </c>
      <c r="E6" s="165" t="s">
        <v>74</v>
      </c>
      <c r="F6" s="165" t="s">
        <v>42</v>
      </c>
      <c r="G6" s="166" t="s">
        <v>166</v>
      </c>
      <c r="H6" s="168" t="s">
        <v>2452</v>
      </c>
      <c r="I6" s="167">
        <v>2677500</v>
      </c>
      <c r="J6" s="168" t="s">
        <v>216</v>
      </c>
      <c r="K6" s="168" t="s">
        <v>2453</v>
      </c>
      <c r="M6" s="169"/>
    </row>
    <row r="7" spans="1:13">
      <c r="A7" s="162" t="s">
        <v>95</v>
      </c>
      <c r="B7" s="163" t="s">
        <v>627</v>
      </c>
      <c r="C7" s="162" t="s">
        <v>21</v>
      </c>
      <c r="D7" s="164" t="s">
        <v>91</v>
      </c>
      <c r="E7" s="165" t="s">
        <v>72</v>
      </c>
      <c r="F7" s="165" t="s">
        <v>26</v>
      </c>
      <c r="G7" s="166" t="s">
        <v>166</v>
      </c>
      <c r="H7" s="168" t="s">
        <v>2452</v>
      </c>
      <c r="I7" s="167">
        <v>1859375</v>
      </c>
      <c r="J7" s="168" t="s">
        <v>216</v>
      </c>
      <c r="K7" s="168" t="s">
        <v>2453</v>
      </c>
      <c r="M7" s="169"/>
    </row>
    <row r="8" spans="1:13">
      <c r="A8" s="162" t="s">
        <v>96</v>
      </c>
      <c r="B8" s="163" t="s">
        <v>627</v>
      </c>
      <c r="C8" s="162" t="s">
        <v>21</v>
      </c>
      <c r="D8" s="164" t="s">
        <v>91</v>
      </c>
      <c r="E8" s="165" t="s">
        <v>72</v>
      </c>
      <c r="F8" s="165" t="s">
        <v>42</v>
      </c>
      <c r="G8" s="166" t="s">
        <v>166</v>
      </c>
      <c r="H8" s="168" t="s">
        <v>2452</v>
      </c>
      <c r="I8" s="167">
        <v>4016250</v>
      </c>
      <c r="J8" s="168" t="s">
        <v>216</v>
      </c>
      <c r="K8" s="168" t="s">
        <v>2453</v>
      </c>
      <c r="M8" s="169"/>
    </row>
    <row r="9" spans="1:13">
      <c r="A9" s="162" t="s">
        <v>97</v>
      </c>
      <c r="B9" s="163" t="s">
        <v>628</v>
      </c>
      <c r="C9" s="162" t="s">
        <v>21</v>
      </c>
      <c r="D9" s="164" t="s">
        <v>99</v>
      </c>
      <c r="E9" s="165" t="s">
        <v>70</v>
      </c>
      <c r="F9" s="165" t="s">
        <v>26</v>
      </c>
      <c r="G9" s="166" t="s">
        <v>166</v>
      </c>
      <c r="H9" s="168" t="s">
        <v>2452</v>
      </c>
      <c r="I9" s="167">
        <v>1487500</v>
      </c>
      <c r="J9" s="168" t="s">
        <v>216</v>
      </c>
      <c r="K9" s="168" t="s">
        <v>2453</v>
      </c>
      <c r="M9" s="169"/>
    </row>
    <row r="10" spans="1:13">
      <c r="A10" s="162" t="s">
        <v>100</v>
      </c>
      <c r="B10" s="163" t="s">
        <v>628</v>
      </c>
      <c r="C10" s="162" t="s">
        <v>21</v>
      </c>
      <c r="D10" s="164" t="s">
        <v>99</v>
      </c>
      <c r="E10" s="165" t="s">
        <v>70</v>
      </c>
      <c r="F10" s="165" t="s">
        <v>42</v>
      </c>
      <c r="G10" s="166" t="s">
        <v>166</v>
      </c>
      <c r="H10" s="168" t="s">
        <v>2452</v>
      </c>
      <c r="I10" s="167">
        <v>2231250</v>
      </c>
      <c r="J10" s="168" t="s">
        <v>216</v>
      </c>
      <c r="K10" s="168" t="s">
        <v>2453</v>
      </c>
      <c r="M10" s="169"/>
    </row>
    <row r="11" spans="1:13">
      <c r="A11" s="162" t="s">
        <v>101</v>
      </c>
      <c r="B11" s="163" t="s">
        <v>628</v>
      </c>
      <c r="C11" s="162" t="s">
        <v>21</v>
      </c>
      <c r="D11" s="164" t="s">
        <v>99</v>
      </c>
      <c r="E11" s="165" t="s">
        <v>74</v>
      </c>
      <c r="F11" s="165" t="s">
        <v>26</v>
      </c>
      <c r="G11" s="166" t="s">
        <v>166</v>
      </c>
      <c r="H11" s="168" t="s">
        <v>2452</v>
      </c>
      <c r="I11" s="167">
        <v>1859375</v>
      </c>
      <c r="J11" s="168" t="s">
        <v>216</v>
      </c>
      <c r="K11" s="168" t="s">
        <v>2453</v>
      </c>
      <c r="M11" s="169"/>
    </row>
    <row r="12" spans="1:13">
      <c r="A12" s="162" t="s">
        <v>102</v>
      </c>
      <c r="B12" s="163" t="s">
        <v>628</v>
      </c>
      <c r="C12" s="162" t="s">
        <v>21</v>
      </c>
      <c r="D12" s="164" t="s">
        <v>99</v>
      </c>
      <c r="E12" s="165" t="s">
        <v>74</v>
      </c>
      <c r="F12" s="165" t="s">
        <v>42</v>
      </c>
      <c r="G12" s="166" t="s">
        <v>166</v>
      </c>
      <c r="H12" s="168" t="s">
        <v>2452</v>
      </c>
      <c r="I12" s="167">
        <v>3346875</v>
      </c>
      <c r="J12" s="168" t="s">
        <v>216</v>
      </c>
      <c r="K12" s="168" t="s">
        <v>2453</v>
      </c>
      <c r="M12" s="169"/>
    </row>
    <row r="13" spans="1:13">
      <c r="A13" s="162" t="s">
        <v>103</v>
      </c>
      <c r="B13" s="163" t="s">
        <v>628</v>
      </c>
      <c r="C13" s="162" t="s">
        <v>21</v>
      </c>
      <c r="D13" s="164" t="s">
        <v>99</v>
      </c>
      <c r="E13" s="165" t="s">
        <v>72</v>
      </c>
      <c r="F13" s="165" t="s">
        <v>26</v>
      </c>
      <c r="G13" s="166" t="s">
        <v>166</v>
      </c>
      <c r="H13" s="168" t="s">
        <v>2452</v>
      </c>
      <c r="I13" s="167">
        <v>2324219</v>
      </c>
      <c r="J13" s="168" t="s">
        <v>216</v>
      </c>
      <c r="K13" s="168" t="s">
        <v>2453</v>
      </c>
      <c r="M13" s="169"/>
    </row>
    <row r="14" spans="1:13">
      <c r="A14" s="162" t="s">
        <v>104</v>
      </c>
      <c r="B14" s="163" t="s">
        <v>628</v>
      </c>
      <c r="C14" s="162" t="s">
        <v>21</v>
      </c>
      <c r="D14" s="164" t="s">
        <v>99</v>
      </c>
      <c r="E14" s="165" t="s">
        <v>72</v>
      </c>
      <c r="F14" s="165" t="s">
        <v>42</v>
      </c>
      <c r="G14" s="166" t="s">
        <v>166</v>
      </c>
      <c r="H14" s="168" t="s">
        <v>2452</v>
      </c>
      <c r="I14" s="167">
        <v>5020313</v>
      </c>
      <c r="J14" s="168" t="s">
        <v>216</v>
      </c>
      <c r="K14" s="168" t="s">
        <v>2453</v>
      </c>
      <c r="M14" s="169"/>
    </row>
    <row r="15" spans="1:13">
      <c r="A15" s="162" t="s">
        <v>105</v>
      </c>
      <c r="B15" s="163" t="s">
        <v>630</v>
      </c>
      <c r="C15" s="162" t="s">
        <v>21</v>
      </c>
      <c r="D15" s="164" t="s">
        <v>91</v>
      </c>
      <c r="E15" s="165" t="s">
        <v>70</v>
      </c>
      <c r="F15" s="165" t="s">
        <v>26</v>
      </c>
      <c r="G15" s="166" t="s">
        <v>166</v>
      </c>
      <c r="H15" s="168" t="s">
        <v>2452</v>
      </c>
      <c r="I15" s="167">
        <v>1190000</v>
      </c>
      <c r="J15" s="168" t="s">
        <v>216</v>
      </c>
      <c r="K15" s="168" t="s">
        <v>2453</v>
      </c>
      <c r="M15" s="169"/>
    </row>
    <row r="16" spans="1:13">
      <c r="A16" s="162" t="s">
        <v>107</v>
      </c>
      <c r="B16" s="163" t="s">
        <v>630</v>
      </c>
      <c r="C16" s="162" t="s">
        <v>21</v>
      </c>
      <c r="D16" s="164" t="s">
        <v>91</v>
      </c>
      <c r="E16" s="165" t="s">
        <v>70</v>
      </c>
      <c r="F16" s="165" t="s">
        <v>42</v>
      </c>
      <c r="G16" s="166" t="s">
        <v>166</v>
      </c>
      <c r="H16" s="168" t="s">
        <v>2452</v>
      </c>
      <c r="I16" s="167">
        <v>1785000</v>
      </c>
      <c r="J16" s="168" t="s">
        <v>216</v>
      </c>
      <c r="K16" s="168" t="s">
        <v>2453</v>
      </c>
      <c r="M16" s="169"/>
    </row>
    <row r="17" spans="1:13">
      <c r="A17" s="162" t="s">
        <v>108</v>
      </c>
      <c r="B17" s="163" t="s">
        <v>630</v>
      </c>
      <c r="C17" s="162" t="s">
        <v>21</v>
      </c>
      <c r="D17" s="164" t="s">
        <v>91</v>
      </c>
      <c r="E17" s="165" t="s">
        <v>74</v>
      </c>
      <c r="F17" s="165" t="s">
        <v>26</v>
      </c>
      <c r="G17" s="166" t="s">
        <v>166</v>
      </c>
      <c r="H17" s="168" t="s">
        <v>2452</v>
      </c>
      <c r="I17" s="167">
        <v>1487500</v>
      </c>
      <c r="J17" s="168" t="s">
        <v>216</v>
      </c>
      <c r="K17" s="168" t="s">
        <v>2453</v>
      </c>
      <c r="M17" s="169"/>
    </row>
    <row r="18" spans="1:13">
      <c r="A18" s="162" t="s">
        <v>109</v>
      </c>
      <c r="B18" s="163" t="s">
        <v>630</v>
      </c>
      <c r="C18" s="162" t="s">
        <v>21</v>
      </c>
      <c r="D18" s="164" t="s">
        <v>91</v>
      </c>
      <c r="E18" s="165" t="s">
        <v>74</v>
      </c>
      <c r="F18" s="165" t="s">
        <v>42</v>
      </c>
      <c r="G18" s="166" t="s">
        <v>166</v>
      </c>
      <c r="H18" s="168" t="s">
        <v>2452</v>
      </c>
      <c r="I18" s="167">
        <v>2677500</v>
      </c>
      <c r="J18" s="168" t="s">
        <v>216</v>
      </c>
      <c r="K18" s="168" t="s">
        <v>2453</v>
      </c>
      <c r="M18" s="169"/>
    </row>
    <row r="19" spans="1:13">
      <c r="A19" s="162" t="s">
        <v>110</v>
      </c>
      <c r="B19" s="163" t="s">
        <v>630</v>
      </c>
      <c r="C19" s="162" t="s">
        <v>21</v>
      </c>
      <c r="D19" s="164" t="s">
        <v>91</v>
      </c>
      <c r="E19" s="165" t="s">
        <v>72</v>
      </c>
      <c r="F19" s="165" t="s">
        <v>26</v>
      </c>
      <c r="G19" s="166" t="s">
        <v>166</v>
      </c>
      <c r="H19" s="168" t="s">
        <v>2452</v>
      </c>
      <c r="I19" s="167">
        <v>1859375</v>
      </c>
      <c r="J19" s="168" t="s">
        <v>216</v>
      </c>
      <c r="K19" s="168" t="s">
        <v>2453</v>
      </c>
      <c r="M19" s="169"/>
    </row>
    <row r="20" spans="1:13">
      <c r="A20" s="162" t="s">
        <v>111</v>
      </c>
      <c r="B20" s="163" t="s">
        <v>630</v>
      </c>
      <c r="C20" s="162" t="s">
        <v>21</v>
      </c>
      <c r="D20" s="164" t="s">
        <v>91</v>
      </c>
      <c r="E20" s="165" t="s">
        <v>72</v>
      </c>
      <c r="F20" s="165" t="s">
        <v>42</v>
      </c>
      <c r="G20" s="166" t="s">
        <v>166</v>
      </c>
      <c r="H20" s="168" t="s">
        <v>2452</v>
      </c>
      <c r="I20" s="167">
        <v>4016250</v>
      </c>
      <c r="J20" s="168" t="s">
        <v>216</v>
      </c>
      <c r="K20" s="168" t="s">
        <v>2453</v>
      </c>
      <c r="M20" s="169"/>
    </row>
    <row r="21" spans="1:13">
      <c r="A21" s="162" t="s">
        <v>112</v>
      </c>
      <c r="B21" s="163" t="s">
        <v>631</v>
      </c>
      <c r="C21" s="162" t="s">
        <v>21</v>
      </c>
      <c r="D21" s="164" t="s">
        <v>99</v>
      </c>
      <c r="E21" s="165" t="s">
        <v>70</v>
      </c>
      <c r="F21" s="165" t="s">
        <v>26</v>
      </c>
      <c r="G21" s="166" t="s">
        <v>166</v>
      </c>
      <c r="H21" s="168" t="s">
        <v>2452</v>
      </c>
      <c r="I21" s="167">
        <v>1487500</v>
      </c>
      <c r="J21" s="168" t="s">
        <v>216</v>
      </c>
      <c r="K21" s="168" t="s">
        <v>2453</v>
      </c>
      <c r="M21" s="169"/>
    </row>
    <row r="22" spans="1:13">
      <c r="A22" s="162" t="s">
        <v>114</v>
      </c>
      <c r="B22" s="163" t="s">
        <v>631</v>
      </c>
      <c r="C22" s="162" t="s">
        <v>21</v>
      </c>
      <c r="D22" s="164" t="s">
        <v>99</v>
      </c>
      <c r="E22" s="165" t="s">
        <v>70</v>
      </c>
      <c r="F22" s="165" t="s">
        <v>42</v>
      </c>
      <c r="G22" s="166" t="s">
        <v>166</v>
      </c>
      <c r="H22" s="168" t="s">
        <v>2452</v>
      </c>
      <c r="I22" s="167">
        <v>2231250</v>
      </c>
      <c r="J22" s="168" t="s">
        <v>216</v>
      </c>
      <c r="K22" s="168" t="s">
        <v>2453</v>
      </c>
      <c r="M22" s="169"/>
    </row>
    <row r="23" spans="1:13">
      <c r="A23" s="162" t="s">
        <v>115</v>
      </c>
      <c r="B23" s="163" t="s">
        <v>631</v>
      </c>
      <c r="C23" s="162" t="s">
        <v>21</v>
      </c>
      <c r="D23" s="164" t="s">
        <v>99</v>
      </c>
      <c r="E23" s="165" t="s">
        <v>74</v>
      </c>
      <c r="F23" s="165" t="s">
        <v>26</v>
      </c>
      <c r="G23" s="166" t="s">
        <v>166</v>
      </c>
      <c r="H23" s="168" t="s">
        <v>2452</v>
      </c>
      <c r="I23" s="167">
        <v>1859375</v>
      </c>
      <c r="J23" s="168" t="s">
        <v>216</v>
      </c>
      <c r="K23" s="168" t="s">
        <v>2453</v>
      </c>
      <c r="M23" s="169"/>
    </row>
    <row r="24" spans="1:13">
      <c r="A24" s="162" t="s">
        <v>116</v>
      </c>
      <c r="B24" s="163" t="s">
        <v>631</v>
      </c>
      <c r="C24" s="162" t="s">
        <v>21</v>
      </c>
      <c r="D24" s="164" t="s">
        <v>99</v>
      </c>
      <c r="E24" s="165" t="s">
        <v>74</v>
      </c>
      <c r="F24" s="165" t="s">
        <v>42</v>
      </c>
      <c r="G24" s="166" t="s">
        <v>166</v>
      </c>
      <c r="H24" s="168" t="s">
        <v>2452</v>
      </c>
      <c r="I24" s="167">
        <v>3346875</v>
      </c>
      <c r="J24" s="168" t="s">
        <v>216</v>
      </c>
      <c r="K24" s="168" t="s">
        <v>2453</v>
      </c>
      <c r="M24" s="169"/>
    </row>
    <row r="25" spans="1:13">
      <c r="A25" s="162" t="s">
        <v>117</v>
      </c>
      <c r="B25" s="163" t="s">
        <v>631</v>
      </c>
      <c r="C25" s="162" t="s">
        <v>21</v>
      </c>
      <c r="D25" s="164" t="s">
        <v>99</v>
      </c>
      <c r="E25" s="165" t="s">
        <v>72</v>
      </c>
      <c r="F25" s="165" t="s">
        <v>26</v>
      </c>
      <c r="G25" s="166" t="s">
        <v>166</v>
      </c>
      <c r="H25" s="168" t="s">
        <v>2452</v>
      </c>
      <c r="I25" s="167">
        <v>2324219</v>
      </c>
      <c r="J25" s="168" t="s">
        <v>216</v>
      </c>
      <c r="K25" s="168" t="s">
        <v>2453</v>
      </c>
      <c r="M25" s="169"/>
    </row>
    <row r="26" spans="1:13">
      <c r="A26" s="162" t="s">
        <v>118</v>
      </c>
      <c r="B26" s="163" t="s">
        <v>631</v>
      </c>
      <c r="C26" s="162" t="s">
        <v>21</v>
      </c>
      <c r="D26" s="164" t="s">
        <v>99</v>
      </c>
      <c r="E26" s="165" t="s">
        <v>72</v>
      </c>
      <c r="F26" s="165" t="s">
        <v>42</v>
      </c>
      <c r="G26" s="166" t="s">
        <v>166</v>
      </c>
      <c r="H26" s="168" t="s">
        <v>2452</v>
      </c>
      <c r="I26" s="167">
        <v>5020313</v>
      </c>
      <c r="J26" s="168" t="s">
        <v>216</v>
      </c>
      <c r="K26" s="168" t="s">
        <v>2453</v>
      </c>
      <c r="M26" s="169"/>
    </row>
    <row r="27" spans="1:13">
      <c r="A27" s="162" t="s">
        <v>119</v>
      </c>
      <c r="B27" s="163" t="s">
        <v>632</v>
      </c>
      <c r="C27" s="162" t="s">
        <v>21</v>
      </c>
      <c r="D27" s="164" t="s">
        <v>29</v>
      </c>
      <c r="E27" s="165" t="s">
        <v>70</v>
      </c>
      <c r="F27" s="165" t="s">
        <v>26</v>
      </c>
      <c r="G27" s="166" t="s">
        <v>167</v>
      </c>
      <c r="H27" s="168" t="s">
        <v>2452</v>
      </c>
      <c r="I27" s="167">
        <v>95200</v>
      </c>
      <c r="J27" s="168" t="s">
        <v>216</v>
      </c>
      <c r="K27" s="168" t="s">
        <v>2454</v>
      </c>
      <c r="M27" s="169"/>
    </row>
    <row r="28" spans="1:13">
      <c r="A28" s="162" t="s">
        <v>121</v>
      </c>
      <c r="B28" s="163" t="s">
        <v>632</v>
      </c>
      <c r="C28" s="162" t="s">
        <v>21</v>
      </c>
      <c r="D28" s="164" t="s">
        <v>29</v>
      </c>
      <c r="E28" s="165" t="s">
        <v>70</v>
      </c>
      <c r="F28" s="165" t="s">
        <v>42</v>
      </c>
      <c r="G28" s="166" t="s">
        <v>167</v>
      </c>
      <c r="H28" s="168" t="s">
        <v>2452</v>
      </c>
      <c r="I28" s="167">
        <v>142800</v>
      </c>
      <c r="J28" s="168" t="s">
        <v>216</v>
      </c>
      <c r="K28" s="168" t="s">
        <v>2454</v>
      </c>
      <c r="M28" s="169"/>
    </row>
    <row r="29" spans="1:13">
      <c r="A29" s="162" t="s">
        <v>122</v>
      </c>
      <c r="B29" s="163" t="s">
        <v>632</v>
      </c>
      <c r="C29" s="162" t="s">
        <v>21</v>
      </c>
      <c r="D29" s="164" t="s">
        <v>29</v>
      </c>
      <c r="E29" s="165" t="s">
        <v>74</v>
      </c>
      <c r="F29" s="165" t="s">
        <v>26</v>
      </c>
      <c r="G29" s="166" t="s">
        <v>167</v>
      </c>
      <c r="H29" s="168" t="s">
        <v>2452</v>
      </c>
      <c r="I29" s="167">
        <v>119000</v>
      </c>
      <c r="J29" s="168" t="s">
        <v>216</v>
      </c>
      <c r="K29" s="168" t="s">
        <v>2454</v>
      </c>
      <c r="M29" s="169"/>
    </row>
    <row r="30" spans="1:13">
      <c r="A30" s="162" t="s">
        <v>123</v>
      </c>
      <c r="B30" s="163" t="s">
        <v>632</v>
      </c>
      <c r="C30" s="162" t="s">
        <v>21</v>
      </c>
      <c r="D30" s="164" t="s">
        <v>29</v>
      </c>
      <c r="E30" s="165" t="s">
        <v>74</v>
      </c>
      <c r="F30" s="165" t="s">
        <v>42</v>
      </c>
      <c r="G30" s="166" t="s">
        <v>167</v>
      </c>
      <c r="H30" s="168" t="s">
        <v>2452</v>
      </c>
      <c r="I30" s="167">
        <v>214200</v>
      </c>
      <c r="J30" s="168" t="s">
        <v>216</v>
      </c>
      <c r="K30" s="168" t="s">
        <v>2454</v>
      </c>
      <c r="M30" s="169"/>
    </row>
    <row r="31" spans="1:13">
      <c r="A31" s="162" t="s">
        <v>124</v>
      </c>
      <c r="B31" s="163" t="s">
        <v>632</v>
      </c>
      <c r="C31" s="162" t="s">
        <v>21</v>
      </c>
      <c r="D31" s="164" t="s">
        <v>29</v>
      </c>
      <c r="E31" s="165" t="s">
        <v>72</v>
      </c>
      <c r="F31" s="165" t="s">
        <v>26</v>
      </c>
      <c r="G31" s="166" t="s">
        <v>167</v>
      </c>
      <c r="H31" s="168" t="s">
        <v>2452</v>
      </c>
      <c r="I31" s="167">
        <v>178500</v>
      </c>
      <c r="J31" s="168" t="s">
        <v>216</v>
      </c>
      <c r="K31" s="168" t="s">
        <v>2454</v>
      </c>
      <c r="M31" s="169"/>
    </row>
    <row r="32" spans="1:13">
      <c r="A32" s="162" t="s">
        <v>125</v>
      </c>
      <c r="B32" s="163" t="s">
        <v>632</v>
      </c>
      <c r="C32" s="162" t="s">
        <v>21</v>
      </c>
      <c r="D32" s="164" t="s">
        <v>29</v>
      </c>
      <c r="E32" s="165" t="s">
        <v>72</v>
      </c>
      <c r="F32" s="165" t="s">
        <v>42</v>
      </c>
      <c r="G32" s="166" t="s">
        <v>167</v>
      </c>
      <c r="H32" s="168" t="s">
        <v>2452</v>
      </c>
      <c r="I32" s="167">
        <v>321300</v>
      </c>
      <c r="J32" s="168" t="s">
        <v>216</v>
      </c>
      <c r="K32" s="168" t="s">
        <v>2454</v>
      </c>
      <c r="M32" s="169"/>
    </row>
    <row r="33" spans="1:13">
      <c r="A33" s="162" t="s">
        <v>126</v>
      </c>
      <c r="B33" s="163" t="s">
        <v>633</v>
      </c>
      <c r="C33" s="162" t="s">
        <v>21</v>
      </c>
      <c r="D33" s="164" t="s">
        <v>128</v>
      </c>
      <c r="E33" s="165" t="s">
        <v>70</v>
      </c>
      <c r="F33" s="165" t="s">
        <v>42</v>
      </c>
      <c r="G33" s="166" t="s">
        <v>167</v>
      </c>
      <c r="H33" s="168" t="s">
        <v>2452</v>
      </c>
      <c r="I33" s="167">
        <v>11900000</v>
      </c>
      <c r="J33" s="168" t="s">
        <v>216</v>
      </c>
      <c r="K33" s="168" t="s">
        <v>2455</v>
      </c>
      <c r="M33" s="169"/>
    </row>
    <row r="34" spans="1:13">
      <c r="A34" s="162" t="s">
        <v>129</v>
      </c>
      <c r="B34" s="163" t="s">
        <v>633</v>
      </c>
      <c r="C34" s="162" t="s">
        <v>21</v>
      </c>
      <c r="D34" s="164" t="s">
        <v>128</v>
      </c>
      <c r="E34" s="165" t="s">
        <v>74</v>
      </c>
      <c r="F34" s="165" t="s">
        <v>42</v>
      </c>
      <c r="G34" s="166" t="s">
        <v>167</v>
      </c>
      <c r="H34" s="168" t="s">
        <v>2452</v>
      </c>
      <c r="I34" s="167">
        <v>14875000</v>
      </c>
      <c r="J34" s="168" t="s">
        <v>216</v>
      </c>
      <c r="K34" s="168" t="s">
        <v>2455</v>
      </c>
      <c r="M34" s="169"/>
    </row>
    <row r="35" spans="1:13">
      <c r="A35" s="162" t="s">
        <v>130</v>
      </c>
      <c r="B35" s="163" t="s">
        <v>633</v>
      </c>
      <c r="C35" s="162" t="s">
        <v>21</v>
      </c>
      <c r="D35" s="164" t="s">
        <v>128</v>
      </c>
      <c r="E35" s="165" t="s">
        <v>72</v>
      </c>
      <c r="F35" s="165" t="s">
        <v>42</v>
      </c>
      <c r="G35" s="166" t="s">
        <v>167</v>
      </c>
      <c r="H35" s="168" t="s">
        <v>2452</v>
      </c>
      <c r="I35" s="167">
        <v>20081250</v>
      </c>
      <c r="J35" s="168" t="s">
        <v>216</v>
      </c>
      <c r="K35" s="168" t="s">
        <v>2455</v>
      </c>
      <c r="M35" s="169"/>
    </row>
    <row r="36" spans="1:13">
      <c r="A36" s="162" t="s">
        <v>131</v>
      </c>
      <c r="B36" s="163" t="s">
        <v>634</v>
      </c>
      <c r="C36" s="162" t="s">
        <v>21</v>
      </c>
      <c r="D36" s="164" t="s">
        <v>133</v>
      </c>
      <c r="E36" s="165" t="s">
        <v>70</v>
      </c>
      <c r="F36" s="165" t="s">
        <v>26</v>
      </c>
      <c r="G36" s="166" t="s">
        <v>436</v>
      </c>
      <c r="H36" s="168" t="s">
        <v>2452</v>
      </c>
      <c r="I36" s="167">
        <v>11900000</v>
      </c>
      <c r="J36" s="168" t="s">
        <v>216</v>
      </c>
      <c r="K36" s="168" t="s">
        <v>2456</v>
      </c>
      <c r="M36" s="169"/>
    </row>
    <row r="37" spans="1:13">
      <c r="A37" s="162" t="s">
        <v>134</v>
      </c>
      <c r="B37" s="163" t="s">
        <v>634</v>
      </c>
      <c r="C37" s="162" t="s">
        <v>21</v>
      </c>
      <c r="D37" s="164" t="s">
        <v>133</v>
      </c>
      <c r="E37" s="165" t="s">
        <v>70</v>
      </c>
      <c r="F37" s="165" t="s">
        <v>42</v>
      </c>
      <c r="G37" s="166" t="s">
        <v>436</v>
      </c>
      <c r="H37" s="168" t="s">
        <v>2452</v>
      </c>
      <c r="I37" s="167">
        <v>14875000</v>
      </c>
      <c r="J37" s="168" t="s">
        <v>216</v>
      </c>
      <c r="K37" s="168" t="s">
        <v>2456</v>
      </c>
      <c r="M37" s="169"/>
    </row>
    <row r="38" spans="1:13">
      <c r="A38" s="162" t="s">
        <v>135</v>
      </c>
      <c r="B38" s="163" t="s">
        <v>634</v>
      </c>
      <c r="C38" s="162" t="s">
        <v>21</v>
      </c>
      <c r="D38" s="164" t="s">
        <v>133</v>
      </c>
      <c r="E38" s="165" t="s">
        <v>74</v>
      </c>
      <c r="F38" s="165" t="s">
        <v>26</v>
      </c>
      <c r="G38" s="166" t="s">
        <v>436</v>
      </c>
      <c r="H38" s="168" t="s">
        <v>2452</v>
      </c>
      <c r="I38" s="167">
        <v>16065000</v>
      </c>
      <c r="J38" s="168" t="s">
        <v>216</v>
      </c>
      <c r="K38" s="168" t="s">
        <v>2456</v>
      </c>
      <c r="M38" s="169"/>
    </row>
    <row r="39" spans="1:13">
      <c r="A39" s="162" t="s">
        <v>136</v>
      </c>
      <c r="B39" s="163" t="s">
        <v>634</v>
      </c>
      <c r="C39" s="162" t="s">
        <v>21</v>
      </c>
      <c r="D39" s="164" t="s">
        <v>133</v>
      </c>
      <c r="E39" s="165" t="s">
        <v>74</v>
      </c>
      <c r="F39" s="165" t="s">
        <v>42</v>
      </c>
      <c r="G39" s="166" t="s">
        <v>436</v>
      </c>
      <c r="H39" s="168" t="s">
        <v>2452</v>
      </c>
      <c r="I39" s="167">
        <v>18593750</v>
      </c>
      <c r="J39" s="168" t="s">
        <v>216</v>
      </c>
      <c r="K39" s="168" t="s">
        <v>2456</v>
      </c>
      <c r="M39" s="169"/>
    </row>
    <row r="40" spans="1:13">
      <c r="A40" s="162" t="s">
        <v>137</v>
      </c>
      <c r="B40" s="163" t="s">
        <v>634</v>
      </c>
      <c r="C40" s="162" t="s">
        <v>21</v>
      </c>
      <c r="D40" s="164" t="s">
        <v>133</v>
      </c>
      <c r="E40" s="165" t="s">
        <v>72</v>
      </c>
      <c r="F40" s="165" t="s">
        <v>26</v>
      </c>
      <c r="G40" s="166" t="s">
        <v>436</v>
      </c>
      <c r="H40" s="168" t="s">
        <v>2452</v>
      </c>
      <c r="I40" s="167">
        <v>21687750</v>
      </c>
      <c r="J40" s="168" t="s">
        <v>216</v>
      </c>
      <c r="K40" s="168" t="s">
        <v>2456</v>
      </c>
      <c r="M40" s="169"/>
    </row>
    <row r="41" spans="1:13">
      <c r="A41" s="162" t="s">
        <v>138</v>
      </c>
      <c r="B41" s="163" t="s">
        <v>634</v>
      </c>
      <c r="C41" s="162" t="s">
        <v>21</v>
      </c>
      <c r="D41" s="164" t="s">
        <v>133</v>
      </c>
      <c r="E41" s="165" t="s">
        <v>72</v>
      </c>
      <c r="F41" s="165" t="s">
        <v>42</v>
      </c>
      <c r="G41" s="166" t="s">
        <v>436</v>
      </c>
      <c r="H41" s="168" t="s">
        <v>2452</v>
      </c>
      <c r="I41" s="167">
        <v>23242188</v>
      </c>
      <c r="J41" s="168" t="s">
        <v>216</v>
      </c>
      <c r="K41" s="168" t="s">
        <v>2456</v>
      </c>
      <c r="M41" s="169"/>
    </row>
    <row r="42" spans="1:13">
      <c r="A42" s="162" t="s">
        <v>139</v>
      </c>
      <c r="B42" s="163" t="s">
        <v>635</v>
      </c>
      <c r="C42" s="162" t="s">
        <v>21</v>
      </c>
      <c r="D42" s="164" t="s">
        <v>141</v>
      </c>
      <c r="E42" s="165" t="s">
        <v>70</v>
      </c>
      <c r="F42" s="165" t="s">
        <v>26</v>
      </c>
      <c r="G42" s="166" t="s">
        <v>167</v>
      </c>
      <c r="H42" s="168" t="s">
        <v>2452</v>
      </c>
      <c r="I42" s="167">
        <v>773500</v>
      </c>
      <c r="J42" s="168" t="s">
        <v>216</v>
      </c>
      <c r="K42" s="168" t="s">
        <v>2457</v>
      </c>
      <c r="M42" s="169"/>
    </row>
    <row r="43" spans="1:13">
      <c r="A43" s="162" t="s">
        <v>142</v>
      </c>
      <c r="B43" s="163" t="s">
        <v>635</v>
      </c>
      <c r="C43" s="162" t="s">
        <v>21</v>
      </c>
      <c r="D43" s="164" t="s">
        <v>141</v>
      </c>
      <c r="E43" s="165" t="s">
        <v>70</v>
      </c>
      <c r="F43" s="165" t="s">
        <v>42</v>
      </c>
      <c r="G43" s="166" t="s">
        <v>167</v>
      </c>
      <c r="H43" s="168" t="s">
        <v>2452</v>
      </c>
      <c r="I43" s="167">
        <v>1160250</v>
      </c>
      <c r="J43" s="168" t="s">
        <v>216</v>
      </c>
      <c r="K43" s="168" t="s">
        <v>2457</v>
      </c>
      <c r="M43" s="169"/>
    </row>
    <row r="44" spans="1:13">
      <c r="A44" s="162" t="s">
        <v>143</v>
      </c>
      <c r="B44" s="163" t="s">
        <v>635</v>
      </c>
      <c r="C44" s="162" t="s">
        <v>21</v>
      </c>
      <c r="D44" s="164" t="s">
        <v>141</v>
      </c>
      <c r="E44" s="165" t="s">
        <v>74</v>
      </c>
      <c r="F44" s="165" t="s">
        <v>26</v>
      </c>
      <c r="G44" s="166" t="s">
        <v>167</v>
      </c>
      <c r="H44" s="168" t="s">
        <v>2452</v>
      </c>
      <c r="I44" s="167">
        <v>966875</v>
      </c>
      <c r="J44" s="168" t="s">
        <v>216</v>
      </c>
      <c r="K44" s="168" t="s">
        <v>2457</v>
      </c>
      <c r="M44" s="169"/>
    </row>
    <row r="45" spans="1:13">
      <c r="A45" s="162" t="s">
        <v>144</v>
      </c>
      <c r="B45" s="163" t="s">
        <v>635</v>
      </c>
      <c r="C45" s="162" t="s">
        <v>21</v>
      </c>
      <c r="D45" s="164" t="s">
        <v>141</v>
      </c>
      <c r="E45" s="165" t="s">
        <v>74</v>
      </c>
      <c r="F45" s="165" t="s">
        <v>42</v>
      </c>
      <c r="G45" s="166" t="s">
        <v>167</v>
      </c>
      <c r="H45" s="168" t="s">
        <v>2452</v>
      </c>
      <c r="I45" s="167">
        <v>1740375</v>
      </c>
      <c r="J45" s="168" t="s">
        <v>216</v>
      </c>
      <c r="K45" s="168" t="s">
        <v>2457</v>
      </c>
      <c r="M45" s="169"/>
    </row>
    <row r="46" spans="1:13">
      <c r="A46" s="162" t="s">
        <v>145</v>
      </c>
      <c r="B46" s="163" t="s">
        <v>635</v>
      </c>
      <c r="C46" s="162" t="s">
        <v>21</v>
      </c>
      <c r="D46" s="164" t="s">
        <v>141</v>
      </c>
      <c r="E46" s="165" t="s">
        <v>72</v>
      </c>
      <c r="F46" s="165" t="s">
        <v>26</v>
      </c>
      <c r="G46" s="166" t="s">
        <v>167</v>
      </c>
      <c r="H46" s="168" t="s">
        <v>2452</v>
      </c>
      <c r="I46" s="167">
        <v>1160250</v>
      </c>
      <c r="J46" s="168" t="s">
        <v>216</v>
      </c>
      <c r="K46" s="168" t="s">
        <v>2457</v>
      </c>
      <c r="M46" s="169"/>
    </row>
    <row r="47" spans="1:13">
      <c r="A47" s="162" t="s">
        <v>146</v>
      </c>
      <c r="B47" s="163" t="s">
        <v>635</v>
      </c>
      <c r="C47" s="162" t="s">
        <v>21</v>
      </c>
      <c r="D47" s="164" t="s">
        <v>141</v>
      </c>
      <c r="E47" s="165" t="s">
        <v>72</v>
      </c>
      <c r="F47" s="165" t="s">
        <v>42</v>
      </c>
      <c r="G47" s="166" t="s">
        <v>167</v>
      </c>
      <c r="H47" s="168" t="s">
        <v>2452</v>
      </c>
      <c r="I47" s="167">
        <v>2610563</v>
      </c>
      <c r="J47" s="168" t="s">
        <v>216</v>
      </c>
      <c r="K47" s="168" t="s">
        <v>2457</v>
      </c>
      <c r="M47" s="169"/>
    </row>
    <row r="48" spans="1:13">
      <c r="A48" s="162" t="s">
        <v>147</v>
      </c>
      <c r="B48" s="163" t="s">
        <v>636</v>
      </c>
      <c r="C48" s="162" t="s">
        <v>21</v>
      </c>
      <c r="D48" s="164" t="s">
        <v>128</v>
      </c>
      <c r="E48" s="165" t="s">
        <v>70</v>
      </c>
      <c r="F48" s="165" t="s">
        <v>42</v>
      </c>
      <c r="G48" s="166" t="s">
        <v>436</v>
      </c>
      <c r="H48" s="168" t="s">
        <v>2452</v>
      </c>
      <c r="I48" s="167">
        <v>6426000</v>
      </c>
      <c r="J48" s="168" t="s">
        <v>216</v>
      </c>
      <c r="K48" s="168" t="s">
        <v>2458</v>
      </c>
      <c r="M48" s="169"/>
    </row>
    <row r="49" spans="1:13">
      <c r="A49" s="162" t="s">
        <v>149</v>
      </c>
      <c r="B49" s="163" t="s">
        <v>636</v>
      </c>
      <c r="C49" s="162" t="s">
        <v>21</v>
      </c>
      <c r="D49" s="164" t="s">
        <v>128</v>
      </c>
      <c r="E49" s="165" t="s">
        <v>74</v>
      </c>
      <c r="F49" s="165" t="s">
        <v>42</v>
      </c>
      <c r="G49" s="166" t="s">
        <v>436</v>
      </c>
      <c r="H49" s="168" t="s">
        <v>2452</v>
      </c>
      <c r="I49" s="167">
        <v>9639000</v>
      </c>
      <c r="J49" s="168" t="s">
        <v>216</v>
      </c>
      <c r="K49" s="168" t="s">
        <v>2459</v>
      </c>
      <c r="M49" s="169"/>
    </row>
    <row r="50" spans="1:13">
      <c r="A50" s="162" t="s">
        <v>150</v>
      </c>
      <c r="B50" s="163" t="s">
        <v>636</v>
      </c>
      <c r="C50" s="162" t="s">
        <v>21</v>
      </c>
      <c r="D50" s="164" t="s">
        <v>128</v>
      </c>
      <c r="E50" s="165" t="s">
        <v>72</v>
      </c>
      <c r="F50" s="165" t="s">
        <v>42</v>
      </c>
      <c r="G50" s="166" t="s">
        <v>436</v>
      </c>
      <c r="H50" s="168" t="s">
        <v>2452</v>
      </c>
      <c r="I50" s="167">
        <v>14458500</v>
      </c>
      <c r="J50" s="168" t="s">
        <v>216</v>
      </c>
      <c r="K50" s="168" t="s">
        <v>2459</v>
      </c>
      <c r="M50" s="169"/>
    </row>
    <row r="51" spans="1:13">
      <c r="A51" s="162" t="s">
        <v>151</v>
      </c>
      <c r="B51" s="163" t="s">
        <v>637</v>
      </c>
      <c r="C51" s="162" t="s">
        <v>21</v>
      </c>
      <c r="D51" s="164" t="s">
        <v>29</v>
      </c>
      <c r="E51" s="165" t="s">
        <v>74</v>
      </c>
      <c r="F51" s="165" t="s">
        <v>26</v>
      </c>
      <c r="G51" s="166" t="s">
        <v>436</v>
      </c>
      <c r="H51" s="168" t="s">
        <v>2452</v>
      </c>
      <c r="I51" s="167">
        <v>148750</v>
      </c>
      <c r="J51" s="168" t="s">
        <v>216</v>
      </c>
      <c r="K51" s="168" t="s">
        <v>2460</v>
      </c>
      <c r="M51" s="169"/>
    </row>
    <row r="52" spans="1:13">
      <c r="A52" s="162" t="s">
        <v>153</v>
      </c>
      <c r="B52" s="163" t="s">
        <v>637</v>
      </c>
      <c r="C52" s="162" t="s">
        <v>21</v>
      </c>
      <c r="D52" s="164" t="s">
        <v>29</v>
      </c>
      <c r="E52" s="165" t="s">
        <v>74</v>
      </c>
      <c r="F52" s="165" t="s">
        <v>42</v>
      </c>
      <c r="G52" s="166" t="s">
        <v>436</v>
      </c>
      <c r="H52" s="168" t="s">
        <v>2452</v>
      </c>
      <c r="I52" s="167">
        <v>267750</v>
      </c>
      <c r="J52" s="168" t="s">
        <v>216</v>
      </c>
      <c r="K52" s="168" t="s">
        <v>2460</v>
      </c>
      <c r="M52" s="169"/>
    </row>
    <row r="53" spans="1:13">
      <c r="A53" s="162" t="s">
        <v>154</v>
      </c>
      <c r="B53" s="163" t="s">
        <v>637</v>
      </c>
      <c r="C53" s="162" t="s">
        <v>21</v>
      </c>
      <c r="D53" s="164" t="s">
        <v>29</v>
      </c>
      <c r="E53" s="165" t="s">
        <v>70</v>
      </c>
      <c r="F53" s="165" t="s">
        <v>26</v>
      </c>
      <c r="G53" s="166" t="s">
        <v>436</v>
      </c>
      <c r="H53" s="168" t="s">
        <v>2452</v>
      </c>
      <c r="I53" s="167">
        <v>119000</v>
      </c>
      <c r="J53" s="168" t="s">
        <v>216</v>
      </c>
      <c r="K53" s="168" t="s">
        <v>2460</v>
      </c>
      <c r="M53" s="169"/>
    </row>
    <row r="54" spans="1:13">
      <c r="A54" s="162" t="s">
        <v>155</v>
      </c>
      <c r="B54" s="163" t="s">
        <v>637</v>
      </c>
      <c r="C54" s="162" t="s">
        <v>21</v>
      </c>
      <c r="D54" s="164" t="s">
        <v>29</v>
      </c>
      <c r="E54" s="165" t="s">
        <v>72</v>
      </c>
      <c r="F54" s="165" t="s">
        <v>26</v>
      </c>
      <c r="G54" s="166" t="s">
        <v>436</v>
      </c>
      <c r="H54" s="168" t="s">
        <v>2452</v>
      </c>
      <c r="I54" s="167">
        <v>185938</v>
      </c>
      <c r="J54" s="168" t="s">
        <v>216</v>
      </c>
      <c r="K54" s="168" t="s">
        <v>2460</v>
      </c>
      <c r="M54" s="169"/>
    </row>
    <row r="55" spans="1:13">
      <c r="A55" s="162" t="s">
        <v>156</v>
      </c>
      <c r="B55" s="163" t="s">
        <v>637</v>
      </c>
      <c r="C55" s="162" t="s">
        <v>21</v>
      </c>
      <c r="D55" s="164" t="s">
        <v>29</v>
      </c>
      <c r="E55" s="165" t="s">
        <v>72</v>
      </c>
      <c r="F55" s="165" t="s">
        <v>42</v>
      </c>
      <c r="G55" s="166" t="s">
        <v>436</v>
      </c>
      <c r="H55" s="168" t="s">
        <v>2452</v>
      </c>
      <c r="I55" s="167">
        <v>401625</v>
      </c>
      <c r="J55" s="168" t="s">
        <v>216</v>
      </c>
      <c r="K55" s="168" t="s">
        <v>2460</v>
      </c>
      <c r="M55" s="169"/>
    </row>
    <row r="56" spans="1:13">
      <c r="A56" s="162" t="s">
        <v>157</v>
      </c>
      <c r="B56" s="163" t="s">
        <v>637</v>
      </c>
      <c r="C56" s="162" t="s">
        <v>21</v>
      </c>
      <c r="D56" s="164" t="s">
        <v>29</v>
      </c>
      <c r="E56" s="165" t="s">
        <v>70</v>
      </c>
      <c r="F56" s="165" t="s">
        <v>42</v>
      </c>
      <c r="G56" s="166" t="s">
        <v>436</v>
      </c>
      <c r="H56" s="168" t="s">
        <v>2452</v>
      </c>
      <c r="I56" s="167">
        <v>178500</v>
      </c>
      <c r="J56" s="168" t="s">
        <v>216</v>
      </c>
      <c r="K56" s="168" t="s">
        <v>2460</v>
      </c>
      <c r="M56" s="169"/>
    </row>
    <row r="57" spans="1:13">
      <c r="A57" s="162" t="s">
        <v>158</v>
      </c>
      <c r="B57" s="163" t="s">
        <v>638</v>
      </c>
      <c r="C57" s="162" t="s">
        <v>21</v>
      </c>
      <c r="D57" s="164" t="s">
        <v>29</v>
      </c>
      <c r="E57" s="165" t="s">
        <v>70</v>
      </c>
      <c r="F57" s="165" t="s">
        <v>42</v>
      </c>
      <c r="G57" s="166" t="s">
        <v>436</v>
      </c>
      <c r="H57" s="168" t="s">
        <v>2452</v>
      </c>
      <c r="I57" s="167">
        <v>357000</v>
      </c>
      <c r="J57" s="168" t="s">
        <v>216</v>
      </c>
      <c r="K57" s="168" t="s">
        <v>2460</v>
      </c>
      <c r="M57" s="169"/>
    </row>
    <row r="58" spans="1:13">
      <c r="A58" s="162" t="s">
        <v>160</v>
      </c>
      <c r="B58" s="163" t="s">
        <v>638</v>
      </c>
      <c r="C58" s="162" t="s">
        <v>21</v>
      </c>
      <c r="D58" s="164" t="s">
        <v>29</v>
      </c>
      <c r="E58" s="165" t="s">
        <v>74</v>
      </c>
      <c r="F58" s="165" t="s">
        <v>26</v>
      </c>
      <c r="G58" s="166" t="s">
        <v>436</v>
      </c>
      <c r="H58" s="168" t="s">
        <v>2452</v>
      </c>
      <c r="I58" s="167">
        <v>297500</v>
      </c>
      <c r="J58" s="168" t="s">
        <v>216</v>
      </c>
      <c r="K58" s="168" t="s">
        <v>2460</v>
      </c>
      <c r="M58" s="169"/>
    </row>
    <row r="59" spans="1:13">
      <c r="A59" s="162" t="s">
        <v>161</v>
      </c>
      <c r="B59" s="163" t="s">
        <v>638</v>
      </c>
      <c r="C59" s="162" t="s">
        <v>21</v>
      </c>
      <c r="D59" s="164" t="s">
        <v>29</v>
      </c>
      <c r="E59" s="165" t="s">
        <v>74</v>
      </c>
      <c r="F59" s="165" t="s">
        <v>42</v>
      </c>
      <c r="G59" s="166" t="s">
        <v>436</v>
      </c>
      <c r="H59" s="168" t="s">
        <v>2452</v>
      </c>
      <c r="I59" s="167">
        <v>535500</v>
      </c>
      <c r="J59" s="168" t="s">
        <v>216</v>
      </c>
      <c r="K59" s="168" t="s">
        <v>2460</v>
      </c>
      <c r="M59" s="169"/>
    </row>
    <row r="60" spans="1:13">
      <c r="A60" s="162" t="s">
        <v>162</v>
      </c>
      <c r="B60" s="163" t="s">
        <v>638</v>
      </c>
      <c r="C60" s="162" t="s">
        <v>21</v>
      </c>
      <c r="D60" s="164" t="s">
        <v>29</v>
      </c>
      <c r="E60" s="165" t="s">
        <v>72</v>
      </c>
      <c r="F60" s="165" t="s">
        <v>26</v>
      </c>
      <c r="G60" s="166" t="s">
        <v>436</v>
      </c>
      <c r="H60" s="168" t="s">
        <v>2452</v>
      </c>
      <c r="I60" s="167">
        <v>371875</v>
      </c>
      <c r="J60" s="168" t="s">
        <v>216</v>
      </c>
      <c r="K60" s="168" t="s">
        <v>2460</v>
      </c>
      <c r="M60" s="169"/>
    </row>
    <row r="61" spans="1:13">
      <c r="A61" s="170" t="s">
        <v>163</v>
      </c>
      <c r="B61" s="171" t="s">
        <v>638</v>
      </c>
      <c r="C61" s="170" t="s">
        <v>21</v>
      </c>
      <c r="D61" s="172" t="s">
        <v>29</v>
      </c>
      <c r="E61" s="173" t="s">
        <v>72</v>
      </c>
      <c r="F61" s="173" t="s">
        <v>42</v>
      </c>
      <c r="G61" s="174" t="s">
        <v>436</v>
      </c>
      <c r="H61" s="175" t="s">
        <v>2452</v>
      </c>
      <c r="I61" s="176">
        <v>803250</v>
      </c>
      <c r="J61" s="168" t="s">
        <v>216</v>
      </c>
      <c r="K61" s="168" t="s">
        <v>2460</v>
      </c>
      <c r="M61" s="169"/>
    </row>
    <row r="62" spans="1:13">
      <c r="A62" s="165" t="s">
        <v>164</v>
      </c>
      <c r="B62" s="177" t="s">
        <v>638</v>
      </c>
      <c r="C62" s="165" t="s">
        <v>21</v>
      </c>
      <c r="D62" s="177" t="s">
        <v>29</v>
      </c>
      <c r="E62" s="165" t="s">
        <v>70</v>
      </c>
      <c r="F62" s="165" t="s">
        <v>26</v>
      </c>
      <c r="G62" s="165" t="s">
        <v>436</v>
      </c>
      <c r="H62" s="178" t="s">
        <v>2452</v>
      </c>
      <c r="I62" s="179">
        <v>238000</v>
      </c>
      <c r="J62" s="168" t="s">
        <v>216</v>
      </c>
      <c r="K62" s="168" t="s">
        <v>2460</v>
      </c>
      <c r="M62" s="169"/>
    </row>
    <row r="63" spans="1:13" ht="13.5">
      <c r="A63" s="312" t="s">
        <v>2461</v>
      </c>
      <c r="B63" s="312"/>
      <c r="C63" s="312"/>
      <c r="D63" s="312"/>
      <c r="E63" s="312"/>
      <c r="F63" s="312"/>
      <c r="G63" s="312"/>
      <c r="H63" s="312"/>
      <c r="I63" s="312"/>
      <c r="J63" s="312"/>
      <c r="K63" s="312"/>
    </row>
    <row r="64" spans="1:13" ht="14.5">
      <c r="A64" s="3" t="s">
        <v>2442</v>
      </c>
      <c r="B64" s="5" t="s">
        <v>2443</v>
      </c>
      <c r="C64" s="3" t="s">
        <v>2444</v>
      </c>
      <c r="D64" s="5" t="s">
        <v>2445</v>
      </c>
      <c r="E64" s="3" t="s">
        <v>2446</v>
      </c>
      <c r="F64" s="5" t="s">
        <v>2447</v>
      </c>
      <c r="G64" s="3" t="s">
        <v>2448</v>
      </c>
      <c r="H64" s="5" t="s">
        <v>2449</v>
      </c>
      <c r="I64" s="3" t="s">
        <v>1432</v>
      </c>
      <c r="J64" s="5" t="s">
        <v>2450</v>
      </c>
      <c r="K64" s="3" t="s">
        <v>2451</v>
      </c>
    </row>
    <row r="65" spans="1:11">
      <c r="A65" s="162" t="s">
        <v>89</v>
      </c>
      <c r="B65" s="163" t="s">
        <v>627</v>
      </c>
      <c r="C65" s="162" t="s">
        <v>21</v>
      </c>
      <c r="D65" s="164" t="s">
        <v>91</v>
      </c>
      <c r="E65" s="165" t="s">
        <v>70</v>
      </c>
      <c r="F65" s="165" t="s">
        <v>26</v>
      </c>
      <c r="G65" s="166" t="s">
        <v>166</v>
      </c>
      <c r="H65" s="162" t="s">
        <v>2452</v>
      </c>
      <c r="I65" s="167">
        <v>1190000</v>
      </c>
      <c r="J65" s="168" t="s">
        <v>216</v>
      </c>
      <c r="K65" s="168" t="s">
        <v>2453</v>
      </c>
    </row>
    <row r="66" spans="1:11">
      <c r="A66" s="162" t="s">
        <v>92</v>
      </c>
      <c r="B66" s="163" t="s">
        <v>627</v>
      </c>
      <c r="C66" s="162" t="s">
        <v>21</v>
      </c>
      <c r="D66" s="164" t="s">
        <v>91</v>
      </c>
      <c r="E66" s="165" t="s">
        <v>70</v>
      </c>
      <c r="F66" s="165" t="s">
        <v>42</v>
      </c>
      <c r="G66" s="166" t="s">
        <v>166</v>
      </c>
      <c r="H66" s="168" t="s">
        <v>2452</v>
      </c>
      <c r="I66" s="167">
        <v>1785000</v>
      </c>
      <c r="J66" s="168" t="s">
        <v>216</v>
      </c>
      <c r="K66" s="168" t="s">
        <v>2453</v>
      </c>
    </row>
    <row r="67" spans="1:11">
      <c r="A67" s="162" t="s">
        <v>93</v>
      </c>
      <c r="B67" s="163" t="s">
        <v>627</v>
      </c>
      <c r="C67" s="162" t="s">
        <v>21</v>
      </c>
      <c r="D67" s="164" t="s">
        <v>91</v>
      </c>
      <c r="E67" s="165" t="s">
        <v>74</v>
      </c>
      <c r="F67" s="165" t="s">
        <v>26</v>
      </c>
      <c r="G67" s="166" t="s">
        <v>166</v>
      </c>
      <c r="H67" s="168" t="s">
        <v>2452</v>
      </c>
      <c r="I67" s="167">
        <v>1487500</v>
      </c>
      <c r="J67" s="168" t="s">
        <v>216</v>
      </c>
      <c r="K67" s="168" t="s">
        <v>2453</v>
      </c>
    </row>
    <row r="68" spans="1:11">
      <c r="A68" s="162" t="s">
        <v>94</v>
      </c>
      <c r="B68" s="163" t="s">
        <v>627</v>
      </c>
      <c r="C68" s="162" t="s">
        <v>21</v>
      </c>
      <c r="D68" s="164" t="s">
        <v>91</v>
      </c>
      <c r="E68" s="165" t="s">
        <v>74</v>
      </c>
      <c r="F68" s="165" t="s">
        <v>42</v>
      </c>
      <c r="G68" s="166" t="s">
        <v>166</v>
      </c>
      <c r="H68" s="168" t="s">
        <v>2452</v>
      </c>
      <c r="I68" s="167">
        <v>2677500</v>
      </c>
      <c r="J68" s="168" t="s">
        <v>216</v>
      </c>
      <c r="K68" s="168" t="s">
        <v>2453</v>
      </c>
    </row>
    <row r="69" spans="1:11">
      <c r="A69" s="162" t="s">
        <v>95</v>
      </c>
      <c r="B69" s="163" t="s">
        <v>627</v>
      </c>
      <c r="C69" s="162" t="s">
        <v>21</v>
      </c>
      <c r="D69" s="164" t="s">
        <v>91</v>
      </c>
      <c r="E69" s="165" t="s">
        <v>72</v>
      </c>
      <c r="F69" s="165" t="s">
        <v>26</v>
      </c>
      <c r="G69" s="166" t="s">
        <v>166</v>
      </c>
      <c r="H69" s="168" t="s">
        <v>2452</v>
      </c>
      <c r="I69" s="167">
        <v>1859375</v>
      </c>
      <c r="J69" s="168" t="s">
        <v>216</v>
      </c>
      <c r="K69" s="168" t="s">
        <v>2453</v>
      </c>
    </row>
    <row r="70" spans="1:11">
      <c r="A70" s="162" t="s">
        <v>96</v>
      </c>
      <c r="B70" s="163" t="s">
        <v>627</v>
      </c>
      <c r="C70" s="162" t="s">
        <v>21</v>
      </c>
      <c r="D70" s="164" t="s">
        <v>91</v>
      </c>
      <c r="E70" s="165" t="s">
        <v>72</v>
      </c>
      <c r="F70" s="165" t="s">
        <v>42</v>
      </c>
      <c r="G70" s="166" t="s">
        <v>166</v>
      </c>
      <c r="H70" s="168" t="s">
        <v>2452</v>
      </c>
      <c r="I70" s="167">
        <v>4016250</v>
      </c>
      <c r="J70" s="168" t="s">
        <v>216</v>
      </c>
      <c r="K70" s="168" t="s">
        <v>2453</v>
      </c>
    </row>
    <row r="71" spans="1:11">
      <c r="A71" s="162" t="s">
        <v>97</v>
      </c>
      <c r="B71" s="163" t="s">
        <v>628</v>
      </c>
      <c r="C71" s="162" t="s">
        <v>21</v>
      </c>
      <c r="D71" s="164" t="s">
        <v>99</v>
      </c>
      <c r="E71" s="165" t="s">
        <v>70</v>
      </c>
      <c r="F71" s="165" t="s">
        <v>26</v>
      </c>
      <c r="G71" s="166" t="s">
        <v>166</v>
      </c>
      <c r="H71" s="168" t="s">
        <v>2452</v>
      </c>
      <c r="I71" s="167">
        <v>1487500</v>
      </c>
      <c r="J71" s="168" t="s">
        <v>216</v>
      </c>
      <c r="K71" s="168" t="s">
        <v>2453</v>
      </c>
    </row>
    <row r="72" spans="1:11">
      <c r="A72" s="162" t="s">
        <v>100</v>
      </c>
      <c r="B72" s="163" t="s">
        <v>628</v>
      </c>
      <c r="C72" s="162" t="s">
        <v>21</v>
      </c>
      <c r="D72" s="164" t="s">
        <v>99</v>
      </c>
      <c r="E72" s="165" t="s">
        <v>70</v>
      </c>
      <c r="F72" s="165" t="s">
        <v>42</v>
      </c>
      <c r="G72" s="166" t="s">
        <v>166</v>
      </c>
      <c r="H72" s="168" t="s">
        <v>2452</v>
      </c>
      <c r="I72" s="167">
        <v>2231250</v>
      </c>
      <c r="J72" s="168" t="s">
        <v>216</v>
      </c>
      <c r="K72" s="168" t="s">
        <v>2453</v>
      </c>
    </row>
    <row r="73" spans="1:11">
      <c r="A73" s="162" t="s">
        <v>101</v>
      </c>
      <c r="B73" s="163" t="s">
        <v>628</v>
      </c>
      <c r="C73" s="162" t="s">
        <v>21</v>
      </c>
      <c r="D73" s="164" t="s">
        <v>99</v>
      </c>
      <c r="E73" s="165" t="s">
        <v>74</v>
      </c>
      <c r="F73" s="165" t="s">
        <v>26</v>
      </c>
      <c r="G73" s="166" t="s">
        <v>166</v>
      </c>
      <c r="H73" s="168" t="s">
        <v>2452</v>
      </c>
      <c r="I73" s="167">
        <v>1859375</v>
      </c>
      <c r="J73" s="168" t="s">
        <v>216</v>
      </c>
      <c r="K73" s="168" t="s">
        <v>2453</v>
      </c>
    </row>
    <row r="74" spans="1:11">
      <c r="A74" s="162" t="s">
        <v>102</v>
      </c>
      <c r="B74" s="163" t="s">
        <v>628</v>
      </c>
      <c r="C74" s="162" t="s">
        <v>21</v>
      </c>
      <c r="D74" s="164" t="s">
        <v>99</v>
      </c>
      <c r="E74" s="165" t="s">
        <v>74</v>
      </c>
      <c r="F74" s="165" t="s">
        <v>42</v>
      </c>
      <c r="G74" s="166" t="s">
        <v>166</v>
      </c>
      <c r="H74" s="168" t="s">
        <v>2452</v>
      </c>
      <c r="I74" s="167">
        <v>3346875</v>
      </c>
      <c r="J74" s="168" t="s">
        <v>216</v>
      </c>
      <c r="K74" s="168" t="s">
        <v>2453</v>
      </c>
    </row>
    <row r="75" spans="1:11">
      <c r="A75" s="162" t="s">
        <v>103</v>
      </c>
      <c r="B75" s="163" t="s">
        <v>628</v>
      </c>
      <c r="C75" s="162" t="s">
        <v>21</v>
      </c>
      <c r="D75" s="164" t="s">
        <v>99</v>
      </c>
      <c r="E75" s="165" t="s">
        <v>72</v>
      </c>
      <c r="F75" s="165" t="s">
        <v>26</v>
      </c>
      <c r="G75" s="166" t="s">
        <v>166</v>
      </c>
      <c r="H75" s="168" t="s">
        <v>2452</v>
      </c>
      <c r="I75" s="167">
        <v>2324219</v>
      </c>
      <c r="J75" s="168" t="s">
        <v>216</v>
      </c>
      <c r="K75" s="168" t="s">
        <v>2453</v>
      </c>
    </row>
    <row r="76" spans="1:11">
      <c r="A76" s="162" t="s">
        <v>104</v>
      </c>
      <c r="B76" s="163" t="s">
        <v>628</v>
      </c>
      <c r="C76" s="162" t="s">
        <v>21</v>
      </c>
      <c r="D76" s="164" t="s">
        <v>99</v>
      </c>
      <c r="E76" s="165" t="s">
        <v>72</v>
      </c>
      <c r="F76" s="165" t="s">
        <v>42</v>
      </c>
      <c r="G76" s="166" t="s">
        <v>166</v>
      </c>
      <c r="H76" s="168" t="s">
        <v>2452</v>
      </c>
      <c r="I76" s="167">
        <v>5020313</v>
      </c>
      <c r="J76" s="168" t="s">
        <v>216</v>
      </c>
      <c r="K76" s="168" t="s">
        <v>2453</v>
      </c>
    </row>
    <row r="77" spans="1:11">
      <c r="A77" s="162" t="s">
        <v>105</v>
      </c>
      <c r="B77" s="163" t="s">
        <v>630</v>
      </c>
      <c r="C77" s="162" t="s">
        <v>21</v>
      </c>
      <c r="D77" s="164" t="s">
        <v>91</v>
      </c>
      <c r="E77" s="165" t="s">
        <v>70</v>
      </c>
      <c r="F77" s="165" t="s">
        <v>26</v>
      </c>
      <c r="G77" s="166" t="s">
        <v>166</v>
      </c>
      <c r="H77" s="168" t="s">
        <v>2452</v>
      </c>
      <c r="I77" s="167">
        <v>1190000</v>
      </c>
      <c r="J77" s="168" t="s">
        <v>216</v>
      </c>
      <c r="K77" s="168" t="s">
        <v>2453</v>
      </c>
    </row>
    <row r="78" spans="1:11">
      <c r="A78" s="162" t="s">
        <v>107</v>
      </c>
      <c r="B78" s="163" t="s">
        <v>630</v>
      </c>
      <c r="C78" s="162" t="s">
        <v>21</v>
      </c>
      <c r="D78" s="164" t="s">
        <v>91</v>
      </c>
      <c r="E78" s="165" t="s">
        <v>70</v>
      </c>
      <c r="F78" s="165" t="s">
        <v>42</v>
      </c>
      <c r="G78" s="166" t="s">
        <v>166</v>
      </c>
      <c r="H78" s="168" t="s">
        <v>2452</v>
      </c>
      <c r="I78" s="167">
        <v>1785000</v>
      </c>
      <c r="J78" s="168" t="s">
        <v>216</v>
      </c>
      <c r="K78" s="168" t="s">
        <v>2453</v>
      </c>
    </row>
    <row r="79" spans="1:11">
      <c r="A79" s="162" t="s">
        <v>108</v>
      </c>
      <c r="B79" s="163" t="s">
        <v>630</v>
      </c>
      <c r="C79" s="162" t="s">
        <v>21</v>
      </c>
      <c r="D79" s="164" t="s">
        <v>91</v>
      </c>
      <c r="E79" s="165" t="s">
        <v>74</v>
      </c>
      <c r="F79" s="165" t="s">
        <v>26</v>
      </c>
      <c r="G79" s="166" t="s">
        <v>166</v>
      </c>
      <c r="H79" s="168" t="s">
        <v>2452</v>
      </c>
      <c r="I79" s="167">
        <v>1487500</v>
      </c>
      <c r="J79" s="168" t="s">
        <v>216</v>
      </c>
      <c r="K79" s="168" t="s">
        <v>2453</v>
      </c>
    </row>
    <row r="80" spans="1:11">
      <c r="A80" s="162" t="s">
        <v>109</v>
      </c>
      <c r="B80" s="163" t="s">
        <v>630</v>
      </c>
      <c r="C80" s="162" t="s">
        <v>21</v>
      </c>
      <c r="D80" s="164" t="s">
        <v>91</v>
      </c>
      <c r="E80" s="165" t="s">
        <v>74</v>
      </c>
      <c r="F80" s="165" t="s">
        <v>42</v>
      </c>
      <c r="G80" s="166" t="s">
        <v>166</v>
      </c>
      <c r="H80" s="168" t="s">
        <v>2452</v>
      </c>
      <c r="I80" s="167">
        <v>2677500</v>
      </c>
      <c r="J80" s="168" t="s">
        <v>216</v>
      </c>
      <c r="K80" s="168" t="s">
        <v>2453</v>
      </c>
    </row>
    <row r="81" spans="1:11">
      <c r="A81" s="162" t="s">
        <v>110</v>
      </c>
      <c r="B81" s="163" t="s">
        <v>630</v>
      </c>
      <c r="C81" s="162" t="s">
        <v>21</v>
      </c>
      <c r="D81" s="164" t="s">
        <v>91</v>
      </c>
      <c r="E81" s="165" t="s">
        <v>72</v>
      </c>
      <c r="F81" s="165" t="s">
        <v>26</v>
      </c>
      <c r="G81" s="166" t="s">
        <v>166</v>
      </c>
      <c r="H81" s="168" t="s">
        <v>2452</v>
      </c>
      <c r="I81" s="167">
        <v>1859375</v>
      </c>
      <c r="J81" s="168" t="s">
        <v>216</v>
      </c>
      <c r="K81" s="168" t="s">
        <v>2453</v>
      </c>
    </row>
    <row r="82" spans="1:11">
      <c r="A82" s="162" t="s">
        <v>111</v>
      </c>
      <c r="B82" s="163" t="s">
        <v>630</v>
      </c>
      <c r="C82" s="162" t="s">
        <v>21</v>
      </c>
      <c r="D82" s="164" t="s">
        <v>91</v>
      </c>
      <c r="E82" s="165" t="s">
        <v>72</v>
      </c>
      <c r="F82" s="165" t="s">
        <v>42</v>
      </c>
      <c r="G82" s="166" t="s">
        <v>166</v>
      </c>
      <c r="H82" s="168" t="s">
        <v>2452</v>
      </c>
      <c r="I82" s="167">
        <v>4016250</v>
      </c>
      <c r="J82" s="168" t="s">
        <v>216</v>
      </c>
      <c r="K82" s="168" t="s">
        <v>2453</v>
      </c>
    </row>
    <row r="83" spans="1:11">
      <c r="A83" s="162" t="s">
        <v>112</v>
      </c>
      <c r="B83" s="163" t="s">
        <v>631</v>
      </c>
      <c r="C83" s="162" t="s">
        <v>21</v>
      </c>
      <c r="D83" s="164" t="s">
        <v>99</v>
      </c>
      <c r="E83" s="165" t="s">
        <v>70</v>
      </c>
      <c r="F83" s="165" t="s">
        <v>26</v>
      </c>
      <c r="G83" s="166" t="s">
        <v>166</v>
      </c>
      <c r="H83" s="168" t="s">
        <v>2452</v>
      </c>
      <c r="I83" s="167">
        <v>1487500</v>
      </c>
      <c r="J83" s="168" t="s">
        <v>216</v>
      </c>
      <c r="K83" s="168" t="s">
        <v>2453</v>
      </c>
    </row>
    <row r="84" spans="1:11">
      <c r="A84" s="162" t="s">
        <v>114</v>
      </c>
      <c r="B84" s="163" t="s">
        <v>631</v>
      </c>
      <c r="C84" s="162" t="s">
        <v>21</v>
      </c>
      <c r="D84" s="164" t="s">
        <v>99</v>
      </c>
      <c r="E84" s="165" t="s">
        <v>70</v>
      </c>
      <c r="F84" s="165" t="s">
        <v>42</v>
      </c>
      <c r="G84" s="166" t="s">
        <v>166</v>
      </c>
      <c r="H84" s="168" t="s">
        <v>2452</v>
      </c>
      <c r="I84" s="167">
        <v>2231250</v>
      </c>
      <c r="J84" s="168" t="s">
        <v>216</v>
      </c>
      <c r="K84" s="168" t="s">
        <v>2453</v>
      </c>
    </row>
    <row r="85" spans="1:11">
      <c r="A85" s="162" t="s">
        <v>115</v>
      </c>
      <c r="B85" s="163" t="s">
        <v>631</v>
      </c>
      <c r="C85" s="162" t="s">
        <v>21</v>
      </c>
      <c r="D85" s="164" t="s">
        <v>99</v>
      </c>
      <c r="E85" s="165" t="s">
        <v>74</v>
      </c>
      <c r="F85" s="165" t="s">
        <v>26</v>
      </c>
      <c r="G85" s="166" t="s">
        <v>166</v>
      </c>
      <c r="H85" s="168" t="s">
        <v>2452</v>
      </c>
      <c r="I85" s="167">
        <v>1859375</v>
      </c>
      <c r="J85" s="168" t="s">
        <v>216</v>
      </c>
      <c r="K85" s="168" t="s">
        <v>2453</v>
      </c>
    </row>
    <row r="86" spans="1:11">
      <c r="A86" s="162" t="s">
        <v>116</v>
      </c>
      <c r="B86" s="163" t="s">
        <v>631</v>
      </c>
      <c r="C86" s="162" t="s">
        <v>21</v>
      </c>
      <c r="D86" s="164" t="s">
        <v>99</v>
      </c>
      <c r="E86" s="165" t="s">
        <v>74</v>
      </c>
      <c r="F86" s="165" t="s">
        <v>42</v>
      </c>
      <c r="G86" s="166" t="s">
        <v>166</v>
      </c>
      <c r="H86" s="168" t="s">
        <v>2452</v>
      </c>
      <c r="I86" s="167">
        <v>3346875</v>
      </c>
      <c r="J86" s="168" t="s">
        <v>216</v>
      </c>
      <c r="K86" s="168" t="s">
        <v>2453</v>
      </c>
    </row>
    <row r="87" spans="1:11">
      <c r="A87" s="162" t="s">
        <v>117</v>
      </c>
      <c r="B87" s="163" t="s">
        <v>631</v>
      </c>
      <c r="C87" s="162" t="s">
        <v>21</v>
      </c>
      <c r="D87" s="164" t="s">
        <v>99</v>
      </c>
      <c r="E87" s="165" t="s">
        <v>72</v>
      </c>
      <c r="F87" s="165" t="s">
        <v>26</v>
      </c>
      <c r="G87" s="166" t="s">
        <v>166</v>
      </c>
      <c r="H87" s="168" t="s">
        <v>2452</v>
      </c>
      <c r="I87" s="167">
        <v>2324219</v>
      </c>
      <c r="J87" s="168" t="s">
        <v>216</v>
      </c>
      <c r="K87" s="168" t="s">
        <v>2453</v>
      </c>
    </row>
    <row r="88" spans="1:11">
      <c r="A88" s="162" t="s">
        <v>118</v>
      </c>
      <c r="B88" s="163" t="s">
        <v>631</v>
      </c>
      <c r="C88" s="162" t="s">
        <v>21</v>
      </c>
      <c r="D88" s="164" t="s">
        <v>99</v>
      </c>
      <c r="E88" s="165" t="s">
        <v>72</v>
      </c>
      <c r="F88" s="165" t="s">
        <v>42</v>
      </c>
      <c r="G88" s="166" t="s">
        <v>166</v>
      </c>
      <c r="H88" s="168" t="s">
        <v>2452</v>
      </c>
      <c r="I88" s="167">
        <v>5020313</v>
      </c>
      <c r="J88" s="168" t="s">
        <v>216</v>
      </c>
      <c r="K88" s="168" t="s">
        <v>2453</v>
      </c>
    </row>
    <row r="89" spans="1:11">
      <c r="A89" s="162" t="s">
        <v>119</v>
      </c>
      <c r="B89" s="163" t="s">
        <v>632</v>
      </c>
      <c r="C89" s="162" t="s">
        <v>21</v>
      </c>
      <c r="D89" s="164" t="s">
        <v>29</v>
      </c>
      <c r="E89" s="165" t="s">
        <v>70</v>
      </c>
      <c r="F89" s="165" t="s">
        <v>26</v>
      </c>
      <c r="G89" s="166" t="s">
        <v>167</v>
      </c>
      <c r="H89" s="168" t="s">
        <v>2452</v>
      </c>
      <c r="I89" s="167">
        <v>95200</v>
      </c>
      <c r="J89" s="168" t="s">
        <v>216</v>
      </c>
      <c r="K89" s="168" t="s">
        <v>2454</v>
      </c>
    </row>
    <row r="90" spans="1:11">
      <c r="A90" s="162" t="s">
        <v>121</v>
      </c>
      <c r="B90" s="163" t="s">
        <v>632</v>
      </c>
      <c r="C90" s="162" t="s">
        <v>21</v>
      </c>
      <c r="D90" s="164" t="s">
        <v>29</v>
      </c>
      <c r="E90" s="165" t="s">
        <v>70</v>
      </c>
      <c r="F90" s="165" t="s">
        <v>42</v>
      </c>
      <c r="G90" s="166" t="s">
        <v>167</v>
      </c>
      <c r="H90" s="168" t="s">
        <v>2452</v>
      </c>
      <c r="I90" s="167">
        <v>142800</v>
      </c>
      <c r="J90" s="168" t="s">
        <v>216</v>
      </c>
      <c r="K90" s="168" t="s">
        <v>2454</v>
      </c>
    </row>
    <row r="91" spans="1:11">
      <c r="A91" s="162" t="s">
        <v>122</v>
      </c>
      <c r="B91" s="163" t="s">
        <v>632</v>
      </c>
      <c r="C91" s="162" t="s">
        <v>21</v>
      </c>
      <c r="D91" s="164" t="s">
        <v>29</v>
      </c>
      <c r="E91" s="165" t="s">
        <v>74</v>
      </c>
      <c r="F91" s="165" t="s">
        <v>26</v>
      </c>
      <c r="G91" s="166" t="s">
        <v>167</v>
      </c>
      <c r="H91" s="168" t="s">
        <v>2452</v>
      </c>
      <c r="I91" s="167">
        <v>119000</v>
      </c>
      <c r="J91" s="168" t="s">
        <v>216</v>
      </c>
      <c r="K91" s="168" t="s">
        <v>2454</v>
      </c>
    </row>
    <row r="92" spans="1:11">
      <c r="A92" s="162" t="s">
        <v>123</v>
      </c>
      <c r="B92" s="163" t="s">
        <v>632</v>
      </c>
      <c r="C92" s="162" t="s">
        <v>21</v>
      </c>
      <c r="D92" s="164" t="s">
        <v>29</v>
      </c>
      <c r="E92" s="165" t="s">
        <v>74</v>
      </c>
      <c r="F92" s="165" t="s">
        <v>42</v>
      </c>
      <c r="G92" s="166" t="s">
        <v>167</v>
      </c>
      <c r="H92" s="168" t="s">
        <v>2452</v>
      </c>
      <c r="I92" s="167">
        <v>214200</v>
      </c>
      <c r="J92" s="168" t="s">
        <v>216</v>
      </c>
      <c r="K92" s="168" t="s">
        <v>2454</v>
      </c>
    </row>
    <row r="93" spans="1:11">
      <c r="A93" s="162" t="s">
        <v>124</v>
      </c>
      <c r="B93" s="163" t="s">
        <v>632</v>
      </c>
      <c r="C93" s="162" t="s">
        <v>21</v>
      </c>
      <c r="D93" s="164" t="s">
        <v>29</v>
      </c>
      <c r="E93" s="165" t="s">
        <v>72</v>
      </c>
      <c r="F93" s="165" t="s">
        <v>26</v>
      </c>
      <c r="G93" s="166" t="s">
        <v>167</v>
      </c>
      <c r="H93" s="168" t="s">
        <v>2452</v>
      </c>
      <c r="I93" s="167">
        <v>178500</v>
      </c>
      <c r="J93" s="168" t="s">
        <v>216</v>
      </c>
      <c r="K93" s="168" t="s">
        <v>2454</v>
      </c>
    </row>
    <row r="94" spans="1:11">
      <c r="A94" s="162" t="s">
        <v>125</v>
      </c>
      <c r="B94" s="163" t="s">
        <v>632</v>
      </c>
      <c r="C94" s="162" t="s">
        <v>21</v>
      </c>
      <c r="D94" s="164" t="s">
        <v>29</v>
      </c>
      <c r="E94" s="165" t="s">
        <v>72</v>
      </c>
      <c r="F94" s="165" t="s">
        <v>42</v>
      </c>
      <c r="G94" s="166" t="s">
        <v>167</v>
      </c>
      <c r="H94" s="168" t="s">
        <v>2452</v>
      </c>
      <c r="I94" s="167">
        <v>321300</v>
      </c>
      <c r="J94" s="168" t="s">
        <v>216</v>
      </c>
      <c r="K94" s="168" t="s">
        <v>2454</v>
      </c>
    </row>
    <row r="95" spans="1:11">
      <c r="A95" s="162" t="s">
        <v>126</v>
      </c>
      <c r="B95" s="163" t="s">
        <v>633</v>
      </c>
      <c r="C95" s="162" t="s">
        <v>21</v>
      </c>
      <c r="D95" s="164" t="s">
        <v>128</v>
      </c>
      <c r="E95" s="165" t="s">
        <v>70</v>
      </c>
      <c r="F95" s="165" t="s">
        <v>42</v>
      </c>
      <c r="G95" s="166" t="s">
        <v>167</v>
      </c>
      <c r="H95" s="168" t="s">
        <v>2452</v>
      </c>
      <c r="I95" s="167">
        <v>11900000</v>
      </c>
      <c r="J95" s="168" t="s">
        <v>216</v>
      </c>
      <c r="K95" s="168" t="s">
        <v>2455</v>
      </c>
    </row>
    <row r="96" spans="1:11">
      <c r="A96" s="162" t="s">
        <v>129</v>
      </c>
      <c r="B96" s="163" t="s">
        <v>633</v>
      </c>
      <c r="C96" s="162" t="s">
        <v>21</v>
      </c>
      <c r="D96" s="164" t="s">
        <v>128</v>
      </c>
      <c r="E96" s="165" t="s">
        <v>74</v>
      </c>
      <c r="F96" s="165" t="s">
        <v>42</v>
      </c>
      <c r="G96" s="166" t="s">
        <v>167</v>
      </c>
      <c r="H96" s="168" t="s">
        <v>2452</v>
      </c>
      <c r="I96" s="167">
        <v>14875000</v>
      </c>
      <c r="J96" s="168" t="s">
        <v>216</v>
      </c>
      <c r="K96" s="168" t="s">
        <v>2455</v>
      </c>
    </row>
    <row r="97" spans="1:11">
      <c r="A97" s="162" t="s">
        <v>130</v>
      </c>
      <c r="B97" s="163" t="s">
        <v>633</v>
      </c>
      <c r="C97" s="162" t="s">
        <v>21</v>
      </c>
      <c r="D97" s="164" t="s">
        <v>128</v>
      </c>
      <c r="E97" s="165" t="s">
        <v>72</v>
      </c>
      <c r="F97" s="165" t="s">
        <v>42</v>
      </c>
      <c r="G97" s="166" t="s">
        <v>167</v>
      </c>
      <c r="H97" s="168" t="s">
        <v>2452</v>
      </c>
      <c r="I97" s="167">
        <v>20081250</v>
      </c>
      <c r="J97" s="168" t="s">
        <v>216</v>
      </c>
      <c r="K97" s="168" t="s">
        <v>2455</v>
      </c>
    </row>
    <row r="98" spans="1:11">
      <c r="A98" s="162" t="s">
        <v>131</v>
      </c>
      <c r="B98" s="163" t="s">
        <v>634</v>
      </c>
      <c r="C98" s="162" t="s">
        <v>21</v>
      </c>
      <c r="D98" s="164" t="s">
        <v>133</v>
      </c>
      <c r="E98" s="165" t="s">
        <v>70</v>
      </c>
      <c r="F98" s="165" t="s">
        <v>26</v>
      </c>
      <c r="G98" s="166" t="s">
        <v>436</v>
      </c>
      <c r="H98" s="168" t="s">
        <v>2452</v>
      </c>
      <c r="I98" s="167">
        <v>18593750</v>
      </c>
      <c r="J98" s="168" t="s">
        <v>216</v>
      </c>
      <c r="K98" s="168" t="s">
        <v>2456</v>
      </c>
    </row>
    <row r="99" spans="1:11">
      <c r="A99" s="162" t="s">
        <v>134</v>
      </c>
      <c r="B99" s="163" t="s">
        <v>634</v>
      </c>
      <c r="C99" s="162" t="s">
        <v>21</v>
      </c>
      <c r="D99" s="164" t="s">
        <v>133</v>
      </c>
      <c r="E99" s="165" t="s">
        <v>70</v>
      </c>
      <c r="F99" s="165" t="s">
        <v>42</v>
      </c>
      <c r="G99" s="166" t="s">
        <v>436</v>
      </c>
      <c r="H99" s="168" t="s">
        <v>2452</v>
      </c>
      <c r="I99" s="167">
        <v>23242188</v>
      </c>
      <c r="J99" s="168" t="s">
        <v>216</v>
      </c>
      <c r="K99" s="168" t="s">
        <v>2456</v>
      </c>
    </row>
    <row r="100" spans="1:11">
      <c r="A100" s="162" t="s">
        <v>135</v>
      </c>
      <c r="B100" s="163" t="s">
        <v>634</v>
      </c>
      <c r="C100" s="162" t="s">
        <v>21</v>
      </c>
      <c r="D100" s="164" t="s">
        <v>133</v>
      </c>
      <c r="E100" s="165" t="s">
        <v>74</v>
      </c>
      <c r="F100" s="165" t="s">
        <v>26</v>
      </c>
      <c r="G100" s="166" t="s">
        <v>436</v>
      </c>
      <c r="H100" s="168" t="s">
        <v>2452</v>
      </c>
      <c r="I100" s="167">
        <v>25101563</v>
      </c>
      <c r="J100" s="168" t="s">
        <v>216</v>
      </c>
      <c r="K100" s="168" t="s">
        <v>2456</v>
      </c>
    </row>
    <row r="101" spans="1:11">
      <c r="A101" s="162" t="s">
        <v>136</v>
      </c>
      <c r="B101" s="163" t="s">
        <v>634</v>
      </c>
      <c r="C101" s="162" t="s">
        <v>21</v>
      </c>
      <c r="D101" s="164" t="s">
        <v>133</v>
      </c>
      <c r="E101" s="165" t="s">
        <v>74</v>
      </c>
      <c r="F101" s="165" t="s">
        <v>42</v>
      </c>
      <c r="G101" s="166" t="s">
        <v>436</v>
      </c>
      <c r="H101" s="168" t="s">
        <v>2452</v>
      </c>
      <c r="I101" s="167">
        <v>29052735</v>
      </c>
      <c r="J101" s="168" t="s">
        <v>216</v>
      </c>
      <c r="K101" s="168" t="s">
        <v>2456</v>
      </c>
    </row>
    <row r="102" spans="1:11">
      <c r="A102" s="162" t="s">
        <v>137</v>
      </c>
      <c r="B102" s="163" t="s">
        <v>634</v>
      </c>
      <c r="C102" s="162" t="s">
        <v>21</v>
      </c>
      <c r="D102" s="164" t="s">
        <v>133</v>
      </c>
      <c r="E102" s="165" t="s">
        <v>72</v>
      </c>
      <c r="F102" s="165" t="s">
        <v>26</v>
      </c>
      <c r="G102" s="166" t="s">
        <v>436</v>
      </c>
      <c r="H102" s="168" t="s">
        <v>2452</v>
      </c>
      <c r="I102" s="167">
        <v>33887110</v>
      </c>
      <c r="J102" s="168" t="s">
        <v>216</v>
      </c>
      <c r="K102" s="168" t="s">
        <v>2456</v>
      </c>
    </row>
    <row r="103" spans="1:11">
      <c r="A103" s="162" t="s">
        <v>138</v>
      </c>
      <c r="B103" s="163" t="s">
        <v>634</v>
      </c>
      <c r="C103" s="162" t="s">
        <v>21</v>
      </c>
      <c r="D103" s="164" t="s">
        <v>133</v>
      </c>
      <c r="E103" s="165" t="s">
        <v>72</v>
      </c>
      <c r="F103" s="165" t="s">
        <v>42</v>
      </c>
      <c r="G103" s="166" t="s">
        <v>436</v>
      </c>
      <c r="H103" s="168" t="s">
        <v>2452</v>
      </c>
      <c r="I103" s="167">
        <v>36315918</v>
      </c>
      <c r="J103" s="168" t="s">
        <v>216</v>
      </c>
      <c r="K103" s="168" t="s">
        <v>2456</v>
      </c>
    </row>
    <row r="104" spans="1:11">
      <c r="A104" s="162" t="s">
        <v>139</v>
      </c>
      <c r="B104" s="163" t="s">
        <v>635</v>
      </c>
      <c r="C104" s="162" t="s">
        <v>21</v>
      </c>
      <c r="D104" s="164" t="s">
        <v>141</v>
      </c>
      <c r="E104" s="165" t="s">
        <v>70</v>
      </c>
      <c r="F104" s="165" t="s">
        <v>26</v>
      </c>
      <c r="G104" s="166" t="s">
        <v>167</v>
      </c>
      <c r="H104" s="168" t="s">
        <v>2452</v>
      </c>
      <c r="I104" s="167">
        <v>1208594</v>
      </c>
      <c r="J104" s="168" t="s">
        <v>216</v>
      </c>
      <c r="K104" s="168" t="s">
        <v>2457</v>
      </c>
    </row>
    <row r="105" spans="1:11">
      <c r="A105" s="162" t="s">
        <v>142</v>
      </c>
      <c r="B105" s="163" t="s">
        <v>635</v>
      </c>
      <c r="C105" s="162" t="s">
        <v>21</v>
      </c>
      <c r="D105" s="164" t="s">
        <v>141</v>
      </c>
      <c r="E105" s="165" t="s">
        <v>70</v>
      </c>
      <c r="F105" s="165" t="s">
        <v>42</v>
      </c>
      <c r="G105" s="166" t="s">
        <v>167</v>
      </c>
      <c r="H105" s="168" t="s">
        <v>2452</v>
      </c>
      <c r="I105" s="167">
        <v>1812891</v>
      </c>
      <c r="J105" s="168" t="s">
        <v>216</v>
      </c>
      <c r="K105" s="168" t="s">
        <v>2457</v>
      </c>
    </row>
    <row r="106" spans="1:11">
      <c r="A106" s="162" t="s">
        <v>143</v>
      </c>
      <c r="B106" s="163" t="s">
        <v>635</v>
      </c>
      <c r="C106" s="162" t="s">
        <v>21</v>
      </c>
      <c r="D106" s="164" t="s">
        <v>141</v>
      </c>
      <c r="E106" s="165" t="s">
        <v>74</v>
      </c>
      <c r="F106" s="165" t="s">
        <v>26</v>
      </c>
      <c r="G106" s="166" t="s">
        <v>167</v>
      </c>
      <c r="H106" s="168" t="s">
        <v>2452</v>
      </c>
      <c r="I106" s="167">
        <v>1510742</v>
      </c>
      <c r="J106" s="168" t="s">
        <v>216</v>
      </c>
      <c r="K106" s="168" t="s">
        <v>2457</v>
      </c>
    </row>
    <row r="107" spans="1:11">
      <c r="A107" s="162" t="s">
        <v>144</v>
      </c>
      <c r="B107" s="163" t="s">
        <v>635</v>
      </c>
      <c r="C107" s="162" t="s">
        <v>21</v>
      </c>
      <c r="D107" s="164" t="s">
        <v>141</v>
      </c>
      <c r="E107" s="165" t="s">
        <v>74</v>
      </c>
      <c r="F107" s="165" t="s">
        <v>42</v>
      </c>
      <c r="G107" s="166" t="s">
        <v>167</v>
      </c>
      <c r="H107" s="168" t="s">
        <v>2452</v>
      </c>
      <c r="I107" s="167">
        <v>2719336</v>
      </c>
      <c r="J107" s="168" t="s">
        <v>216</v>
      </c>
      <c r="K107" s="168" t="s">
        <v>2457</v>
      </c>
    </row>
    <row r="108" spans="1:11">
      <c r="A108" s="162" t="s">
        <v>145</v>
      </c>
      <c r="B108" s="163" t="s">
        <v>635</v>
      </c>
      <c r="C108" s="162" t="s">
        <v>21</v>
      </c>
      <c r="D108" s="164" t="s">
        <v>141</v>
      </c>
      <c r="E108" s="165" t="s">
        <v>72</v>
      </c>
      <c r="F108" s="165" t="s">
        <v>26</v>
      </c>
      <c r="G108" s="166" t="s">
        <v>167</v>
      </c>
      <c r="H108" s="168" t="s">
        <v>2452</v>
      </c>
      <c r="I108" s="167">
        <v>1812891</v>
      </c>
      <c r="J108" s="168" t="s">
        <v>216</v>
      </c>
      <c r="K108" s="168" t="s">
        <v>2457</v>
      </c>
    </row>
    <row r="109" spans="1:11">
      <c r="A109" s="162" t="s">
        <v>146</v>
      </c>
      <c r="B109" s="163" t="s">
        <v>635</v>
      </c>
      <c r="C109" s="162" t="s">
        <v>21</v>
      </c>
      <c r="D109" s="164" t="s">
        <v>141</v>
      </c>
      <c r="E109" s="165" t="s">
        <v>72</v>
      </c>
      <c r="F109" s="165" t="s">
        <v>42</v>
      </c>
      <c r="G109" s="166" t="s">
        <v>167</v>
      </c>
      <c r="H109" s="168" t="s">
        <v>2452</v>
      </c>
      <c r="I109" s="167">
        <v>4079003</v>
      </c>
      <c r="J109" s="168" t="s">
        <v>216</v>
      </c>
      <c r="K109" s="168" t="s">
        <v>2457</v>
      </c>
    </row>
    <row r="110" spans="1:11">
      <c r="A110" s="162" t="s">
        <v>147</v>
      </c>
      <c r="B110" s="163" t="s">
        <v>636</v>
      </c>
      <c r="C110" s="162" t="s">
        <v>21</v>
      </c>
      <c r="D110" s="164" t="s">
        <v>128</v>
      </c>
      <c r="E110" s="165" t="s">
        <v>70</v>
      </c>
      <c r="F110" s="165" t="s">
        <v>42</v>
      </c>
      <c r="G110" s="166" t="s">
        <v>436</v>
      </c>
      <c r="H110" s="168" t="s">
        <v>2452</v>
      </c>
      <c r="I110" s="167">
        <v>6426000</v>
      </c>
      <c r="J110" s="168" t="s">
        <v>216</v>
      </c>
      <c r="K110" s="168" t="s">
        <v>2460</v>
      </c>
    </row>
    <row r="111" spans="1:11">
      <c r="A111" s="162" t="s">
        <v>149</v>
      </c>
      <c r="B111" s="163" t="s">
        <v>636</v>
      </c>
      <c r="C111" s="162" t="s">
        <v>21</v>
      </c>
      <c r="D111" s="164" t="s">
        <v>128</v>
      </c>
      <c r="E111" s="165" t="s">
        <v>74</v>
      </c>
      <c r="F111" s="165" t="s">
        <v>42</v>
      </c>
      <c r="G111" s="166" t="s">
        <v>436</v>
      </c>
      <c r="H111" s="168" t="s">
        <v>2452</v>
      </c>
      <c r="I111" s="167">
        <v>9639000</v>
      </c>
      <c r="J111" s="168" t="s">
        <v>216</v>
      </c>
      <c r="K111" s="168" t="s">
        <v>2460</v>
      </c>
    </row>
    <row r="112" spans="1:11">
      <c r="A112" s="162" t="s">
        <v>150</v>
      </c>
      <c r="B112" s="163" t="s">
        <v>636</v>
      </c>
      <c r="C112" s="162" t="s">
        <v>21</v>
      </c>
      <c r="D112" s="164" t="s">
        <v>128</v>
      </c>
      <c r="E112" s="165" t="s">
        <v>72</v>
      </c>
      <c r="F112" s="165" t="s">
        <v>42</v>
      </c>
      <c r="G112" s="166" t="s">
        <v>436</v>
      </c>
      <c r="H112" s="168" t="s">
        <v>2452</v>
      </c>
      <c r="I112" s="167">
        <v>14458500</v>
      </c>
      <c r="J112" s="168" t="s">
        <v>216</v>
      </c>
      <c r="K112" s="168" t="s">
        <v>2460</v>
      </c>
    </row>
    <row r="113" spans="1:11">
      <c r="A113" s="162" t="s">
        <v>151</v>
      </c>
      <c r="B113" s="163" t="s">
        <v>637</v>
      </c>
      <c r="C113" s="162" t="s">
        <v>21</v>
      </c>
      <c r="D113" s="164" t="s">
        <v>29</v>
      </c>
      <c r="E113" s="165" t="s">
        <v>74</v>
      </c>
      <c r="F113" s="165" t="s">
        <v>26</v>
      </c>
      <c r="G113" s="166" t="s">
        <v>436</v>
      </c>
      <c r="H113" s="168" t="s">
        <v>2452</v>
      </c>
      <c r="I113" s="167">
        <v>148750</v>
      </c>
      <c r="J113" s="168" t="s">
        <v>216</v>
      </c>
      <c r="K113" s="168" t="s">
        <v>2460</v>
      </c>
    </row>
    <row r="114" spans="1:11">
      <c r="A114" s="162" t="s">
        <v>153</v>
      </c>
      <c r="B114" s="163" t="s">
        <v>637</v>
      </c>
      <c r="C114" s="162" t="s">
        <v>21</v>
      </c>
      <c r="D114" s="164" t="s">
        <v>29</v>
      </c>
      <c r="E114" s="165" t="s">
        <v>74</v>
      </c>
      <c r="F114" s="165" t="s">
        <v>42</v>
      </c>
      <c r="G114" s="166" t="s">
        <v>436</v>
      </c>
      <c r="H114" s="168" t="s">
        <v>2452</v>
      </c>
      <c r="I114" s="167">
        <v>267750</v>
      </c>
      <c r="J114" s="168" t="s">
        <v>216</v>
      </c>
      <c r="K114" s="168" t="s">
        <v>2460</v>
      </c>
    </row>
    <row r="115" spans="1:11">
      <c r="A115" s="162" t="s">
        <v>154</v>
      </c>
      <c r="B115" s="163" t="s">
        <v>637</v>
      </c>
      <c r="C115" s="162" t="s">
        <v>21</v>
      </c>
      <c r="D115" s="164" t="s">
        <v>29</v>
      </c>
      <c r="E115" s="165" t="s">
        <v>70</v>
      </c>
      <c r="F115" s="165" t="s">
        <v>26</v>
      </c>
      <c r="G115" s="166" t="s">
        <v>436</v>
      </c>
      <c r="H115" s="168" t="s">
        <v>2452</v>
      </c>
      <c r="I115" s="167">
        <v>119000</v>
      </c>
      <c r="J115" s="168" t="s">
        <v>216</v>
      </c>
      <c r="K115" s="168" t="s">
        <v>2460</v>
      </c>
    </row>
    <row r="116" spans="1:11">
      <c r="A116" s="162" t="s">
        <v>155</v>
      </c>
      <c r="B116" s="163" t="s">
        <v>637</v>
      </c>
      <c r="C116" s="162" t="s">
        <v>21</v>
      </c>
      <c r="D116" s="164" t="s">
        <v>29</v>
      </c>
      <c r="E116" s="165" t="s">
        <v>72</v>
      </c>
      <c r="F116" s="165" t="s">
        <v>26</v>
      </c>
      <c r="G116" s="166" t="s">
        <v>436</v>
      </c>
      <c r="H116" s="168" t="s">
        <v>2452</v>
      </c>
      <c r="I116" s="167">
        <v>185938</v>
      </c>
      <c r="J116" s="168" t="s">
        <v>216</v>
      </c>
      <c r="K116" s="168" t="s">
        <v>2460</v>
      </c>
    </row>
    <row r="117" spans="1:11">
      <c r="A117" s="162" t="s">
        <v>156</v>
      </c>
      <c r="B117" s="163" t="s">
        <v>637</v>
      </c>
      <c r="C117" s="162" t="s">
        <v>21</v>
      </c>
      <c r="D117" s="164" t="s">
        <v>29</v>
      </c>
      <c r="E117" s="165" t="s">
        <v>72</v>
      </c>
      <c r="F117" s="165" t="s">
        <v>42</v>
      </c>
      <c r="G117" s="166" t="s">
        <v>436</v>
      </c>
      <c r="H117" s="168" t="s">
        <v>2452</v>
      </c>
      <c r="I117" s="167">
        <v>401625</v>
      </c>
      <c r="J117" s="168" t="s">
        <v>216</v>
      </c>
      <c r="K117" s="168" t="s">
        <v>2460</v>
      </c>
    </row>
    <row r="118" spans="1:11">
      <c r="A118" s="162" t="s">
        <v>157</v>
      </c>
      <c r="B118" s="163" t="s">
        <v>637</v>
      </c>
      <c r="C118" s="162" t="s">
        <v>21</v>
      </c>
      <c r="D118" s="164" t="s">
        <v>29</v>
      </c>
      <c r="E118" s="165" t="s">
        <v>70</v>
      </c>
      <c r="F118" s="165" t="s">
        <v>42</v>
      </c>
      <c r="G118" s="166" t="s">
        <v>436</v>
      </c>
      <c r="H118" s="168" t="s">
        <v>2452</v>
      </c>
      <c r="I118" s="167">
        <v>178500</v>
      </c>
      <c r="J118" s="168" t="s">
        <v>216</v>
      </c>
      <c r="K118" s="168" t="s">
        <v>2460</v>
      </c>
    </row>
    <row r="119" spans="1:11">
      <c r="A119" s="162" t="s">
        <v>158</v>
      </c>
      <c r="B119" s="163" t="s">
        <v>638</v>
      </c>
      <c r="C119" s="162" t="s">
        <v>21</v>
      </c>
      <c r="D119" s="164" t="s">
        <v>29</v>
      </c>
      <c r="E119" s="165" t="s">
        <v>70</v>
      </c>
      <c r="F119" s="165" t="s">
        <v>42</v>
      </c>
      <c r="G119" s="166" t="s">
        <v>436</v>
      </c>
      <c r="H119" s="168" t="s">
        <v>2452</v>
      </c>
      <c r="I119" s="167">
        <v>357000</v>
      </c>
      <c r="J119" s="168" t="s">
        <v>216</v>
      </c>
      <c r="K119" s="168" t="s">
        <v>2460</v>
      </c>
    </row>
    <row r="120" spans="1:11">
      <c r="A120" s="162" t="s">
        <v>160</v>
      </c>
      <c r="B120" s="163" t="s">
        <v>638</v>
      </c>
      <c r="C120" s="162" t="s">
        <v>21</v>
      </c>
      <c r="D120" s="164" t="s">
        <v>29</v>
      </c>
      <c r="E120" s="165" t="s">
        <v>74</v>
      </c>
      <c r="F120" s="165" t="s">
        <v>26</v>
      </c>
      <c r="G120" s="166" t="s">
        <v>436</v>
      </c>
      <c r="H120" s="168" t="s">
        <v>2452</v>
      </c>
      <c r="I120" s="167">
        <v>297500</v>
      </c>
      <c r="J120" s="168" t="s">
        <v>216</v>
      </c>
      <c r="K120" s="168" t="s">
        <v>2460</v>
      </c>
    </row>
    <row r="121" spans="1:11">
      <c r="A121" s="162" t="s">
        <v>161</v>
      </c>
      <c r="B121" s="163" t="s">
        <v>638</v>
      </c>
      <c r="C121" s="162" t="s">
        <v>21</v>
      </c>
      <c r="D121" s="164" t="s">
        <v>29</v>
      </c>
      <c r="E121" s="165" t="s">
        <v>74</v>
      </c>
      <c r="F121" s="165" t="s">
        <v>42</v>
      </c>
      <c r="G121" s="166" t="s">
        <v>436</v>
      </c>
      <c r="H121" s="168" t="s">
        <v>2452</v>
      </c>
      <c r="I121" s="167">
        <v>535500</v>
      </c>
      <c r="J121" s="168" t="s">
        <v>216</v>
      </c>
      <c r="K121" s="168" t="s">
        <v>2460</v>
      </c>
    </row>
    <row r="122" spans="1:11">
      <c r="A122" s="162" t="s">
        <v>162</v>
      </c>
      <c r="B122" s="163" t="s">
        <v>638</v>
      </c>
      <c r="C122" s="162" t="s">
        <v>21</v>
      </c>
      <c r="D122" s="164" t="s">
        <v>29</v>
      </c>
      <c r="E122" s="165" t="s">
        <v>72</v>
      </c>
      <c r="F122" s="165" t="s">
        <v>26</v>
      </c>
      <c r="G122" s="166" t="s">
        <v>436</v>
      </c>
      <c r="H122" s="168" t="s">
        <v>2452</v>
      </c>
      <c r="I122" s="167">
        <v>371875</v>
      </c>
      <c r="J122" s="168" t="s">
        <v>216</v>
      </c>
      <c r="K122" s="168" t="s">
        <v>2460</v>
      </c>
    </row>
    <row r="123" spans="1:11">
      <c r="A123" s="170" t="s">
        <v>163</v>
      </c>
      <c r="B123" s="171" t="s">
        <v>638</v>
      </c>
      <c r="C123" s="170" t="s">
        <v>21</v>
      </c>
      <c r="D123" s="172" t="s">
        <v>29</v>
      </c>
      <c r="E123" s="173" t="s">
        <v>72</v>
      </c>
      <c r="F123" s="173" t="s">
        <v>42</v>
      </c>
      <c r="G123" s="174" t="s">
        <v>436</v>
      </c>
      <c r="H123" s="175" t="s">
        <v>2452</v>
      </c>
      <c r="I123" s="176">
        <v>803250</v>
      </c>
      <c r="J123" s="168" t="s">
        <v>216</v>
      </c>
      <c r="K123" s="168" t="s">
        <v>2460</v>
      </c>
    </row>
    <row r="124" spans="1:11">
      <c r="A124" s="165" t="s">
        <v>164</v>
      </c>
      <c r="B124" s="177" t="s">
        <v>638</v>
      </c>
      <c r="C124" s="165" t="s">
        <v>21</v>
      </c>
      <c r="D124" s="177" t="s">
        <v>29</v>
      </c>
      <c r="E124" s="165" t="s">
        <v>70</v>
      </c>
      <c r="F124" s="165" t="s">
        <v>26</v>
      </c>
      <c r="G124" s="165" t="s">
        <v>436</v>
      </c>
      <c r="H124" s="178" t="s">
        <v>2452</v>
      </c>
      <c r="I124" s="179">
        <v>238000</v>
      </c>
      <c r="J124" s="168" t="s">
        <v>216</v>
      </c>
      <c r="K124" s="168" t="s">
        <v>2460</v>
      </c>
    </row>
  </sheetData>
  <mergeCells count="2">
    <mergeCell ref="A1:K1"/>
    <mergeCell ref="A63:K63"/>
  </mergeCells>
  <conditionalFormatting sqref="B2 D2 F2 H2 J2">
    <cfRule type="duplicateValues" dxfId="50" priority="4"/>
    <cfRule type="duplicateValues" dxfId="49" priority="5"/>
    <cfRule type="duplicateValues" dxfId="48" priority="6"/>
  </conditionalFormatting>
  <conditionalFormatting sqref="B64 D64 F64 H64 J64">
    <cfRule type="duplicateValues" dxfId="47" priority="1"/>
    <cfRule type="duplicateValues" dxfId="46" priority="2"/>
    <cfRule type="duplicateValues" dxfId="45" priority="3"/>
  </conditionalFormatting>
  <pageMargins left="0.25" right="0.25" top="0.75" bottom="0.75" header="0.3" footer="0.3"/>
  <pageSetup scale="51" fitToHeight="0"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2"/>
  <sheetViews>
    <sheetView workbookViewId="0"/>
  </sheetViews>
  <sheetFormatPr baseColWidth="10" defaultColWidth="11.54296875" defaultRowHeight="14.5"/>
  <cols>
    <col min="1" max="1" width="13.08984375" style="8" bestFit="1" customWidth="1"/>
    <col min="2" max="2" width="46.453125" style="97" customWidth="1"/>
    <col min="3" max="3" width="36.26953125" style="8" customWidth="1"/>
    <col min="4" max="4" width="50.36328125" style="8" customWidth="1"/>
    <col min="5" max="5" width="17" style="8" bestFit="1" customWidth="1"/>
    <col min="6" max="6" width="8" style="8" bestFit="1" customWidth="1"/>
    <col min="7" max="7" width="6.6328125" style="8" bestFit="1" customWidth="1"/>
    <col min="8" max="8" width="13" style="8" bestFit="1" customWidth="1"/>
    <col min="9" max="9" width="7.453125" style="8" bestFit="1" customWidth="1"/>
    <col min="10" max="10" width="14.08984375" style="8" bestFit="1" customWidth="1"/>
    <col min="11" max="11" width="21.90625" style="8" customWidth="1"/>
    <col min="12" max="12" width="8.90625" style="8" bestFit="1" customWidth="1"/>
    <col min="13" max="13" width="10.6328125" style="8" bestFit="1" customWidth="1"/>
    <col min="14" max="16384" width="11.54296875" style="8"/>
  </cols>
  <sheetData>
    <row r="1" spans="1:13" ht="37">
      <c r="A1" s="82" t="s">
        <v>1445</v>
      </c>
      <c r="B1" s="82" t="s">
        <v>1430</v>
      </c>
      <c r="C1" s="82" t="s">
        <v>1446</v>
      </c>
      <c r="D1" s="82" t="s">
        <v>4</v>
      </c>
      <c r="E1" s="82" t="s">
        <v>5</v>
      </c>
      <c r="F1" s="82" t="s">
        <v>6</v>
      </c>
      <c r="G1" s="82" t="s">
        <v>7</v>
      </c>
      <c r="H1" s="82" t="s">
        <v>8</v>
      </c>
      <c r="I1" s="82" t="s">
        <v>9</v>
      </c>
      <c r="J1" s="82" t="s">
        <v>1434</v>
      </c>
      <c r="K1" s="82" t="s">
        <v>1432</v>
      </c>
      <c r="L1" s="82" t="s">
        <v>1433</v>
      </c>
      <c r="M1" s="82" t="s">
        <v>3</v>
      </c>
    </row>
    <row r="2" spans="1:13">
      <c r="A2" s="251" t="s">
        <v>2465</v>
      </c>
      <c r="B2" s="251" t="s">
        <v>2466</v>
      </c>
      <c r="C2" s="251" t="s">
        <v>2467</v>
      </c>
      <c r="D2" s="252" t="s">
        <v>2468</v>
      </c>
      <c r="E2" s="252" t="s">
        <v>2469</v>
      </c>
      <c r="F2" s="252" t="s">
        <v>168</v>
      </c>
      <c r="G2" s="253" t="s">
        <v>70</v>
      </c>
      <c r="H2" s="253" t="s">
        <v>26</v>
      </c>
      <c r="I2" s="253" t="s">
        <v>15</v>
      </c>
      <c r="J2" s="254" t="s">
        <v>516</v>
      </c>
      <c r="K2" s="255">
        <v>800000000</v>
      </c>
      <c r="L2" s="256" t="s">
        <v>2057</v>
      </c>
      <c r="M2" s="256" t="s">
        <v>14</v>
      </c>
    </row>
    <row r="3" spans="1:13">
      <c r="A3" s="251" t="s">
        <v>2465</v>
      </c>
      <c r="B3" s="251" t="s">
        <v>2470</v>
      </c>
      <c r="C3" s="251" t="s">
        <v>2467</v>
      </c>
      <c r="D3" s="252" t="s">
        <v>2468</v>
      </c>
      <c r="E3" s="252" t="s">
        <v>2469</v>
      </c>
      <c r="F3" s="252" t="s">
        <v>168</v>
      </c>
      <c r="G3" s="253" t="s">
        <v>70</v>
      </c>
      <c r="H3" s="253" t="s">
        <v>42</v>
      </c>
      <c r="I3" s="253" t="s">
        <v>15</v>
      </c>
      <c r="J3" s="254" t="s">
        <v>516</v>
      </c>
      <c r="K3" s="255">
        <v>800000000</v>
      </c>
      <c r="L3" s="256" t="s">
        <v>2057</v>
      </c>
      <c r="M3" s="256" t="s">
        <v>14</v>
      </c>
    </row>
    <row r="4" spans="1:13">
      <c r="A4" s="251" t="s">
        <v>2465</v>
      </c>
      <c r="B4" s="251" t="s">
        <v>2471</v>
      </c>
      <c r="C4" s="251" t="s">
        <v>2467</v>
      </c>
      <c r="D4" s="252" t="s">
        <v>2468</v>
      </c>
      <c r="E4" s="252" t="s">
        <v>2469</v>
      </c>
      <c r="F4" s="252" t="s">
        <v>168</v>
      </c>
      <c r="G4" s="253" t="s">
        <v>74</v>
      </c>
      <c r="H4" s="253" t="s">
        <v>26</v>
      </c>
      <c r="I4" s="253" t="s">
        <v>15</v>
      </c>
      <c r="J4" s="254" t="s">
        <v>516</v>
      </c>
      <c r="K4" s="255">
        <v>800000000</v>
      </c>
      <c r="L4" s="256" t="s">
        <v>2057</v>
      </c>
      <c r="M4" s="256" t="s">
        <v>14</v>
      </c>
    </row>
    <row r="5" spans="1:13">
      <c r="A5" s="251" t="s">
        <v>2465</v>
      </c>
      <c r="B5" s="251" t="s">
        <v>2472</v>
      </c>
      <c r="C5" s="251" t="s">
        <v>2467</v>
      </c>
      <c r="D5" s="252" t="s">
        <v>2468</v>
      </c>
      <c r="E5" s="252" t="s">
        <v>2469</v>
      </c>
      <c r="F5" s="252" t="s">
        <v>168</v>
      </c>
      <c r="G5" s="253" t="s">
        <v>74</v>
      </c>
      <c r="H5" s="253" t="s">
        <v>42</v>
      </c>
      <c r="I5" s="253" t="s">
        <v>15</v>
      </c>
      <c r="J5" s="254" t="s">
        <v>516</v>
      </c>
      <c r="K5" s="255">
        <v>800000000</v>
      </c>
      <c r="L5" s="256" t="s">
        <v>2057</v>
      </c>
      <c r="M5" s="256" t="s">
        <v>14</v>
      </c>
    </row>
    <row r="6" spans="1:13">
      <c r="A6" s="251" t="s">
        <v>2465</v>
      </c>
      <c r="B6" s="251" t="s">
        <v>2473</v>
      </c>
      <c r="C6" s="251" t="s">
        <v>2467</v>
      </c>
      <c r="D6" s="252" t="s">
        <v>2468</v>
      </c>
      <c r="E6" s="252" t="s">
        <v>2469</v>
      </c>
      <c r="F6" s="252" t="s">
        <v>168</v>
      </c>
      <c r="G6" s="253" t="s">
        <v>72</v>
      </c>
      <c r="H6" s="253" t="s">
        <v>26</v>
      </c>
      <c r="I6" s="253" t="s">
        <v>15</v>
      </c>
      <c r="J6" s="254" t="s">
        <v>516</v>
      </c>
      <c r="K6" s="255">
        <v>800000000</v>
      </c>
      <c r="L6" s="256" t="s">
        <v>2057</v>
      </c>
      <c r="M6" s="256" t="s">
        <v>14</v>
      </c>
    </row>
    <row r="7" spans="1:13">
      <c r="A7" s="251" t="s">
        <v>2465</v>
      </c>
      <c r="B7" s="251" t="s">
        <v>2474</v>
      </c>
      <c r="C7" s="251" t="s">
        <v>2467</v>
      </c>
      <c r="D7" s="252" t="s">
        <v>2468</v>
      </c>
      <c r="E7" s="252" t="s">
        <v>2469</v>
      </c>
      <c r="F7" s="252" t="s">
        <v>168</v>
      </c>
      <c r="G7" s="253" t="s">
        <v>72</v>
      </c>
      <c r="H7" s="253" t="s">
        <v>42</v>
      </c>
      <c r="I7" s="253" t="s">
        <v>15</v>
      </c>
      <c r="J7" s="254" t="s">
        <v>516</v>
      </c>
      <c r="K7" s="255">
        <v>800000000</v>
      </c>
      <c r="L7" s="256" t="s">
        <v>2057</v>
      </c>
      <c r="M7" s="256" t="s">
        <v>14</v>
      </c>
    </row>
    <row r="8" spans="1:13">
      <c r="A8" s="251" t="s">
        <v>2465</v>
      </c>
      <c r="B8" s="251" t="s">
        <v>2475</v>
      </c>
      <c r="C8" s="251" t="s">
        <v>2467</v>
      </c>
      <c r="D8" s="252" t="s">
        <v>2476</v>
      </c>
      <c r="E8" s="252" t="s">
        <v>2469</v>
      </c>
      <c r="F8" s="252" t="s">
        <v>168</v>
      </c>
      <c r="G8" s="253" t="s">
        <v>70</v>
      </c>
      <c r="H8" s="253" t="s">
        <v>26</v>
      </c>
      <c r="I8" s="253" t="s">
        <v>15</v>
      </c>
      <c r="J8" s="254" t="s">
        <v>516</v>
      </c>
      <c r="K8" s="255">
        <v>1675000000</v>
      </c>
      <c r="L8" s="256" t="s">
        <v>2057</v>
      </c>
      <c r="M8" s="256" t="s">
        <v>14</v>
      </c>
    </row>
    <row r="9" spans="1:13">
      <c r="A9" s="251" t="s">
        <v>2465</v>
      </c>
      <c r="B9" s="251" t="s">
        <v>2477</v>
      </c>
      <c r="C9" s="251" t="s">
        <v>2467</v>
      </c>
      <c r="D9" s="252" t="s">
        <v>2476</v>
      </c>
      <c r="E9" s="252" t="s">
        <v>2469</v>
      </c>
      <c r="F9" s="252" t="s">
        <v>168</v>
      </c>
      <c r="G9" s="253" t="s">
        <v>70</v>
      </c>
      <c r="H9" s="253" t="s">
        <v>42</v>
      </c>
      <c r="I9" s="253" t="s">
        <v>15</v>
      </c>
      <c r="J9" s="254" t="s">
        <v>516</v>
      </c>
      <c r="K9" s="255">
        <v>1675000000</v>
      </c>
      <c r="L9" s="256" t="s">
        <v>2057</v>
      </c>
      <c r="M9" s="256" t="s">
        <v>14</v>
      </c>
    </row>
    <row r="10" spans="1:13">
      <c r="A10" s="251" t="s">
        <v>2465</v>
      </c>
      <c r="B10" s="251" t="s">
        <v>2478</v>
      </c>
      <c r="C10" s="251" t="s">
        <v>2467</v>
      </c>
      <c r="D10" s="252" t="s">
        <v>2476</v>
      </c>
      <c r="E10" s="252" t="s">
        <v>2469</v>
      </c>
      <c r="F10" s="252" t="s">
        <v>168</v>
      </c>
      <c r="G10" s="253" t="s">
        <v>74</v>
      </c>
      <c r="H10" s="253" t="s">
        <v>26</v>
      </c>
      <c r="I10" s="253" t="s">
        <v>15</v>
      </c>
      <c r="J10" s="254" t="s">
        <v>516</v>
      </c>
      <c r="K10" s="255">
        <v>1675000000</v>
      </c>
      <c r="L10" s="256" t="s">
        <v>2057</v>
      </c>
      <c r="M10" s="256" t="s">
        <v>14</v>
      </c>
    </row>
    <row r="11" spans="1:13">
      <c r="A11" s="251" t="s">
        <v>2465</v>
      </c>
      <c r="B11" s="251" t="s">
        <v>2479</v>
      </c>
      <c r="C11" s="251" t="s">
        <v>2467</v>
      </c>
      <c r="D11" s="252" t="s">
        <v>2476</v>
      </c>
      <c r="E11" s="252" t="s">
        <v>2469</v>
      </c>
      <c r="F11" s="252" t="s">
        <v>168</v>
      </c>
      <c r="G11" s="253" t="s">
        <v>74</v>
      </c>
      <c r="H11" s="253" t="s">
        <v>42</v>
      </c>
      <c r="I11" s="253" t="s">
        <v>15</v>
      </c>
      <c r="J11" s="254" t="s">
        <v>516</v>
      </c>
      <c r="K11" s="255">
        <v>1675000000</v>
      </c>
      <c r="L11" s="256" t="s">
        <v>2057</v>
      </c>
      <c r="M11" s="256" t="s">
        <v>14</v>
      </c>
    </row>
    <row r="12" spans="1:13">
      <c r="A12" s="251" t="s">
        <v>2465</v>
      </c>
      <c r="B12" s="251" t="s">
        <v>2480</v>
      </c>
      <c r="C12" s="251" t="s">
        <v>2467</v>
      </c>
      <c r="D12" s="252" t="s">
        <v>2476</v>
      </c>
      <c r="E12" s="252" t="s">
        <v>2469</v>
      </c>
      <c r="F12" s="252" t="s">
        <v>168</v>
      </c>
      <c r="G12" s="253" t="s">
        <v>72</v>
      </c>
      <c r="H12" s="253" t="s">
        <v>26</v>
      </c>
      <c r="I12" s="253" t="s">
        <v>15</v>
      </c>
      <c r="J12" s="254" t="s">
        <v>516</v>
      </c>
      <c r="K12" s="255">
        <v>1675000000</v>
      </c>
      <c r="L12" s="256" t="s">
        <v>2057</v>
      </c>
      <c r="M12" s="256" t="s">
        <v>14</v>
      </c>
    </row>
    <row r="13" spans="1:13">
      <c r="A13" s="251" t="s">
        <v>2465</v>
      </c>
      <c r="B13" s="251" t="s">
        <v>2481</v>
      </c>
      <c r="C13" s="251" t="s">
        <v>2467</v>
      </c>
      <c r="D13" s="252" t="s">
        <v>2476</v>
      </c>
      <c r="E13" s="252" t="s">
        <v>2469</v>
      </c>
      <c r="F13" s="252" t="s">
        <v>168</v>
      </c>
      <c r="G13" s="253" t="s">
        <v>72</v>
      </c>
      <c r="H13" s="253" t="s">
        <v>42</v>
      </c>
      <c r="I13" s="253" t="s">
        <v>15</v>
      </c>
      <c r="J13" s="254" t="s">
        <v>516</v>
      </c>
      <c r="K13" s="255">
        <v>1675000000</v>
      </c>
      <c r="L13" s="256" t="s">
        <v>2057</v>
      </c>
      <c r="M13" s="256" t="s">
        <v>14</v>
      </c>
    </row>
    <row r="14" spans="1:13">
      <c r="A14" s="251" t="s">
        <v>2465</v>
      </c>
      <c r="B14" s="251" t="s">
        <v>2482</v>
      </c>
      <c r="C14" s="251" t="s">
        <v>2467</v>
      </c>
      <c r="D14" s="252" t="s">
        <v>2483</v>
      </c>
      <c r="E14" s="252" t="s">
        <v>2469</v>
      </c>
      <c r="F14" s="252" t="s">
        <v>168</v>
      </c>
      <c r="G14" s="253" t="s">
        <v>70</v>
      </c>
      <c r="H14" s="253" t="s">
        <v>26</v>
      </c>
      <c r="I14" s="253" t="s">
        <v>15</v>
      </c>
      <c r="J14" s="254" t="s">
        <v>516</v>
      </c>
      <c r="K14" s="255">
        <v>1950000000</v>
      </c>
      <c r="L14" s="256" t="s">
        <v>2057</v>
      </c>
      <c r="M14" s="256" t="s">
        <v>14</v>
      </c>
    </row>
    <row r="15" spans="1:13">
      <c r="A15" s="251" t="s">
        <v>2465</v>
      </c>
      <c r="B15" s="251" t="s">
        <v>2484</v>
      </c>
      <c r="C15" s="251" t="s">
        <v>2467</v>
      </c>
      <c r="D15" s="252" t="s">
        <v>2483</v>
      </c>
      <c r="E15" s="252" t="s">
        <v>2469</v>
      </c>
      <c r="F15" s="252" t="s">
        <v>168</v>
      </c>
      <c r="G15" s="253" t="s">
        <v>70</v>
      </c>
      <c r="H15" s="253" t="s">
        <v>42</v>
      </c>
      <c r="I15" s="253" t="s">
        <v>15</v>
      </c>
      <c r="J15" s="254" t="s">
        <v>516</v>
      </c>
      <c r="K15" s="255">
        <v>1950000000</v>
      </c>
      <c r="L15" s="256" t="s">
        <v>2057</v>
      </c>
      <c r="M15" s="256" t="s">
        <v>14</v>
      </c>
    </row>
    <row r="16" spans="1:13">
      <c r="A16" s="251" t="s">
        <v>2465</v>
      </c>
      <c r="B16" s="251" t="s">
        <v>2485</v>
      </c>
      <c r="C16" s="251" t="s">
        <v>2467</v>
      </c>
      <c r="D16" s="252" t="s">
        <v>2483</v>
      </c>
      <c r="E16" s="252" t="s">
        <v>2469</v>
      </c>
      <c r="F16" s="252" t="s">
        <v>168</v>
      </c>
      <c r="G16" s="253" t="s">
        <v>74</v>
      </c>
      <c r="H16" s="253" t="s">
        <v>26</v>
      </c>
      <c r="I16" s="253" t="s">
        <v>15</v>
      </c>
      <c r="J16" s="254" t="s">
        <v>516</v>
      </c>
      <c r="K16" s="255">
        <v>1950000000</v>
      </c>
      <c r="L16" s="256" t="s">
        <v>2057</v>
      </c>
      <c r="M16" s="256" t="s">
        <v>14</v>
      </c>
    </row>
    <row r="17" spans="1:13">
      <c r="A17" s="251" t="s">
        <v>2465</v>
      </c>
      <c r="B17" s="251" t="s">
        <v>2486</v>
      </c>
      <c r="C17" s="251" t="s">
        <v>2467</v>
      </c>
      <c r="D17" s="252" t="s">
        <v>2483</v>
      </c>
      <c r="E17" s="252" t="s">
        <v>2469</v>
      </c>
      <c r="F17" s="252" t="s">
        <v>168</v>
      </c>
      <c r="G17" s="253" t="s">
        <v>74</v>
      </c>
      <c r="H17" s="253" t="s">
        <v>42</v>
      </c>
      <c r="I17" s="253" t="s">
        <v>15</v>
      </c>
      <c r="J17" s="254" t="s">
        <v>516</v>
      </c>
      <c r="K17" s="255">
        <v>1950000000</v>
      </c>
      <c r="L17" s="256" t="s">
        <v>2057</v>
      </c>
      <c r="M17" s="256" t="s">
        <v>14</v>
      </c>
    </row>
    <row r="18" spans="1:13">
      <c r="A18" s="251" t="s">
        <v>2465</v>
      </c>
      <c r="B18" s="251" t="s">
        <v>2487</v>
      </c>
      <c r="C18" s="251" t="s">
        <v>2467</v>
      </c>
      <c r="D18" s="252" t="s">
        <v>2483</v>
      </c>
      <c r="E18" s="252" t="s">
        <v>2469</v>
      </c>
      <c r="F18" s="252" t="s">
        <v>168</v>
      </c>
      <c r="G18" s="253" t="s">
        <v>72</v>
      </c>
      <c r="H18" s="253" t="s">
        <v>26</v>
      </c>
      <c r="I18" s="253" t="s">
        <v>15</v>
      </c>
      <c r="J18" s="254" t="s">
        <v>516</v>
      </c>
      <c r="K18" s="255">
        <v>1950000000</v>
      </c>
      <c r="L18" s="256" t="s">
        <v>2057</v>
      </c>
      <c r="M18" s="256" t="s">
        <v>14</v>
      </c>
    </row>
    <row r="19" spans="1:13">
      <c r="A19" s="251" t="s">
        <v>2465</v>
      </c>
      <c r="B19" s="251" t="s">
        <v>2488</v>
      </c>
      <c r="C19" s="251" t="s">
        <v>2467</v>
      </c>
      <c r="D19" s="252" t="s">
        <v>2483</v>
      </c>
      <c r="E19" s="252" t="s">
        <v>2469</v>
      </c>
      <c r="F19" s="252" t="s">
        <v>168</v>
      </c>
      <c r="G19" s="253" t="s">
        <v>72</v>
      </c>
      <c r="H19" s="253" t="s">
        <v>42</v>
      </c>
      <c r="I19" s="253" t="s">
        <v>15</v>
      </c>
      <c r="J19" s="254" t="s">
        <v>516</v>
      </c>
      <c r="K19" s="255">
        <v>1950000000</v>
      </c>
      <c r="L19" s="256" t="s">
        <v>2057</v>
      </c>
      <c r="M19" s="256" t="s">
        <v>14</v>
      </c>
    </row>
    <row r="20" spans="1:13">
      <c r="A20" s="251" t="s">
        <v>2465</v>
      </c>
      <c r="B20" s="257" t="s">
        <v>10135</v>
      </c>
      <c r="C20" s="251" t="s">
        <v>2467</v>
      </c>
      <c r="D20" s="252" t="s">
        <v>10136</v>
      </c>
      <c r="E20" s="252" t="s">
        <v>2469</v>
      </c>
      <c r="F20" s="252" t="s">
        <v>168</v>
      </c>
      <c r="G20" s="253" t="s">
        <v>70</v>
      </c>
      <c r="H20" s="253" t="s">
        <v>26</v>
      </c>
      <c r="I20" s="253" t="s">
        <v>15</v>
      </c>
      <c r="J20" s="254" t="s">
        <v>516</v>
      </c>
      <c r="K20" s="255">
        <v>956000000</v>
      </c>
      <c r="L20" s="256" t="s">
        <v>2057</v>
      </c>
      <c r="M20" s="256" t="s">
        <v>14</v>
      </c>
    </row>
    <row r="21" spans="1:13">
      <c r="A21" s="251" t="s">
        <v>2465</v>
      </c>
      <c r="B21" s="257" t="s">
        <v>10135</v>
      </c>
      <c r="C21" s="251" t="s">
        <v>2467</v>
      </c>
      <c r="D21" s="252" t="s">
        <v>10136</v>
      </c>
      <c r="E21" s="252" t="s">
        <v>2469</v>
      </c>
      <c r="F21" s="252" t="s">
        <v>168</v>
      </c>
      <c r="G21" s="253" t="s">
        <v>70</v>
      </c>
      <c r="H21" s="253" t="s">
        <v>42</v>
      </c>
      <c r="I21" s="253" t="s">
        <v>15</v>
      </c>
      <c r="J21" s="254" t="s">
        <v>516</v>
      </c>
      <c r="K21" s="255">
        <v>956000000</v>
      </c>
      <c r="L21" s="256" t="s">
        <v>2057</v>
      </c>
      <c r="M21" s="256" t="s">
        <v>14</v>
      </c>
    </row>
    <row r="22" spans="1:13">
      <c r="A22" s="251" t="s">
        <v>2465</v>
      </c>
      <c r="B22" s="257" t="s">
        <v>10135</v>
      </c>
      <c r="C22" s="251" t="s">
        <v>2467</v>
      </c>
      <c r="D22" s="252" t="s">
        <v>10136</v>
      </c>
      <c r="E22" s="252" t="s">
        <v>2469</v>
      </c>
      <c r="F22" s="252" t="s">
        <v>168</v>
      </c>
      <c r="G22" s="253" t="s">
        <v>74</v>
      </c>
      <c r="H22" s="253" t="s">
        <v>26</v>
      </c>
      <c r="I22" s="253" t="s">
        <v>15</v>
      </c>
      <c r="J22" s="254" t="s">
        <v>516</v>
      </c>
      <c r="K22" s="255">
        <v>956000000</v>
      </c>
      <c r="L22" s="256" t="s">
        <v>2057</v>
      </c>
      <c r="M22" s="256" t="s">
        <v>14</v>
      </c>
    </row>
    <row r="23" spans="1:13">
      <c r="A23" s="251" t="s">
        <v>2465</v>
      </c>
      <c r="B23" s="257" t="s">
        <v>10135</v>
      </c>
      <c r="C23" s="251" t="s">
        <v>2467</v>
      </c>
      <c r="D23" s="252" t="s">
        <v>10136</v>
      </c>
      <c r="E23" s="252" t="s">
        <v>2469</v>
      </c>
      <c r="F23" s="252" t="s">
        <v>168</v>
      </c>
      <c r="G23" s="253" t="s">
        <v>74</v>
      </c>
      <c r="H23" s="253" t="s">
        <v>42</v>
      </c>
      <c r="I23" s="253" t="s">
        <v>15</v>
      </c>
      <c r="J23" s="254" t="s">
        <v>516</v>
      </c>
      <c r="K23" s="255">
        <v>956000000</v>
      </c>
      <c r="L23" s="256" t="s">
        <v>2057</v>
      </c>
      <c r="M23" s="256" t="s">
        <v>14</v>
      </c>
    </row>
    <row r="24" spans="1:13">
      <c r="A24" s="251" t="s">
        <v>2465</v>
      </c>
      <c r="B24" s="257" t="s">
        <v>10135</v>
      </c>
      <c r="C24" s="251" t="s">
        <v>2467</v>
      </c>
      <c r="D24" s="252" t="s">
        <v>10136</v>
      </c>
      <c r="E24" s="252" t="s">
        <v>2469</v>
      </c>
      <c r="F24" s="252" t="s">
        <v>168</v>
      </c>
      <c r="G24" s="253" t="s">
        <v>72</v>
      </c>
      <c r="H24" s="253" t="s">
        <v>26</v>
      </c>
      <c r="I24" s="253" t="s">
        <v>15</v>
      </c>
      <c r="J24" s="254" t="s">
        <v>516</v>
      </c>
      <c r="K24" s="255">
        <v>956000000</v>
      </c>
      <c r="L24" s="256" t="s">
        <v>2057</v>
      </c>
      <c r="M24" s="256" t="s">
        <v>14</v>
      </c>
    </row>
    <row r="25" spans="1:13">
      <c r="A25" s="251" t="s">
        <v>2465</v>
      </c>
      <c r="B25" s="257" t="s">
        <v>10135</v>
      </c>
      <c r="C25" s="251" t="s">
        <v>2467</v>
      </c>
      <c r="D25" s="252" t="s">
        <v>10136</v>
      </c>
      <c r="E25" s="252" t="s">
        <v>2469</v>
      </c>
      <c r="F25" s="252" t="s">
        <v>168</v>
      </c>
      <c r="G25" s="253" t="s">
        <v>72</v>
      </c>
      <c r="H25" s="253" t="s">
        <v>42</v>
      </c>
      <c r="I25" s="253" t="s">
        <v>15</v>
      </c>
      <c r="J25" s="254" t="s">
        <v>516</v>
      </c>
      <c r="K25" s="255">
        <v>956000000</v>
      </c>
      <c r="L25" s="256" t="s">
        <v>2057</v>
      </c>
      <c r="M25" s="256" t="s">
        <v>14</v>
      </c>
    </row>
    <row r="26" spans="1:13">
      <c r="A26" s="251" t="s">
        <v>2465</v>
      </c>
      <c r="B26" s="257" t="s">
        <v>10137</v>
      </c>
      <c r="C26" s="251" t="s">
        <v>2467</v>
      </c>
      <c r="D26" s="252" t="s">
        <v>10138</v>
      </c>
      <c r="E26" s="252" t="s">
        <v>2469</v>
      </c>
      <c r="F26" s="252" t="s">
        <v>168</v>
      </c>
      <c r="G26" s="253" t="s">
        <v>70</v>
      </c>
      <c r="H26" s="253" t="s">
        <v>26</v>
      </c>
      <c r="I26" s="253" t="s">
        <v>15</v>
      </c>
      <c r="J26" s="254" t="s">
        <v>516</v>
      </c>
      <c r="K26" s="255">
        <v>650000000</v>
      </c>
      <c r="L26" s="256" t="s">
        <v>2057</v>
      </c>
      <c r="M26" s="256" t="s">
        <v>14</v>
      </c>
    </row>
    <row r="27" spans="1:13">
      <c r="A27" s="251" t="s">
        <v>2465</v>
      </c>
      <c r="B27" s="257" t="s">
        <v>10137</v>
      </c>
      <c r="C27" s="251" t="s">
        <v>2467</v>
      </c>
      <c r="D27" s="252" t="s">
        <v>10138</v>
      </c>
      <c r="E27" s="252" t="s">
        <v>2469</v>
      </c>
      <c r="F27" s="252" t="s">
        <v>168</v>
      </c>
      <c r="G27" s="253" t="s">
        <v>70</v>
      </c>
      <c r="H27" s="253" t="s">
        <v>42</v>
      </c>
      <c r="I27" s="253" t="s">
        <v>15</v>
      </c>
      <c r="J27" s="254" t="s">
        <v>516</v>
      </c>
      <c r="K27" s="255">
        <v>650000000</v>
      </c>
      <c r="L27" s="256" t="s">
        <v>2057</v>
      </c>
      <c r="M27" s="256" t="s">
        <v>14</v>
      </c>
    </row>
    <row r="28" spans="1:13">
      <c r="A28" s="251" t="s">
        <v>2465</v>
      </c>
      <c r="B28" s="257" t="s">
        <v>10137</v>
      </c>
      <c r="C28" s="251" t="s">
        <v>2467</v>
      </c>
      <c r="D28" s="252" t="s">
        <v>10138</v>
      </c>
      <c r="E28" s="252" t="s">
        <v>2469</v>
      </c>
      <c r="F28" s="252" t="s">
        <v>168</v>
      </c>
      <c r="G28" s="253" t="s">
        <v>74</v>
      </c>
      <c r="H28" s="253" t="s">
        <v>26</v>
      </c>
      <c r="I28" s="253" t="s">
        <v>15</v>
      </c>
      <c r="J28" s="254" t="s">
        <v>516</v>
      </c>
      <c r="K28" s="255">
        <v>650000000</v>
      </c>
      <c r="L28" s="256" t="s">
        <v>2057</v>
      </c>
      <c r="M28" s="256" t="s">
        <v>14</v>
      </c>
    </row>
    <row r="29" spans="1:13">
      <c r="A29" s="251" t="s">
        <v>2465</v>
      </c>
      <c r="B29" s="257" t="s">
        <v>10137</v>
      </c>
      <c r="C29" s="251" t="s">
        <v>2467</v>
      </c>
      <c r="D29" s="252" t="s">
        <v>10138</v>
      </c>
      <c r="E29" s="252" t="s">
        <v>2469</v>
      </c>
      <c r="F29" s="252" t="s">
        <v>168</v>
      </c>
      <c r="G29" s="253" t="s">
        <v>74</v>
      </c>
      <c r="H29" s="253" t="s">
        <v>42</v>
      </c>
      <c r="I29" s="253" t="s">
        <v>15</v>
      </c>
      <c r="J29" s="254" t="s">
        <v>516</v>
      </c>
      <c r="K29" s="255">
        <v>650000000</v>
      </c>
      <c r="L29" s="256" t="s">
        <v>2057</v>
      </c>
      <c r="M29" s="256" t="s">
        <v>14</v>
      </c>
    </row>
    <row r="30" spans="1:13">
      <c r="A30" s="251" t="s">
        <v>2465</v>
      </c>
      <c r="B30" s="257" t="s">
        <v>10137</v>
      </c>
      <c r="C30" s="251" t="s">
        <v>2467</v>
      </c>
      <c r="D30" s="252" t="s">
        <v>10138</v>
      </c>
      <c r="E30" s="252" t="s">
        <v>2469</v>
      </c>
      <c r="F30" s="252" t="s">
        <v>168</v>
      </c>
      <c r="G30" s="253" t="s">
        <v>72</v>
      </c>
      <c r="H30" s="253" t="s">
        <v>26</v>
      </c>
      <c r="I30" s="253" t="s">
        <v>15</v>
      </c>
      <c r="J30" s="254" t="s">
        <v>516</v>
      </c>
      <c r="K30" s="255">
        <v>650000000</v>
      </c>
      <c r="L30" s="256" t="s">
        <v>2057</v>
      </c>
      <c r="M30" s="256" t="s">
        <v>14</v>
      </c>
    </row>
    <row r="31" spans="1:13">
      <c r="A31" s="251" t="s">
        <v>2465</v>
      </c>
      <c r="B31" s="257" t="s">
        <v>10137</v>
      </c>
      <c r="C31" s="251" t="s">
        <v>2467</v>
      </c>
      <c r="D31" s="252" t="s">
        <v>10138</v>
      </c>
      <c r="E31" s="252" t="s">
        <v>2469</v>
      </c>
      <c r="F31" s="252" t="s">
        <v>168</v>
      </c>
      <c r="G31" s="253" t="s">
        <v>72</v>
      </c>
      <c r="H31" s="253" t="s">
        <v>42</v>
      </c>
      <c r="I31" s="253" t="s">
        <v>15</v>
      </c>
      <c r="J31" s="254" t="s">
        <v>516</v>
      </c>
      <c r="K31" s="255">
        <v>650000000</v>
      </c>
      <c r="L31" s="256" t="s">
        <v>2057</v>
      </c>
      <c r="M31" s="256" t="s">
        <v>14</v>
      </c>
    </row>
    <row r="32" spans="1:13">
      <c r="A32" s="251" t="s">
        <v>2465</v>
      </c>
      <c r="B32" s="257" t="s">
        <v>10139</v>
      </c>
      <c r="C32" s="251" t="s">
        <v>2467</v>
      </c>
      <c r="D32" s="252" t="s">
        <v>10140</v>
      </c>
      <c r="E32" s="252" t="s">
        <v>2469</v>
      </c>
      <c r="F32" s="252" t="s">
        <v>168</v>
      </c>
      <c r="G32" s="253" t="s">
        <v>70</v>
      </c>
      <c r="H32" s="253" t="s">
        <v>26</v>
      </c>
      <c r="I32" s="253" t="s">
        <v>15</v>
      </c>
      <c r="J32" s="254" t="s">
        <v>516</v>
      </c>
      <c r="K32" s="255">
        <v>550000000</v>
      </c>
      <c r="L32" s="256" t="s">
        <v>2057</v>
      </c>
      <c r="M32" s="256" t="s">
        <v>14</v>
      </c>
    </row>
    <row r="33" spans="1:13">
      <c r="A33" s="251" t="s">
        <v>2465</v>
      </c>
      <c r="B33" s="257" t="s">
        <v>10139</v>
      </c>
      <c r="C33" s="251" t="s">
        <v>2467</v>
      </c>
      <c r="D33" s="252" t="s">
        <v>10140</v>
      </c>
      <c r="E33" s="252" t="s">
        <v>2469</v>
      </c>
      <c r="F33" s="252" t="s">
        <v>168</v>
      </c>
      <c r="G33" s="253" t="s">
        <v>70</v>
      </c>
      <c r="H33" s="253" t="s">
        <v>42</v>
      </c>
      <c r="I33" s="253" t="s">
        <v>15</v>
      </c>
      <c r="J33" s="254" t="s">
        <v>516</v>
      </c>
      <c r="K33" s="255">
        <v>550000000</v>
      </c>
      <c r="L33" s="256" t="s">
        <v>2057</v>
      </c>
      <c r="M33" s="256" t="s">
        <v>14</v>
      </c>
    </row>
    <row r="34" spans="1:13">
      <c r="A34" s="251" t="s">
        <v>2465</v>
      </c>
      <c r="B34" s="257" t="s">
        <v>10139</v>
      </c>
      <c r="C34" s="251" t="s">
        <v>2467</v>
      </c>
      <c r="D34" s="252" t="s">
        <v>10140</v>
      </c>
      <c r="E34" s="252" t="s">
        <v>2469</v>
      </c>
      <c r="F34" s="252" t="s">
        <v>168</v>
      </c>
      <c r="G34" s="253" t="s">
        <v>74</v>
      </c>
      <c r="H34" s="253" t="s">
        <v>26</v>
      </c>
      <c r="I34" s="253" t="s">
        <v>15</v>
      </c>
      <c r="J34" s="254" t="s">
        <v>516</v>
      </c>
      <c r="K34" s="255">
        <v>550000000</v>
      </c>
      <c r="L34" s="256" t="s">
        <v>2057</v>
      </c>
      <c r="M34" s="256" t="s">
        <v>14</v>
      </c>
    </row>
    <row r="35" spans="1:13">
      <c r="A35" s="251" t="s">
        <v>2465</v>
      </c>
      <c r="B35" s="257" t="s">
        <v>10139</v>
      </c>
      <c r="C35" s="251" t="s">
        <v>2467</v>
      </c>
      <c r="D35" s="252" t="s">
        <v>10140</v>
      </c>
      <c r="E35" s="252" t="s">
        <v>2469</v>
      </c>
      <c r="F35" s="252" t="s">
        <v>168</v>
      </c>
      <c r="G35" s="253" t="s">
        <v>74</v>
      </c>
      <c r="H35" s="253" t="s">
        <v>42</v>
      </c>
      <c r="I35" s="253" t="s">
        <v>15</v>
      </c>
      <c r="J35" s="254" t="s">
        <v>516</v>
      </c>
      <c r="K35" s="255">
        <v>550000000</v>
      </c>
      <c r="L35" s="256" t="s">
        <v>2057</v>
      </c>
      <c r="M35" s="256" t="s">
        <v>14</v>
      </c>
    </row>
    <row r="36" spans="1:13">
      <c r="A36" s="251" t="s">
        <v>2465</v>
      </c>
      <c r="B36" s="257" t="s">
        <v>10139</v>
      </c>
      <c r="C36" s="251" t="s">
        <v>2467</v>
      </c>
      <c r="D36" s="252" t="s">
        <v>10140</v>
      </c>
      <c r="E36" s="252" t="s">
        <v>2469</v>
      </c>
      <c r="F36" s="252" t="s">
        <v>168</v>
      </c>
      <c r="G36" s="253" t="s">
        <v>72</v>
      </c>
      <c r="H36" s="253" t="s">
        <v>26</v>
      </c>
      <c r="I36" s="253" t="s">
        <v>15</v>
      </c>
      <c r="J36" s="254" t="s">
        <v>516</v>
      </c>
      <c r="K36" s="255">
        <v>550000000</v>
      </c>
      <c r="L36" s="256" t="s">
        <v>2057</v>
      </c>
      <c r="M36" s="256" t="s">
        <v>14</v>
      </c>
    </row>
    <row r="37" spans="1:13">
      <c r="A37" s="251" t="s">
        <v>2465</v>
      </c>
      <c r="B37" s="257" t="s">
        <v>10139</v>
      </c>
      <c r="C37" s="251" t="s">
        <v>2467</v>
      </c>
      <c r="D37" s="252" t="s">
        <v>10140</v>
      </c>
      <c r="E37" s="252" t="s">
        <v>2469</v>
      </c>
      <c r="F37" s="252" t="s">
        <v>168</v>
      </c>
      <c r="G37" s="253" t="s">
        <v>72</v>
      </c>
      <c r="H37" s="253" t="s">
        <v>42</v>
      </c>
      <c r="I37" s="253" t="s">
        <v>15</v>
      </c>
      <c r="J37" s="254" t="s">
        <v>516</v>
      </c>
      <c r="K37" s="255">
        <v>550000000</v>
      </c>
      <c r="L37" s="256" t="s">
        <v>2057</v>
      </c>
      <c r="M37" s="256" t="s">
        <v>14</v>
      </c>
    </row>
    <row r="38" spans="1:13">
      <c r="A38" s="251" t="s">
        <v>2465</v>
      </c>
      <c r="B38" s="257" t="s">
        <v>10141</v>
      </c>
      <c r="C38" s="251" t="s">
        <v>2467</v>
      </c>
      <c r="D38" s="252" t="s">
        <v>10142</v>
      </c>
      <c r="E38" s="252" t="s">
        <v>2469</v>
      </c>
      <c r="F38" s="252" t="s">
        <v>168</v>
      </c>
      <c r="G38" s="253" t="s">
        <v>70</v>
      </c>
      <c r="H38" s="253" t="s">
        <v>26</v>
      </c>
      <c r="I38" s="253" t="s">
        <v>15</v>
      </c>
      <c r="J38" s="254" t="s">
        <v>516</v>
      </c>
      <c r="K38" s="255">
        <v>610000000</v>
      </c>
      <c r="L38" s="256" t="s">
        <v>2057</v>
      </c>
      <c r="M38" s="256" t="s">
        <v>14</v>
      </c>
    </row>
    <row r="39" spans="1:13">
      <c r="A39" s="251" t="s">
        <v>2465</v>
      </c>
      <c r="B39" s="257" t="s">
        <v>10141</v>
      </c>
      <c r="C39" s="251" t="s">
        <v>2467</v>
      </c>
      <c r="D39" s="252" t="s">
        <v>10142</v>
      </c>
      <c r="E39" s="252" t="s">
        <v>2469</v>
      </c>
      <c r="F39" s="252" t="s">
        <v>168</v>
      </c>
      <c r="G39" s="253" t="s">
        <v>70</v>
      </c>
      <c r="H39" s="253" t="s">
        <v>42</v>
      </c>
      <c r="I39" s="253" t="s">
        <v>15</v>
      </c>
      <c r="J39" s="254" t="s">
        <v>516</v>
      </c>
      <c r="K39" s="255">
        <v>610000000</v>
      </c>
      <c r="L39" s="256" t="s">
        <v>2057</v>
      </c>
      <c r="M39" s="256" t="s">
        <v>14</v>
      </c>
    </row>
    <row r="40" spans="1:13">
      <c r="A40" s="251" t="s">
        <v>2465</v>
      </c>
      <c r="B40" s="257" t="s">
        <v>10141</v>
      </c>
      <c r="C40" s="251" t="s">
        <v>2467</v>
      </c>
      <c r="D40" s="252" t="s">
        <v>10142</v>
      </c>
      <c r="E40" s="252" t="s">
        <v>2469</v>
      </c>
      <c r="F40" s="252" t="s">
        <v>168</v>
      </c>
      <c r="G40" s="253" t="s">
        <v>74</v>
      </c>
      <c r="H40" s="253" t="s">
        <v>26</v>
      </c>
      <c r="I40" s="253" t="s">
        <v>15</v>
      </c>
      <c r="J40" s="254" t="s">
        <v>516</v>
      </c>
      <c r="K40" s="255">
        <v>610000000</v>
      </c>
      <c r="L40" s="256" t="s">
        <v>2057</v>
      </c>
      <c r="M40" s="256" t="s">
        <v>14</v>
      </c>
    </row>
    <row r="41" spans="1:13">
      <c r="A41" s="251" t="s">
        <v>2465</v>
      </c>
      <c r="B41" s="257" t="s">
        <v>10141</v>
      </c>
      <c r="C41" s="251" t="s">
        <v>2467</v>
      </c>
      <c r="D41" s="252" t="s">
        <v>10142</v>
      </c>
      <c r="E41" s="252" t="s">
        <v>2469</v>
      </c>
      <c r="F41" s="252" t="s">
        <v>168</v>
      </c>
      <c r="G41" s="253" t="s">
        <v>74</v>
      </c>
      <c r="H41" s="253" t="s">
        <v>42</v>
      </c>
      <c r="I41" s="253" t="s">
        <v>15</v>
      </c>
      <c r="J41" s="254" t="s">
        <v>516</v>
      </c>
      <c r="K41" s="255">
        <v>610000000</v>
      </c>
      <c r="L41" s="256" t="s">
        <v>2057</v>
      </c>
      <c r="M41" s="256" t="s">
        <v>14</v>
      </c>
    </row>
    <row r="42" spans="1:13">
      <c r="A42" s="251" t="s">
        <v>2465</v>
      </c>
      <c r="B42" s="257" t="s">
        <v>10141</v>
      </c>
      <c r="C42" s="251" t="s">
        <v>2467</v>
      </c>
      <c r="D42" s="252" t="s">
        <v>10142</v>
      </c>
      <c r="E42" s="252" t="s">
        <v>2469</v>
      </c>
      <c r="F42" s="252" t="s">
        <v>168</v>
      </c>
      <c r="G42" s="253" t="s">
        <v>72</v>
      </c>
      <c r="H42" s="253" t="s">
        <v>26</v>
      </c>
      <c r="I42" s="253" t="s">
        <v>15</v>
      </c>
      <c r="J42" s="254" t="s">
        <v>516</v>
      </c>
      <c r="K42" s="255">
        <v>610000000</v>
      </c>
      <c r="L42" s="256" t="s">
        <v>2057</v>
      </c>
      <c r="M42" s="256" t="s">
        <v>14</v>
      </c>
    </row>
    <row r="43" spans="1:13">
      <c r="A43" s="251" t="s">
        <v>2465</v>
      </c>
      <c r="B43" s="257" t="s">
        <v>10141</v>
      </c>
      <c r="C43" s="251" t="s">
        <v>2467</v>
      </c>
      <c r="D43" s="252" t="s">
        <v>10142</v>
      </c>
      <c r="E43" s="252" t="s">
        <v>2469</v>
      </c>
      <c r="F43" s="252" t="s">
        <v>168</v>
      </c>
      <c r="G43" s="253" t="s">
        <v>72</v>
      </c>
      <c r="H43" s="253" t="s">
        <v>42</v>
      </c>
      <c r="I43" s="253" t="s">
        <v>15</v>
      </c>
      <c r="J43" s="254" t="s">
        <v>516</v>
      </c>
      <c r="K43" s="255">
        <v>610000000</v>
      </c>
      <c r="L43" s="256" t="s">
        <v>2057</v>
      </c>
      <c r="M43" s="256" t="s">
        <v>14</v>
      </c>
    </row>
    <row r="44" spans="1:13">
      <c r="A44" s="251" t="s">
        <v>2465</v>
      </c>
      <c r="B44" s="257" t="s">
        <v>10143</v>
      </c>
      <c r="C44" s="251" t="s">
        <v>2467</v>
      </c>
      <c r="D44" s="252" t="s">
        <v>10144</v>
      </c>
      <c r="E44" s="252" t="s">
        <v>2469</v>
      </c>
      <c r="F44" s="252" t="s">
        <v>168</v>
      </c>
      <c r="G44" s="253" t="s">
        <v>70</v>
      </c>
      <c r="H44" s="253" t="s">
        <v>26</v>
      </c>
      <c r="I44" s="253" t="s">
        <v>15</v>
      </c>
      <c r="J44" s="254" t="s">
        <v>516</v>
      </c>
      <c r="K44" s="255">
        <v>1200000000</v>
      </c>
      <c r="L44" s="256" t="s">
        <v>2057</v>
      </c>
      <c r="M44" s="256" t="s">
        <v>14</v>
      </c>
    </row>
    <row r="45" spans="1:13">
      <c r="A45" s="251" t="s">
        <v>2465</v>
      </c>
      <c r="B45" s="257" t="s">
        <v>10143</v>
      </c>
      <c r="C45" s="251" t="s">
        <v>2467</v>
      </c>
      <c r="D45" s="252" t="s">
        <v>10144</v>
      </c>
      <c r="E45" s="252" t="s">
        <v>2469</v>
      </c>
      <c r="F45" s="252" t="s">
        <v>168</v>
      </c>
      <c r="G45" s="253" t="s">
        <v>70</v>
      </c>
      <c r="H45" s="253" t="s">
        <v>42</v>
      </c>
      <c r="I45" s="253" t="s">
        <v>15</v>
      </c>
      <c r="J45" s="254" t="s">
        <v>516</v>
      </c>
      <c r="K45" s="255">
        <v>1200000000</v>
      </c>
      <c r="L45" s="256" t="s">
        <v>2057</v>
      </c>
      <c r="M45" s="256" t="s">
        <v>14</v>
      </c>
    </row>
    <row r="46" spans="1:13">
      <c r="A46" s="251" t="s">
        <v>2465</v>
      </c>
      <c r="B46" s="257" t="s">
        <v>10143</v>
      </c>
      <c r="C46" s="251" t="s">
        <v>2467</v>
      </c>
      <c r="D46" s="252" t="s">
        <v>10144</v>
      </c>
      <c r="E46" s="252" t="s">
        <v>2469</v>
      </c>
      <c r="F46" s="252" t="s">
        <v>168</v>
      </c>
      <c r="G46" s="253" t="s">
        <v>74</v>
      </c>
      <c r="H46" s="253" t="s">
        <v>26</v>
      </c>
      <c r="I46" s="253" t="s">
        <v>15</v>
      </c>
      <c r="J46" s="254" t="s">
        <v>516</v>
      </c>
      <c r="K46" s="255">
        <v>1200000000</v>
      </c>
      <c r="L46" s="256" t="s">
        <v>2057</v>
      </c>
      <c r="M46" s="256" t="s">
        <v>14</v>
      </c>
    </row>
    <row r="47" spans="1:13">
      <c r="A47" s="251" t="s">
        <v>2465</v>
      </c>
      <c r="B47" s="257" t="s">
        <v>10143</v>
      </c>
      <c r="C47" s="251" t="s">
        <v>2467</v>
      </c>
      <c r="D47" s="252" t="s">
        <v>10144</v>
      </c>
      <c r="E47" s="252" t="s">
        <v>2469</v>
      </c>
      <c r="F47" s="252" t="s">
        <v>168</v>
      </c>
      <c r="G47" s="253" t="s">
        <v>74</v>
      </c>
      <c r="H47" s="253" t="s">
        <v>42</v>
      </c>
      <c r="I47" s="253" t="s">
        <v>15</v>
      </c>
      <c r="J47" s="254" t="s">
        <v>516</v>
      </c>
      <c r="K47" s="255">
        <v>1200000000</v>
      </c>
      <c r="L47" s="256" t="s">
        <v>2057</v>
      </c>
      <c r="M47" s="256" t="s">
        <v>14</v>
      </c>
    </row>
    <row r="48" spans="1:13">
      <c r="A48" s="251" t="s">
        <v>2465</v>
      </c>
      <c r="B48" s="257" t="s">
        <v>10143</v>
      </c>
      <c r="C48" s="251" t="s">
        <v>2467</v>
      </c>
      <c r="D48" s="252" t="s">
        <v>10144</v>
      </c>
      <c r="E48" s="252" t="s">
        <v>2469</v>
      </c>
      <c r="F48" s="252" t="s">
        <v>168</v>
      </c>
      <c r="G48" s="253" t="s">
        <v>72</v>
      </c>
      <c r="H48" s="253" t="s">
        <v>26</v>
      </c>
      <c r="I48" s="253" t="s">
        <v>15</v>
      </c>
      <c r="J48" s="254" t="s">
        <v>516</v>
      </c>
      <c r="K48" s="255">
        <v>1200000000</v>
      </c>
      <c r="L48" s="256" t="s">
        <v>2057</v>
      </c>
      <c r="M48" s="256" t="s">
        <v>14</v>
      </c>
    </row>
    <row r="49" spans="1:13">
      <c r="A49" s="251" t="s">
        <v>2465</v>
      </c>
      <c r="B49" s="257" t="s">
        <v>10143</v>
      </c>
      <c r="C49" s="251" t="s">
        <v>2467</v>
      </c>
      <c r="D49" s="252" t="s">
        <v>10144</v>
      </c>
      <c r="E49" s="252" t="s">
        <v>2469</v>
      </c>
      <c r="F49" s="252" t="s">
        <v>168</v>
      </c>
      <c r="G49" s="253" t="s">
        <v>72</v>
      </c>
      <c r="H49" s="253" t="s">
        <v>42</v>
      </c>
      <c r="I49" s="253" t="s">
        <v>15</v>
      </c>
      <c r="J49" s="254" t="s">
        <v>516</v>
      </c>
      <c r="K49" s="255">
        <v>1200000000</v>
      </c>
      <c r="L49" s="256" t="s">
        <v>2057</v>
      </c>
      <c r="M49" s="256" t="s">
        <v>14</v>
      </c>
    </row>
    <row r="50" spans="1:13">
      <c r="A50" s="251" t="s">
        <v>2465</v>
      </c>
      <c r="B50" s="257" t="s">
        <v>10145</v>
      </c>
      <c r="C50" s="251" t="s">
        <v>2467</v>
      </c>
      <c r="D50" s="252" t="s">
        <v>10146</v>
      </c>
      <c r="E50" s="252" t="s">
        <v>2469</v>
      </c>
      <c r="F50" s="252" t="s">
        <v>168</v>
      </c>
      <c r="G50" s="253" t="s">
        <v>70</v>
      </c>
      <c r="H50" s="253" t="s">
        <v>26</v>
      </c>
      <c r="I50" s="253" t="s">
        <v>15</v>
      </c>
      <c r="J50" s="254" t="s">
        <v>516</v>
      </c>
      <c r="K50" s="255">
        <v>610000000</v>
      </c>
      <c r="L50" s="256" t="s">
        <v>2057</v>
      </c>
      <c r="M50" s="256" t="s">
        <v>14</v>
      </c>
    </row>
    <row r="51" spans="1:13">
      <c r="A51" s="251" t="s">
        <v>2465</v>
      </c>
      <c r="B51" s="257" t="s">
        <v>10145</v>
      </c>
      <c r="C51" s="251" t="s">
        <v>2467</v>
      </c>
      <c r="D51" s="252" t="s">
        <v>10146</v>
      </c>
      <c r="E51" s="252" t="s">
        <v>2469</v>
      </c>
      <c r="F51" s="252" t="s">
        <v>168</v>
      </c>
      <c r="G51" s="253" t="s">
        <v>70</v>
      </c>
      <c r="H51" s="253" t="s">
        <v>42</v>
      </c>
      <c r="I51" s="253" t="s">
        <v>15</v>
      </c>
      <c r="J51" s="254" t="s">
        <v>516</v>
      </c>
      <c r="K51" s="255">
        <v>610000000</v>
      </c>
      <c r="L51" s="256" t="s">
        <v>2057</v>
      </c>
      <c r="M51" s="256" t="s">
        <v>14</v>
      </c>
    </row>
    <row r="52" spans="1:13">
      <c r="A52" s="251" t="s">
        <v>2465</v>
      </c>
      <c r="B52" s="257" t="s">
        <v>10145</v>
      </c>
      <c r="C52" s="251" t="s">
        <v>2467</v>
      </c>
      <c r="D52" s="252" t="s">
        <v>10146</v>
      </c>
      <c r="E52" s="252" t="s">
        <v>2469</v>
      </c>
      <c r="F52" s="252" t="s">
        <v>168</v>
      </c>
      <c r="G52" s="253" t="s">
        <v>74</v>
      </c>
      <c r="H52" s="253" t="s">
        <v>26</v>
      </c>
      <c r="I52" s="253" t="s">
        <v>15</v>
      </c>
      <c r="J52" s="254" t="s">
        <v>516</v>
      </c>
      <c r="K52" s="255">
        <v>610000000</v>
      </c>
      <c r="L52" s="256" t="s">
        <v>2057</v>
      </c>
      <c r="M52" s="256" t="s">
        <v>14</v>
      </c>
    </row>
    <row r="53" spans="1:13">
      <c r="A53" s="251" t="s">
        <v>2465</v>
      </c>
      <c r="B53" s="257" t="s">
        <v>10145</v>
      </c>
      <c r="C53" s="251" t="s">
        <v>2467</v>
      </c>
      <c r="D53" s="252" t="s">
        <v>10146</v>
      </c>
      <c r="E53" s="252" t="s">
        <v>2469</v>
      </c>
      <c r="F53" s="252" t="s">
        <v>168</v>
      </c>
      <c r="G53" s="253" t="s">
        <v>74</v>
      </c>
      <c r="H53" s="253" t="s">
        <v>42</v>
      </c>
      <c r="I53" s="253" t="s">
        <v>15</v>
      </c>
      <c r="J53" s="254" t="s">
        <v>516</v>
      </c>
      <c r="K53" s="255">
        <v>610000000</v>
      </c>
      <c r="L53" s="256" t="s">
        <v>2057</v>
      </c>
      <c r="M53" s="256" t="s">
        <v>14</v>
      </c>
    </row>
    <row r="54" spans="1:13">
      <c r="A54" s="251" t="s">
        <v>2465</v>
      </c>
      <c r="B54" s="257" t="s">
        <v>10145</v>
      </c>
      <c r="C54" s="251" t="s">
        <v>2467</v>
      </c>
      <c r="D54" s="252" t="s">
        <v>10146</v>
      </c>
      <c r="E54" s="252" t="s">
        <v>2469</v>
      </c>
      <c r="F54" s="252" t="s">
        <v>168</v>
      </c>
      <c r="G54" s="253" t="s">
        <v>72</v>
      </c>
      <c r="H54" s="253" t="s">
        <v>26</v>
      </c>
      <c r="I54" s="253" t="s">
        <v>15</v>
      </c>
      <c r="J54" s="254" t="s">
        <v>516</v>
      </c>
      <c r="K54" s="255">
        <v>610000000</v>
      </c>
      <c r="L54" s="256" t="s">
        <v>2057</v>
      </c>
      <c r="M54" s="256" t="s">
        <v>14</v>
      </c>
    </row>
    <row r="55" spans="1:13">
      <c r="A55" s="251" t="s">
        <v>2465</v>
      </c>
      <c r="B55" s="257" t="s">
        <v>10145</v>
      </c>
      <c r="C55" s="251" t="s">
        <v>2467</v>
      </c>
      <c r="D55" s="252" t="s">
        <v>10146</v>
      </c>
      <c r="E55" s="252" t="s">
        <v>2469</v>
      </c>
      <c r="F55" s="252" t="s">
        <v>168</v>
      </c>
      <c r="G55" s="253" t="s">
        <v>72</v>
      </c>
      <c r="H55" s="253" t="s">
        <v>42</v>
      </c>
      <c r="I55" s="253" t="s">
        <v>15</v>
      </c>
      <c r="J55" s="254" t="s">
        <v>516</v>
      </c>
      <c r="K55" s="255">
        <v>610000000</v>
      </c>
      <c r="L55" s="256" t="s">
        <v>2057</v>
      </c>
      <c r="M55" s="256" t="s">
        <v>14</v>
      </c>
    </row>
    <row r="56" spans="1:13">
      <c r="A56" s="251" t="s">
        <v>2465</v>
      </c>
      <c r="B56" s="257" t="s">
        <v>10147</v>
      </c>
      <c r="C56" s="251" t="s">
        <v>2467</v>
      </c>
      <c r="D56" s="252" t="s">
        <v>10148</v>
      </c>
      <c r="E56" s="252" t="s">
        <v>2469</v>
      </c>
      <c r="F56" s="252" t="s">
        <v>168</v>
      </c>
      <c r="G56" s="253" t="s">
        <v>70</v>
      </c>
      <c r="H56" s="253" t="s">
        <v>26</v>
      </c>
      <c r="I56" s="253" t="s">
        <v>15</v>
      </c>
      <c r="J56" s="254" t="s">
        <v>516</v>
      </c>
      <c r="K56" s="255">
        <v>610000000</v>
      </c>
      <c r="L56" s="256" t="s">
        <v>2057</v>
      </c>
      <c r="M56" s="256" t="s">
        <v>14</v>
      </c>
    </row>
    <row r="57" spans="1:13">
      <c r="A57" s="251" t="s">
        <v>2465</v>
      </c>
      <c r="B57" s="257" t="s">
        <v>10147</v>
      </c>
      <c r="C57" s="251" t="s">
        <v>2467</v>
      </c>
      <c r="D57" s="252" t="s">
        <v>10148</v>
      </c>
      <c r="E57" s="252" t="s">
        <v>2469</v>
      </c>
      <c r="F57" s="252" t="s">
        <v>168</v>
      </c>
      <c r="G57" s="253" t="s">
        <v>70</v>
      </c>
      <c r="H57" s="253" t="s">
        <v>42</v>
      </c>
      <c r="I57" s="253" t="s">
        <v>15</v>
      </c>
      <c r="J57" s="254" t="s">
        <v>516</v>
      </c>
      <c r="K57" s="255">
        <v>610000000</v>
      </c>
      <c r="L57" s="256" t="s">
        <v>2057</v>
      </c>
      <c r="M57" s="256" t="s">
        <v>14</v>
      </c>
    </row>
    <row r="58" spans="1:13">
      <c r="A58" s="251" t="s">
        <v>2465</v>
      </c>
      <c r="B58" s="257" t="s">
        <v>10147</v>
      </c>
      <c r="C58" s="251" t="s">
        <v>2467</v>
      </c>
      <c r="D58" s="252" t="s">
        <v>10148</v>
      </c>
      <c r="E58" s="252" t="s">
        <v>2469</v>
      </c>
      <c r="F58" s="252" t="s">
        <v>168</v>
      </c>
      <c r="G58" s="253" t="s">
        <v>74</v>
      </c>
      <c r="H58" s="253" t="s">
        <v>26</v>
      </c>
      <c r="I58" s="253" t="s">
        <v>15</v>
      </c>
      <c r="J58" s="254" t="s">
        <v>516</v>
      </c>
      <c r="K58" s="255">
        <v>610000000</v>
      </c>
      <c r="L58" s="256" t="s">
        <v>2057</v>
      </c>
      <c r="M58" s="256" t="s">
        <v>14</v>
      </c>
    </row>
    <row r="59" spans="1:13">
      <c r="A59" s="251" t="s">
        <v>2465</v>
      </c>
      <c r="B59" s="257" t="s">
        <v>10147</v>
      </c>
      <c r="C59" s="251" t="s">
        <v>2467</v>
      </c>
      <c r="D59" s="252" t="s">
        <v>10148</v>
      </c>
      <c r="E59" s="252" t="s">
        <v>2469</v>
      </c>
      <c r="F59" s="252" t="s">
        <v>168</v>
      </c>
      <c r="G59" s="253" t="s">
        <v>74</v>
      </c>
      <c r="H59" s="253" t="s">
        <v>42</v>
      </c>
      <c r="I59" s="253" t="s">
        <v>15</v>
      </c>
      <c r="J59" s="254" t="s">
        <v>516</v>
      </c>
      <c r="K59" s="255">
        <v>610000000</v>
      </c>
      <c r="L59" s="256" t="s">
        <v>2057</v>
      </c>
      <c r="M59" s="256" t="s">
        <v>14</v>
      </c>
    </row>
    <row r="60" spans="1:13">
      <c r="A60" s="251" t="s">
        <v>2465</v>
      </c>
      <c r="B60" s="257" t="s">
        <v>10147</v>
      </c>
      <c r="C60" s="251" t="s">
        <v>2467</v>
      </c>
      <c r="D60" s="252" t="s">
        <v>10148</v>
      </c>
      <c r="E60" s="252" t="s">
        <v>2469</v>
      </c>
      <c r="F60" s="252" t="s">
        <v>168</v>
      </c>
      <c r="G60" s="253" t="s">
        <v>72</v>
      </c>
      <c r="H60" s="253" t="s">
        <v>26</v>
      </c>
      <c r="I60" s="253" t="s">
        <v>15</v>
      </c>
      <c r="J60" s="254" t="s">
        <v>516</v>
      </c>
      <c r="K60" s="255">
        <v>610000000</v>
      </c>
      <c r="L60" s="256" t="s">
        <v>2057</v>
      </c>
      <c r="M60" s="256" t="s">
        <v>14</v>
      </c>
    </row>
    <row r="61" spans="1:13">
      <c r="A61" s="251" t="s">
        <v>2465</v>
      </c>
      <c r="B61" s="257" t="s">
        <v>10147</v>
      </c>
      <c r="C61" s="251" t="s">
        <v>2467</v>
      </c>
      <c r="D61" s="252" t="s">
        <v>10148</v>
      </c>
      <c r="E61" s="252" t="s">
        <v>2469</v>
      </c>
      <c r="F61" s="252" t="s">
        <v>168</v>
      </c>
      <c r="G61" s="253" t="s">
        <v>72</v>
      </c>
      <c r="H61" s="253" t="s">
        <v>42</v>
      </c>
      <c r="I61" s="253" t="s">
        <v>15</v>
      </c>
      <c r="J61" s="254" t="s">
        <v>516</v>
      </c>
      <c r="K61" s="255">
        <v>610000000</v>
      </c>
      <c r="L61" s="256" t="s">
        <v>2057</v>
      </c>
      <c r="M61" s="256" t="s">
        <v>14</v>
      </c>
    </row>
    <row r="62" spans="1:13">
      <c r="A62" s="251" t="s">
        <v>2465</v>
      </c>
      <c r="B62" s="257" t="s">
        <v>10149</v>
      </c>
      <c r="C62" s="251" t="s">
        <v>2467</v>
      </c>
      <c r="D62" s="252" t="s">
        <v>10150</v>
      </c>
      <c r="E62" s="252" t="s">
        <v>2469</v>
      </c>
      <c r="F62" s="252" t="s">
        <v>168</v>
      </c>
      <c r="G62" s="253" t="s">
        <v>70</v>
      </c>
      <c r="H62" s="253" t="s">
        <v>26</v>
      </c>
      <c r="I62" s="253" t="s">
        <v>15</v>
      </c>
      <c r="J62" s="254" t="s">
        <v>516</v>
      </c>
      <c r="K62" s="255">
        <v>900000000</v>
      </c>
      <c r="L62" s="256" t="s">
        <v>2057</v>
      </c>
      <c r="M62" s="256" t="s">
        <v>14</v>
      </c>
    </row>
    <row r="63" spans="1:13">
      <c r="A63" s="251" t="s">
        <v>2465</v>
      </c>
      <c r="B63" s="257" t="s">
        <v>10149</v>
      </c>
      <c r="C63" s="251" t="s">
        <v>2467</v>
      </c>
      <c r="D63" s="252" t="s">
        <v>10150</v>
      </c>
      <c r="E63" s="252" t="s">
        <v>2469</v>
      </c>
      <c r="F63" s="252" t="s">
        <v>168</v>
      </c>
      <c r="G63" s="253" t="s">
        <v>70</v>
      </c>
      <c r="H63" s="253" t="s">
        <v>42</v>
      </c>
      <c r="I63" s="253" t="s">
        <v>15</v>
      </c>
      <c r="J63" s="254" t="s">
        <v>516</v>
      </c>
      <c r="K63" s="255">
        <v>900000000</v>
      </c>
      <c r="L63" s="256" t="s">
        <v>2057</v>
      </c>
      <c r="M63" s="256" t="s">
        <v>14</v>
      </c>
    </row>
    <row r="64" spans="1:13">
      <c r="A64" s="251" t="s">
        <v>2465</v>
      </c>
      <c r="B64" s="257" t="s">
        <v>10149</v>
      </c>
      <c r="C64" s="251" t="s">
        <v>2467</v>
      </c>
      <c r="D64" s="252" t="s">
        <v>10150</v>
      </c>
      <c r="E64" s="252" t="s">
        <v>2469</v>
      </c>
      <c r="F64" s="252" t="s">
        <v>168</v>
      </c>
      <c r="G64" s="253" t="s">
        <v>74</v>
      </c>
      <c r="H64" s="253" t="s">
        <v>26</v>
      </c>
      <c r="I64" s="253" t="s">
        <v>15</v>
      </c>
      <c r="J64" s="254" t="s">
        <v>516</v>
      </c>
      <c r="K64" s="255">
        <v>900000000</v>
      </c>
      <c r="L64" s="256" t="s">
        <v>2057</v>
      </c>
      <c r="M64" s="256" t="s">
        <v>14</v>
      </c>
    </row>
    <row r="65" spans="1:13">
      <c r="A65" s="251" t="s">
        <v>2465</v>
      </c>
      <c r="B65" s="257" t="s">
        <v>10149</v>
      </c>
      <c r="C65" s="251" t="s">
        <v>2467</v>
      </c>
      <c r="D65" s="252" t="s">
        <v>10150</v>
      </c>
      <c r="E65" s="252" t="s">
        <v>2469</v>
      </c>
      <c r="F65" s="252" t="s">
        <v>168</v>
      </c>
      <c r="G65" s="253" t="s">
        <v>74</v>
      </c>
      <c r="H65" s="253" t="s">
        <v>42</v>
      </c>
      <c r="I65" s="253" t="s">
        <v>15</v>
      </c>
      <c r="J65" s="254" t="s">
        <v>516</v>
      </c>
      <c r="K65" s="255">
        <v>900000000</v>
      </c>
      <c r="L65" s="256" t="s">
        <v>2057</v>
      </c>
      <c r="M65" s="256" t="s">
        <v>14</v>
      </c>
    </row>
    <row r="66" spans="1:13">
      <c r="A66" s="251" t="s">
        <v>2465</v>
      </c>
      <c r="B66" s="257" t="s">
        <v>10149</v>
      </c>
      <c r="C66" s="251" t="s">
        <v>2467</v>
      </c>
      <c r="D66" s="252" t="s">
        <v>10150</v>
      </c>
      <c r="E66" s="252" t="s">
        <v>2469</v>
      </c>
      <c r="F66" s="252" t="s">
        <v>168</v>
      </c>
      <c r="G66" s="253" t="s">
        <v>72</v>
      </c>
      <c r="H66" s="253" t="s">
        <v>26</v>
      </c>
      <c r="I66" s="253" t="s">
        <v>15</v>
      </c>
      <c r="J66" s="254" t="s">
        <v>516</v>
      </c>
      <c r="K66" s="255">
        <v>900000000</v>
      </c>
      <c r="L66" s="256" t="s">
        <v>2057</v>
      </c>
      <c r="M66" s="256" t="s">
        <v>14</v>
      </c>
    </row>
    <row r="67" spans="1:13">
      <c r="A67" s="251" t="s">
        <v>2465</v>
      </c>
      <c r="B67" s="257" t="s">
        <v>10149</v>
      </c>
      <c r="C67" s="251" t="s">
        <v>2467</v>
      </c>
      <c r="D67" s="252" t="s">
        <v>10150</v>
      </c>
      <c r="E67" s="252" t="s">
        <v>2469</v>
      </c>
      <c r="F67" s="252" t="s">
        <v>168</v>
      </c>
      <c r="G67" s="253" t="s">
        <v>72</v>
      </c>
      <c r="H67" s="253" t="s">
        <v>42</v>
      </c>
      <c r="I67" s="253" t="s">
        <v>15</v>
      </c>
      <c r="J67" s="254" t="s">
        <v>516</v>
      </c>
      <c r="K67" s="255">
        <v>900000000</v>
      </c>
      <c r="L67" s="256" t="s">
        <v>2057</v>
      </c>
      <c r="M67" s="256" t="s">
        <v>14</v>
      </c>
    </row>
    <row r="68" spans="1:13">
      <c r="A68" s="251" t="s">
        <v>2465</v>
      </c>
      <c r="B68" s="257" t="s">
        <v>10151</v>
      </c>
      <c r="C68" s="251" t="s">
        <v>2467</v>
      </c>
      <c r="D68" s="252" t="s">
        <v>10152</v>
      </c>
      <c r="E68" s="252" t="s">
        <v>2469</v>
      </c>
      <c r="F68" s="252" t="s">
        <v>168</v>
      </c>
      <c r="G68" s="253" t="s">
        <v>70</v>
      </c>
      <c r="H68" s="253" t="s">
        <v>26</v>
      </c>
      <c r="I68" s="253" t="s">
        <v>15</v>
      </c>
      <c r="J68" s="254" t="s">
        <v>516</v>
      </c>
      <c r="K68" s="255">
        <v>700000000</v>
      </c>
      <c r="L68" s="256" t="s">
        <v>2057</v>
      </c>
      <c r="M68" s="256" t="s">
        <v>14</v>
      </c>
    </row>
    <row r="69" spans="1:13">
      <c r="A69" s="251" t="s">
        <v>2465</v>
      </c>
      <c r="B69" s="257" t="s">
        <v>10151</v>
      </c>
      <c r="C69" s="251" t="s">
        <v>2467</v>
      </c>
      <c r="D69" s="252" t="s">
        <v>10152</v>
      </c>
      <c r="E69" s="252" t="s">
        <v>2469</v>
      </c>
      <c r="F69" s="252" t="s">
        <v>168</v>
      </c>
      <c r="G69" s="253" t="s">
        <v>70</v>
      </c>
      <c r="H69" s="253" t="s">
        <v>42</v>
      </c>
      <c r="I69" s="253" t="s">
        <v>15</v>
      </c>
      <c r="J69" s="254" t="s">
        <v>516</v>
      </c>
      <c r="K69" s="255">
        <v>700000000</v>
      </c>
      <c r="L69" s="256" t="s">
        <v>2057</v>
      </c>
      <c r="M69" s="256" t="s">
        <v>14</v>
      </c>
    </row>
    <row r="70" spans="1:13">
      <c r="A70" s="251" t="s">
        <v>2465</v>
      </c>
      <c r="B70" s="257" t="s">
        <v>10151</v>
      </c>
      <c r="C70" s="251" t="s">
        <v>2467</v>
      </c>
      <c r="D70" s="252" t="s">
        <v>10152</v>
      </c>
      <c r="E70" s="252" t="s">
        <v>2469</v>
      </c>
      <c r="F70" s="252" t="s">
        <v>168</v>
      </c>
      <c r="G70" s="253" t="s">
        <v>74</v>
      </c>
      <c r="H70" s="253" t="s">
        <v>26</v>
      </c>
      <c r="I70" s="253" t="s">
        <v>15</v>
      </c>
      <c r="J70" s="254" t="s">
        <v>516</v>
      </c>
      <c r="K70" s="255">
        <v>700000000</v>
      </c>
      <c r="L70" s="256" t="s">
        <v>2057</v>
      </c>
      <c r="M70" s="256" t="s">
        <v>14</v>
      </c>
    </row>
    <row r="71" spans="1:13">
      <c r="A71" s="251" t="s">
        <v>2465</v>
      </c>
      <c r="B71" s="257" t="s">
        <v>10151</v>
      </c>
      <c r="C71" s="251" t="s">
        <v>2467</v>
      </c>
      <c r="D71" s="252" t="s">
        <v>10152</v>
      </c>
      <c r="E71" s="252" t="s">
        <v>2469</v>
      </c>
      <c r="F71" s="252" t="s">
        <v>168</v>
      </c>
      <c r="G71" s="253" t="s">
        <v>74</v>
      </c>
      <c r="H71" s="253" t="s">
        <v>42</v>
      </c>
      <c r="I71" s="253" t="s">
        <v>15</v>
      </c>
      <c r="J71" s="254" t="s">
        <v>516</v>
      </c>
      <c r="K71" s="255">
        <v>700000000</v>
      </c>
      <c r="L71" s="256" t="s">
        <v>2057</v>
      </c>
      <c r="M71" s="256" t="s">
        <v>14</v>
      </c>
    </row>
    <row r="72" spans="1:13">
      <c r="A72" s="251" t="s">
        <v>2465</v>
      </c>
      <c r="B72" s="257" t="s">
        <v>10151</v>
      </c>
      <c r="C72" s="251" t="s">
        <v>2467</v>
      </c>
      <c r="D72" s="252" t="s">
        <v>10152</v>
      </c>
      <c r="E72" s="252" t="s">
        <v>2469</v>
      </c>
      <c r="F72" s="252" t="s">
        <v>168</v>
      </c>
      <c r="G72" s="253" t="s">
        <v>72</v>
      </c>
      <c r="H72" s="253" t="s">
        <v>26</v>
      </c>
      <c r="I72" s="253" t="s">
        <v>15</v>
      </c>
      <c r="J72" s="254" t="s">
        <v>516</v>
      </c>
      <c r="K72" s="255">
        <v>700000000</v>
      </c>
      <c r="L72" s="256" t="s">
        <v>2057</v>
      </c>
      <c r="M72" s="256" t="s">
        <v>14</v>
      </c>
    </row>
    <row r="73" spans="1:13">
      <c r="A73" s="251" t="s">
        <v>2465</v>
      </c>
      <c r="B73" s="257" t="s">
        <v>10151</v>
      </c>
      <c r="C73" s="251" t="s">
        <v>2467</v>
      </c>
      <c r="D73" s="252" t="s">
        <v>10152</v>
      </c>
      <c r="E73" s="252" t="s">
        <v>2469</v>
      </c>
      <c r="F73" s="252" t="s">
        <v>168</v>
      </c>
      <c r="G73" s="253" t="s">
        <v>72</v>
      </c>
      <c r="H73" s="253" t="s">
        <v>42</v>
      </c>
      <c r="I73" s="253" t="s">
        <v>15</v>
      </c>
      <c r="J73" s="254" t="s">
        <v>516</v>
      </c>
      <c r="K73" s="255">
        <v>700000000</v>
      </c>
      <c r="L73" s="256" t="s">
        <v>2057</v>
      </c>
      <c r="M73" s="256" t="s">
        <v>14</v>
      </c>
    </row>
    <row r="74" spans="1:13">
      <c r="A74" s="251" t="s">
        <v>2465</v>
      </c>
      <c r="B74" s="257" t="s">
        <v>10153</v>
      </c>
      <c r="C74" s="251" t="s">
        <v>2467</v>
      </c>
      <c r="D74" s="252" t="s">
        <v>10154</v>
      </c>
      <c r="E74" s="252" t="s">
        <v>2469</v>
      </c>
      <c r="F74" s="252" t="s">
        <v>168</v>
      </c>
      <c r="G74" s="253" t="s">
        <v>70</v>
      </c>
      <c r="H74" s="253" t="s">
        <v>26</v>
      </c>
      <c r="I74" s="253" t="s">
        <v>15</v>
      </c>
      <c r="J74" s="254" t="s">
        <v>516</v>
      </c>
      <c r="K74" s="255">
        <v>550000000</v>
      </c>
      <c r="L74" s="256" t="s">
        <v>2057</v>
      </c>
      <c r="M74" s="256" t="s">
        <v>14</v>
      </c>
    </row>
    <row r="75" spans="1:13">
      <c r="A75" s="251" t="s">
        <v>2465</v>
      </c>
      <c r="B75" s="257" t="s">
        <v>10153</v>
      </c>
      <c r="C75" s="251" t="s">
        <v>2467</v>
      </c>
      <c r="D75" s="252" t="s">
        <v>10154</v>
      </c>
      <c r="E75" s="252" t="s">
        <v>2469</v>
      </c>
      <c r="F75" s="252" t="s">
        <v>168</v>
      </c>
      <c r="G75" s="253" t="s">
        <v>70</v>
      </c>
      <c r="H75" s="253" t="s">
        <v>42</v>
      </c>
      <c r="I75" s="253" t="s">
        <v>15</v>
      </c>
      <c r="J75" s="254" t="s">
        <v>516</v>
      </c>
      <c r="K75" s="255">
        <v>550000000</v>
      </c>
      <c r="L75" s="256" t="s">
        <v>2057</v>
      </c>
      <c r="M75" s="256" t="s">
        <v>14</v>
      </c>
    </row>
    <row r="76" spans="1:13">
      <c r="A76" s="251" t="s">
        <v>2465</v>
      </c>
      <c r="B76" s="257" t="s">
        <v>10153</v>
      </c>
      <c r="C76" s="251" t="s">
        <v>2467</v>
      </c>
      <c r="D76" s="252" t="s">
        <v>10154</v>
      </c>
      <c r="E76" s="252" t="s">
        <v>2469</v>
      </c>
      <c r="F76" s="252" t="s">
        <v>168</v>
      </c>
      <c r="G76" s="253" t="s">
        <v>74</v>
      </c>
      <c r="H76" s="253" t="s">
        <v>26</v>
      </c>
      <c r="I76" s="253" t="s">
        <v>15</v>
      </c>
      <c r="J76" s="254" t="s">
        <v>516</v>
      </c>
      <c r="K76" s="255">
        <v>550000000</v>
      </c>
      <c r="L76" s="256" t="s">
        <v>2057</v>
      </c>
      <c r="M76" s="256" t="s">
        <v>14</v>
      </c>
    </row>
    <row r="77" spans="1:13">
      <c r="A77" s="251" t="s">
        <v>2465</v>
      </c>
      <c r="B77" s="257" t="s">
        <v>10153</v>
      </c>
      <c r="C77" s="251" t="s">
        <v>2467</v>
      </c>
      <c r="D77" s="252" t="s">
        <v>10154</v>
      </c>
      <c r="E77" s="252" t="s">
        <v>2469</v>
      </c>
      <c r="F77" s="252" t="s">
        <v>168</v>
      </c>
      <c r="G77" s="253" t="s">
        <v>74</v>
      </c>
      <c r="H77" s="253" t="s">
        <v>42</v>
      </c>
      <c r="I77" s="253" t="s">
        <v>15</v>
      </c>
      <c r="J77" s="254" t="s">
        <v>516</v>
      </c>
      <c r="K77" s="255">
        <v>550000000</v>
      </c>
      <c r="L77" s="256" t="s">
        <v>2057</v>
      </c>
      <c r="M77" s="256" t="s">
        <v>14</v>
      </c>
    </row>
    <row r="78" spans="1:13">
      <c r="A78" s="251" t="s">
        <v>2465</v>
      </c>
      <c r="B78" s="257" t="s">
        <v>10153</v>
      </c>
      <c r="C78" s="251" t="s">
        <v>2467</v>
      </c>
      <c r="D78" s="252" t="s">
        <v>10154</v>
      </c>
      <c r="E78" s="252" t="s">
        <v>2469</v>
      </c>
      <c r="F78" s="252" t="s">
        <v>168</v>
      </c>
      <c r="G78" s="253" t="s">
        <v>72</v>
      </c>
      <c r="H78" s="253" t="s">
        <v>26</v>
      </c>
      <c r="I78" s="253" t="s">
        <v>15</v>
      </c>
      <c r="J78" s="254" t="s">
        <v>516</v>
      </c>
      <c r="K78" s="255">
        <v>550000000</v>
      </c>
      <c r="L78" s="256" t="s">
        <v>2057</v>
      </c>
      <c r="M78" s="256" t="s">
        <v>14</v>
      </c>
    </row>
    <row r="79" spans="1:13">
      <c r="A79" s="251" t="s">
        <v>2465</v>
      </c>
      <c r="B79" s="257" t="s">
        <v>10153</v>
      </c>
      <c r="C79" s="251" t="s">
        <v>2467</v>
      </c>
      <c r="D79" s="252" t="s">
        <v>10154</v>
      </c>
      <c r="E79" s="252" t="s">
        <v>2469</v>
      </c>
      <c r="F79" s="252" t="s">
        <v>168</v>
      </c>
      <c r="G79" s="253" t="s">
        <v>72</v>
      </c>
      <c r="H79" s="253" t="s">
        <v>42</v>
      </c>
      <c r="I79" s="253" t="s">
        <v>15</v>
      </c>
      <c r="J79" s="254" t="s">
        <v>516</v>
      </c>
      <c r="K79" s="255">
        <v>550000000</v>
      </c>
      <c r="L79" s="256" t="s">
        <v>2057</v>
      </c>
      <c r="M79" s="256" t="s">
        <v>14</v>
      </c>
    </row>
    <row r="80" spans="1:13">
      <c r="A80" s="251" t="s">
        <v>2465</v>
      </c>
      <c r="B80" s="257" t="s">
        <v>10155</v>
      </c>
      <c r="C80" s="251" t="s">
        <v>2467</v>
      </c>
      <c r="D80" s="252" t="s">
        <v>10156</v>
      </c>
      <c r="E80" s="252" t="s">
        <v>2469</v>
      </c>
      <c r="F80" s="252" t="s">
        <v>168</v>
      </c>
      <c r="G80" s="253" t="s">
        <v>70</v>
      </c>
      <c r="H80" s="253" t="s">
        <v>26</v>
      </c>
      <c r="I80" s="253" t="s">
        <v>15</v>
      </c>
      <c r="J80" s="254" t="s">
        <v>516</v>
      </c>
      <c r="K80" s="255">
        <v>900000000</v>
      </c>
      <c r="L80" s="256" t="s">
        <v>2057</v>
      </c>
      <c r="M80" s="256" t="s">
        <v>14</v>
      </c>
    </row>
    <row r="81" spans="1:13">
      <c r="A81" s="251" t="s">
        <v>2465</v>
      </c>
      <c r="B81" s="257" t="s">
        <v>10155</v>
      </c>
      <c r="C81" s="251" t="s">
        <v>2467</v>
      </c>
      <c r="D81" s="252" t="s">
        <v>10156</v>
      </c>
      <c r="E81" s="252" t="s">
        <v>2469</v>
      </c>
      <c r="F81" s="252" t="s">
        <v>168</v>
      </c>
      <c r="G81" s="253" t="s">
        <v>70</v>
      </c>
      <c r="H81" s="253" t="s">
        <v>42</v>
      </c>
      <c r="I81" s="253" t="s">
        <v>15</v>
      </c>
      <c r="J81" s="254" t="s">
        <v>516</v>
      </c>
      <c r="K81" s="255">
        <v>900000000</v>
      </c>
      <c r="L81" s="256" t="s">
        <v>2057</v>
      </c>
      <c r="M81" s="256" t="s">
        <v>14</v>
      </c>
    </row>
    <row r="82" spans="1:13">
      <c r="A82" s="251" t="s">
        <v>2465</v>
      </c>
      <c r="B82" s="257" t="s">
        <v>10155</v>
      </c>
      <c r="C82" s="251" t="s">
        <v>2467</v>
      </c>
      <c r="D82" s="252" t="s">
        <v>10156</v>
      </c>
      <c r="E82" s="252" t="s">
        <v>2469</v>
      </c>
      <c r="F82" s="252" t="s">
        <v>168</v>
      </c>
      <c r="G82" s="253" t="s">
        <v>74</v>
      </c>
      <c r="H82" s="253" t="s">
        <v>26</v>
      </c>
      <c r="I82" s="253" t="s">
        <v>15</v>
      </c>
      <c r="J82" s="254" t="s">
        <v>516</v>
      </c>
      <c r="K82" s="255">
        <v>900000000</v>
      </c>
      <c r="L82" s="256" t="s">
        <v>2057</v>
      </c>
      <c r="M82" s="256" t="s">
        <v>14</v>
      </c>
    </row>
    <row r="83" spans="1:13">
      <c r="A83" s="251" t="s">
        <v>2465</v>
      </c>
      <c r="B83" s="257" t="s">
        <v>10155</v>
      </c>
      <c r="C83" s="251" t="s">
        <v>2467</v>
      </c>
      <c r="D83" s="252" t="s">
        <v>10156</v>
      </c>
      <c r="E83" s="252" t="s">
        <v>2469</v>
      </c>
      <c r="F83" s="252" t="s">
        <v>168</v>
      </c>
      <c r="G83" s="253" t="s">
        <v>74</v>
      </c>
      <c r="H83" s="253" t="s">
        <v>42</v>
      </c>
      <c r="I83" s="253" t="s">
        <v>15</v>
      </c>
      <c r="J83" s="254" t="s">
        <v>516</v>
      </c>
      <c r="K83" s="255">
        <v>900000000</v>
      </c>
      <c r="L83" s="256" t="s">
        <v>2057</v>
      </c>
      <c r="M83" s="256" t="s">
        <v>14</v>
      </c>
    </row>
    <row r="84" spans="1:13">
      <c r="A84" s="251" t="s">
        <v>2465</v>
      </c>
      <c r="B84" s="257" t="s">
        <v>10155</v>
      </c>
      <c r="C84" s="251" t="s">
        <v>2467</v>
      </c>
      <c r="D84" s="252" t="s">
        <v>10156</v>
      </c>
      <c r="E84" s="252" t="s">
        <v>2469</v>
      </c>
      <c r="F84" s="252" t="s">
        <v>168</v>
      </c>
      <c r="G84" s="253" t="s">
        <v>72</v>
      </c>
      <c r="H84" s="253" t="s">
        <v>26</v>
      </c>
      <c r="I84" s="253" t="s">
        <v>15</v>
      </c>
      <c r="J84" s="254" t="s">
        <v>516</v>
      </c>
      <c r="K84" s="255">
        <v>900000000</v>
      </c>
      <c r="L84" s="256" t="s">
        <v>2057</v>
      </c>
      <c r="M84" s="256" t="s">
        <v>14</v>
      </c>
    </row>
    <row r="85" spans="1:13">
      <c r="A85" s="251" t="s">
        <v>2465</v>
      </c>
      <c r="B85" s="257" t="s">
        <v>10155</v>
      </c>
      <c r="C85" s="251" t="s">
        <v>2467</v>
      </c>
      <c r="D85" s="252" t="s">
        <v>10156</v>
      </c>
      <c r="E85" s="252" t="s">
        <v>2469</v>
      </c>
      <c r="F85" s="252" t="s">
        <v>168</v>
      </c>
      <c r="G85" s="253" t="s">
        <v>72</v>
      </c>
      <c r="H85" s="253" t="s">
        <v>42</v>
      </c>
      <c r="I85" s="253" t="s">
        <v>15</v>
      </c>
      <c r="J85" s="254" t="s">
        <v>516</v>
      </c>
      <c r="K85" s="255">
        <v>900000000</v>
      </c>
      <c r="L85" s="256" t="s">
        <v>2057</v>
      </c>
      <c r="M85" s="256" t="s">
        <v>14</v>
      </c>
    </row>
    <row r="86" spans="1:13">
      <c r="A86" s="251" t="s">
        <v>2465</v>
      </c>
      <c r="B86" s="257" t="s">
        <v>10157</v>
      </c>
      <c r="C86" s="251" t="s">
        <v>2467</v>
      </c>
      <c r="D86" s="252" t="s">
        <v>10158</v>
      </c>
      <c r="E86" s="252" t="s">
        <v>2469</v>
      </c>
      <c r="F86" s="252" t="s">
        <v>168</v>
      </c>
      <c r="G86" s="253" t="s">
        <v>70</v>
      </c>
      <c r="H86" s="253" t="s">
        <v>26</v>
      </c>
      <c r="I86" s="253" t="s">
        <v>15</v>
      </c>
      <c r="J86" s="254" t="s">
        <v>516</v>
      </c>
      <c r="K86" s="255">
        <v>700000000</v>
      </c>
      <c r="L86" s="256" t="s">
        <v>2057</v>
      </c>
      <c r="M86" s="256" t="s">
        <v>14</v>
      </c>
    </row>
    <row r="87" spans="1:13">
      <c r="A87" s="251" t="s">
        <v>2465</v>
      </c>
      <c r="B87" s="257" t="s">
        <v>10157</v>
      </c>
      <c r="C87" s="251" t="s">
        <v>2467</v>
      </c>
      <c r="D87" s="252" t="s">
        <v>10158</v>
      </c>
      <c r="E87" s="252" t="s">
        <v>2469</v>
      </c>
      <c r="F87" s="252" t="s">
        <v>168</v>
      </c>
      <c r="G87" s="253" t="s">
        <v>70</v>
      </c>
      <c r="H87" s="253" t="s">
        <v>42</v>
      </c>
      <c r="I87" s="253" t="s">
        <v>15</v>
      </c>
      <c r="J87" s="254" t="s">
        <v>516</v>
      </c>
      <c r="K87" s="255">
        <v>700000000</v>
      </c>
      <c r="L87" s="256" t="s">
        <v>2057</v>
      </c>
      <c r="M87" s="256" t="s">
        <v>14</v>
      </c>
    </row>
    <row r="88" spans="1:13">
      <c r="A88" s="251" t="s">
        <v>2465</v>
      </c>
      <c r="B88" s="257" t="s">
        <v>10157</v>
      </c>
      <c r="C88" s="251" t="s">
        <v>2467</v>
      </c>
      <c r="D88" s="252" t="s">
        <v>10158</v>
      </c>
      <c r="E88" s="252" t="s">
        <v>2469</v>
      </c>
      <c r="F88" s="252" t="s">
        <v>168</v>
      </c>
      <c r="G88" s="253" t="s">
        <v>74</v>
      </c>
      <c r="H88" s="253" t="s">
        <v>26</v>
      </c>
      <c r="I88" s="253" t="s">
        <v>15</v>
      </c>
      <c r="J88" s="254" t="s">
        <v>516</v>
      </c>
      <c r="K88" s="255">
        <v>700000000</v>
      </c>
      <c r="L88" s="256" t="s">
        <v>2057</v>
      </c>
      <c r="M88" s="256" t="s">
        <v>14</v>
      </c>
    </row>
    <row r="89" spans="1:13">
      <c r="A89" s="251" t="s">
        <v>2465</v>
      </c>
      <c r="B89" s="257" t="s">
        <v>10157</v>
      </c>
      <c r="C89" s="251" t="s">
        <v>2467</v>
      </c>
      <c r="D89" s="252" t="s">
        <v>10158</v>
      </c>
      <c r="E89" s="252" t="s">
        <v>2469</v>
      </c>
      <c r="F89" s="252" t="s">
        <v>168</v>
      </c>
      <c r="G89" s="253" t="s">
        <v>74</v>
      </c>
      <c r="H89" s="253" t="s">
        <v>42</v>
      </c>
      <c r="I89" s="253" t="s">
        <v>15</v>
      </c>
      <c r="J89" s="254" t="s">
        <v>516</v>
      </c>
      <c r="K89" s="255">
        <v>700000000</v>
      </c>
      <c r="L89" s="256" t="s">
        <v>2057</v>
      </c>
      <c r="M89" s="256" t="s">
        <v>14</v>
      </c>
    </row>
    <row r="90" spans="1:13">
      <c r="A90" s="251" t="s">
        <v>2465</v>
      </c>
      <c r="B90" s="257" t="s">
        <v>10157</v>
      </c>
      <c r="C90" s="251" t="s">
        <v>2467</v>
      </c>
      <c r="D90" s="252" t="s">
        <v>10158</v>
      </c>
      <c r="E90" s="252" t="s">
        <v>2469</v>
      </c>
      <c r="F90" s="252" t="s">
        <v>168</v>
      </c>
      <c r="G90" s="253" t="s">
        <v>72</v>
      </c>
      <c r="H90" s="253" t="s">
        <v>26</v>
      </c>
      <c r="I90" s="253" t="s">
        <v>15</v>
      </c>
      <c r="J90" s="254" t="s">
        <v>516</v>
      </c>
      <c r="K90" s="255">
        <v>700000000</v>
      </c>
      <c r="L90" s="256" t="s">
        <v>2057</v>
      </c>
      <c r="M90" s="256" t="s">
        <v>14</v>
      </c>
    </row>
    <row r="91" spans="1:13">
      <c r="A91" s="251" t="s">
        <v>2465</v>
      </c>
      <c r="B91" s="257" t="s">
        <v>10157</v>
      </c>
      <c r="C91" s="251" t="s">
        <v>2467</v>
      </c>
      <c r="D91" s="252" t="s">
        <v>10158</v>
      </c>
      <c r="E91" s="252" t="s">
        <v>2469</v>
      </c>
      <c r="F91" s="252" t="s">
        <v>168</v>
      </c>
      <c r="G91" s="253" t="s">
        <v>72</v>
      </c>
      <c r="H91" s="253" t="s">
        <v>42</v>
      </c>
      <c r="I91" s="253" t="s">
        <v>15</v>
      </c>
      <c r="J91" s="254" t="s">
        <v>516</v>
      </c>
      <c r="K91" s="255">
        <v>700000000</v>
      </c>
      <c r="L91" s="256" t="s">
        <v>2057</v>
      </c>
      <c r="M91" s="256" t="s">
        <v>14</v>
      </c>
    </row>
    <row r="92" spans="1:13">
      <c r="A92" s="251" t="s">
        <v>2465</v>
      </c>
      <c r="B92" s="257" t="s">
        <v>10159</v>
      </c>
      <c r="C92" s="251" t="s">
        <v>2467</v>
      </c>
      <c r="D92" s="252" t="s">
        <v>10160</v>
      </c>
      <c r="E92" s="252" t="s">
        <v>2469</v>
      </c>
      <c r="F92" s="252" t="s">
        <v>168</v>
      </c>
      <c r="G92" s="253" t="s">
        <v>70</v>
      </c>
      <c r="H92" s="253" t="s">
        <v>26</v>
      </c>
      <c r="I92" s="253" t="s">
        <v>15</v>
      </c>
      <c r="J92" s="254" t="s">
        <v>516</v>
      </c>
      <c r="K92" s="255">
        <v>550000000</v>
      </c>
      <c r="L92" s="256" t="s">
        <v>2057</v>
      </c>
      <c r="M92" s="256" t="s">
        <v>14</v>
      </c>
    </row>
    <row r="93" spans="1:13">
      <c r="A93" s="251" t="s">
        <v>2465</v>
      </c>
      <c r="B93" s="257" t="s">
        <v>10159</v>
      </c>
      <c r="C93" s="251" t="s">
        <v>2467</v>
      </c>
      <c r="D93" s="252" t="s">
        <v>10160</v>
      </c>
      <c r="E93" s="252" t="s">
        <v>2469</v>
      </c>
      <c r="F93" s="252" t="s">
        <v>168</v>
      </c>
      <c r="G93" s="253" t="s">
        <v>70</v>
      </c>
      <c r="H93" s="253" t="s">
        <v>42</v>
      </c>
      <c r="I93" s="253" t="s">
        <v>15</v>
      </c>
      <c r="J93" s="254" t="s">
        <v>516</v>
      </c>
      <c r="K93" s="255">
        <v>550000000</v>
      </c>
      <c r="L93" s="256" t="s">
        <v>2057</v>
      </c>
      <c r="M93" s="256" t="s">
        <v>14</v>
      </c>
    </row>
    <row r="94" spans="1:13">
      <c r="A94" s="251" t="s">
        <v>2465</v>
      </c>
      <c r="B94" s="257" t="s">
        <v>10159</v>
      </c>
      <c r="C94" s="251" t="s">
        <v>2467</v>
      </c>
      <c r="D94" s="252" t="s">
        <v>10160</v>
      </c>
      <c r="E94" s="252" t="s">
        <v>2469</v>
      </c>
      <c r="F94" s="252" t="s">
        <v>168</v>
      </c>
      <c r="G94" s="253" t="s">
        <v>74</v>
      </c>
      <c r="H94" s="253" t="s">
        <v>26</v>
      </c>
      <c r="I94" s="253" t="s">
        <v>15</v>
      </c>
      <c r="J94" s="254" t="s">
        <v>516</v>
      </c>
      <c r="K94" s="255">
        <v>550000000</v>
      </c>
      <c r="L94" s="256" t="s">
        <v>2057</v>
      </c>
      <c r="M94" s="256" t="s">
        <v>14</v>
      </c>
    </row>
    <row r="95" spans="1:13">
      <c r="A95" s="251" t="s">
        <v>2465</v>
      </c>
      <c r="B95" s="257" t="s">
        <v>10159</v>
      </c>
      <c r="C95" s="251" t="s">
        <v>2467</v>
      </c>
      <c r="D95" s="252" t="s">
        <v>10160</v>
      </c>
      <c r="E95" s="252" t="s">
        <v>2469</v>
      </c>
      <c r="F95" s="252" t="s">
        <v>168</v>
      </c>
      <c r="G95" s="253" t="s">
        <v>74</v>
      </c>
      <c r="H95" s="253" t="s">
        <v>42</v>
      </c>
      <c r="I95" s="253" t="s">
        <v>15</v>
      </c>
      <c r="J95" s="254" t="s">
        <v>516</v>
      </c>
      <c r="K95" s="255">
        <v>550000000</v>
      </c>
      <c r="L95" s="256" t="s">
        <v>2057</v>
      </c>
      <c r="M95" s="256" t="s">
        <v>14</v>
      </c>
    </row>
    <row r="96" spans="1:13">
      <c r="A96" s="251" t="s">
        <v>2465</v>
      </c>
      <c r="B96" s="257" t="s">
        <v>10159</v>
      </c>
      <c r="C96" s="251" t="s">
        <v>2467</v>
      </c>
      <c r="D96" s="252" t="s">
        <v>10160</v>
      </c>
      <c r="E96" s="252" t="s">
        <v>2469</v>
      </c>
      <c r="F96" s="252" t="s">
        <v>168</v>
      </c>
      <c r="G96" s="253" t="s">
        <v>72</v>
      </c>
      <c r="H96" s="253" t="s">
        <v>26</v>
      </c>
      <c r="I96" s="253" t="s">
        <v>15</v>
      </c>
      <c r="J96" s="254" t="s">
        <v>516</v>
      </c>
      <c r="K96" s="255">
        <v>550000000</v>
      </c>
      <c r="L96" s="256" t="s">
        <v>2057</v>
      </c>
      <c r="M96" s="256" t="s">
        <v>14</v>
      </c>
    </row>
    <row r="97" spans="1:13">
      <c r="A97" s="251" t="s">
        <v>2465</v>
      </c>
      <c r="B97" s="257" t="s">
        <v>10159</v>
      </c>
      <c r="C97" s="251" t="s">
        <v>2467</v>
      </c>
      <c r="D97" s="252" t="s">
        <v>10160</v>
      </c>
      <c r="E97" s="252" t="s">
        <v>2469</v>
      </c>
      <c r="F97" s="252" t="s">
        <v>168</v>
      </c>
      <c r="G97" s="253" t="s">
        <v>72</v>
      </c>
      <c r="H97" s="253" t="s">
        <v>42</v>
      </c>
      <c r="I97" s="253" t="s">
        <v>15</v>
      </c>
      <c r="J97" s="254" t="s">
        <v>516</v>
      </c>
      <c r="K97" s="255">
        <v>550000000</v>
      </c>
      <c r="L97" s="256" t="s">
        <v>2057</v>
      </c>
      <c r="M97" s="256" t="s">
        <v>14</v>
      </c>
    </row>
    <row r="98" spans="1:13">
      <c r="A98" s="251" t="s">
        <v>2465</v>
      </c>
      <c r="B98" s="251" t="s">
        <v>2489</v>
      </c>
      <c r="C98" s="251" t="s">
        <v>2467</v>
      </c>
      <c r="D98" s="252" t="s">
        <v>2468</v>
      </c>
      <c r="E98" s="252" t="s">
        <v>2469</v>
      </c>
      <c r="F98" s="252" t="s">
        <v>1098</v>
      </c>
      <c r="G98" s="253" t="s">
        <v>70</v>
      </c>
      <c r="H98" s="253" t="s">
        <v>26</v>
      </c>
      <c r="I98" s="253" t="s">
        <v>15</v>
      </c>
      <c r="J98" s="254" t="s">
        <v>2490</v>
      </c>
      <c r="K98" s="255">
        <v>92200000</v>
      </c>
      <c r="L98" s="256" t="s">
        <v>173</v>
      </c>
      <c r="M98" s="256" t="s">
        <v>14</v>
      </c>
    </row>
    <row r="99" spans="1:13">
      <c r="A99" s="251" t="s">
        <v>2465</v>
      </c>
      <c r="B99" s="251" t="s">
        <v>2491</v>
      </c>
      <c r="C99" s="251" t="s">
        <v>2467</v>
      </c>
      <c r="D99" s="252" t="s">
        <v>2468</v>
      </c>
      <c r="E99" s="252" t="s">
        <v>2469</v>
      </c>
      <c r="F99" s="252" t="s">
        <v>1098</v>
      </c>
      <c r="G99" s="253" t="s">
        <v>70</v>
      </c>
      <c r="H99" s="253" t="s">
        <v>42</v>
      </c>
      <c r="I99" s="253" t="s">
        <v>15</v>
      </c>
      <c r="J99" s="254" t="s">
        <v>2490</v>
      </c>
      <c r="K99" s="255">
        <v>92200000</v>
      </c>
      <c r="L99" s="256" t="s">
        <v>173</v>
      </c>
      <c r="M99" s="256" t="s">
        <v>14</v>
      </c>
    </row>
    <row r="100" spans="1:13">
      <c r="A100" s="251" t="s">
        <v>2465</v>
      </c>
      <c r="B100" s="251" t="s">
        <v>2492</v>
      </c>
      <c r="C100" s="251" t="s">
        <v>2467</v>
      </c>
      <c r="D100" s="252" t="s">
        <v>2468</v>
      </c>
      <c r="E100" s="252" t="s">
        <v>2469</v>
      </c>
      <c r="F100" s="252" t="s">
        <v>1098</v>
      </c>
      <c r="G100" s="253" t="s">
        <v>74</v>
      </c>
      <c r="H100" s="253" t="s">
        <v>26</v>
      </c>
      <c r="I100" s="253" t="s">
        <v>15</v>
      </c>
      <c r="J100" s="254" t="s">
        <v>2490</v>
      </c>
      <c r="K100" s="255">
        <v>92200000</v>
      </c>
      <c r="L100" s="256" t="s">
        <v>173</v>
      </c>
      <c r="M100" s="256" t="s">
        <v>14</v>
      </c>
    </row>
    <row r="101" spans="1:13">
      <c r="A101" s="251" t="s">
        <v>2465</v>
      </c>
      <c r="B101" s="251" t="s">
        <v>2493</v>
      </c>
      <c r="C101" s="251" t="s">
        <v>2467</v>
      </c>
      <c r="D101" s="252" t="s">
        <v>2468</v>
      </c>
      <c r="E101" s="252" t="s">
        <v>2469</v>
      </c>
      <c r="F101" s="252" t="s">
        <v>1098</v>
      </c>
      <c r="G101" s="253" t="s">
        <v>74</v>
      </c>
      <c r="H101" s="253" t="s">
        <v>42</v>
      </c>
      <c r="I101" s="253" t="s">
        <v>15</v>
      </c>
      <c r="J101" s="254" t="s">
        <v>2490</v>
      </c>
      <c r="K101" s="255">
        <v>92200000</v>
      </c>
      <c r="L101" s="256" t="s">
        <v>173</v>
      </c>
      <c r="M101" s="256" t="s">
        <v>14</v>
      </c>
    </row>
    <row r="102" spans="1:13">
      <c r="A102" s="251" t="s">
        <v>2465</v>
      </c>
      <c r="B102" s="251" t="s">
        <v>2494</v>
      </c>
      <c r="C102" s="251" t="s">
        <v>2467</v>
      </c>
      <c r="D102" s="252" t="s">
        <v>2468</v>
      </c>
      <c r="E102" s="252" t="s">
        <v>2469</v>
      </c>
      <c r="F102" s="252" t="s">
        <v>1098</v>
      </c>
      <c r="G102" s="253" t="s">
        <v>72</v>
      </c>
      <c r="H102" s="253" t="s">
        <v>26</v>
      </c>
      <c r="I102" s="253" t="s">
        <v>15</v>
      </c>
      <c r="J102" s="254" t="s">
        <v>2490</v>
      </c>
      <c r="K102" s="255">
        <v>92200000</v>
      </c>
      <c r="L102" s="256" t="s">
        <v>173</v>
      </c>
      <c r="M102" s="256" t="s">
        <v>14</v>
      </c>
    </row>
    <row r="103" spans="1:13">
      <c r="A103" s="251" t="s">
        <v>2465</v>
      </c>
      <c r="B103" s="251" t="s">
        <v>2495</v>
      </c>
      <c r="C103" s="251" t="s">
        <v>2467</v>
      </c>
      <c r="D103" s="252" t="s">
        <v>2468</v>
      </c>
      <c r="E103" s="252" t="s">
        <v>2469</v>
      </c>
      <c r="F103" s="252" t="s">
        <v>1098</v>
      </c>
      <c r="G103" s="253" t="s">
        <v>72</v>
      </c>
      <c r="H103" s="253" t="s">
        <v>42</v>
      </c>
      <c r="I103" s="253" t="s">
        <v>15</v>
      </c>
      <c r="J103" s="254" t="s">
        <v>2490</v>
      </c>
      <c r="K103" s="255">
        <v>92200000</v>
      </c>
      <c r="L103" s="256" t="s">
        <v>173</v>
      </c>
      <c r="M103" s="256" t="s">
        <v>14</v>
      </c>
    </row>
    <row r="104" spans="1:13">
      <c r="A104" s="251" t="s">
        <v>2465</v>
      </c>
      <c r="B104" s="251" t="s">
        <v>2496</v>
      </c>
      <c r="C104" s="251" t="s">
        <v>2467</v>
      </c>
      <c r="D104" s="252" t="s">
        <v>2476</v>
      </c>
      <c r="E104" s="252" t="s">
        <v>2469</v>
      </c>
      <c r="F104" s="252" t="s">
        <v>1098</v>
      </c>
      <c r="G104" s="253" t="s">
        <v>70</v>
      </c>
      <c r="H104" s="253" t="s">
        <v>26</v>
      </c>
      <c r="I104" s="253" t="s">
        <v>15</v>
      </c>
      <c r="J104" s="254" t="s">
        <v>2490</v>
      </c>
      <c r="K104" s="255">
        <v>133450000</v>
      </c>
      <c r="L104" s="256" t="s">
        <v>173</v>
      </c>
      <c r="M104" s="256" t="s">
        <v>14</v>
      </c>
    </row>
    <row r="105" spans="1:13">
      <c r="A105" s="251" t="s">
        <v>2465</v>
      </c>
      <c r="B105" s="251" t="s">
        <v>2497</v>
      </c>
      <c r="C105" s="251" t="s">
        <v>2467</v>
      </c>
      <c r="D105" s="252" t="s">
        <v>2476</v>
      </c>
      <c r="E105" s="252" t="s">
        <v>2469</v>
      </c>
      <c r="F105" s="252" t="s">
        <v>1098</v>
      </c>
      <c r="G105" s="253" t="s">
        <v>70</v>
      </c>
      <c r="H105" s="253" t="s">
        <v>42</v>
      </c>
      <c r="I105" s="253" t="s">
        <v>15</v>
      </c>
      <c r="J105" s="254" t="s">
        <v>2490</v>
      </c>
      <c r="K105" s="255">
        <v>133450000</v>
      </c>
      <c r="L105" s="256" t="s">
        <v>173</v>
      </c>
      <c r="M105" s="256" t="s">
        <v>14</v>
      </c>
    </row>
    <row r="106" spans="1:13">
      <c r="A106" s="251" t="s">
        <v>2465</v>
      </c>
      <c r="B106" s="251" t="s">
        <v>2498</v>
      </c>
      <c r="C106" s="251" t="s">
        <v>2467</v>
      </c>
      <c r="D106" s="252" t="s">
        <v>2476</v>
      </c>
      <c r="E106" s="252" t="s">
        <v>2469</v>
      </c>
      <c r="F106" s="252" t="s">
        <v>1098</v>
      </c>
      <c r="G106" s="253" t="s">
        <v>74</v>
      </c>
      <c r="H106" s="253" t="s">
        <v>26</v>
      </c>
      <c r="I106" s="253" t="s">
        <v>15</v>
      </c>
      <c r="J106" s="254" t="s">
        <v>2490</v>
      </c>
      <c r="K106" s="255">
        <v>133450000</v>
      </c>
      <c r="L106" s="256" t="s">
        <v>173</v>
      </c>
      <c r="M106" s="256" t="s">
        <v>14</v>
      </c>
    </row>
    <row r="107" spans="1:13">
      <c r="A107" s="251" t="s">
        <v>2465</v>
      </c>
      <c r="B107" s="251" t="s">
        <v>2499</v>
      </c>
      <c r="C107" s="251" t="s">
        <v>2467</v>
      </c>
      <c r="D107" s="252" t="s">
        <v>2476</v>
      </c>
      <c r="E107" s="252" t="s">
        <v>2469</v>
      </c>
      <c r="F107" s="252" t="s">
        <v>1098</v>
      </c>
      <c r="G107" s="253" t="s">
        <v>74</v>
      </c>
      <c r="H107" s="253" t="s">
        <v>42</v>
      </c>
      <c r="I107" s="253" t="s">
        <v>15</v>
      </c>
      <c r="J107" s="254" t="s">
        <v>2490</v>
      </c>
      <c r="K107" s="255">
        <v>133450000</v>
      </c>
      <c r="L107" s="256" t="s">
        <v>173</v>
      </c>
      <c r="M107" s="256" t="s">
        <v>14</v>
      </c>
    </row>
    <row r="108" spans="1:13">
      <c r="A108" s="251" t="s">
        <v>2465</v>
      </c>
      <c r="B108" s="251" t="s">
        <v>2500</v>
      </c>
      <c r="C108" s="251" t="s">
        <v>2467</v>
      </c>
      <c r="D108" s="252" t="s">
        <v>2476</v>
      </c>
      <c r="E108" s="252" t="s">
        <v>2469</v>
      </c>
      <c r="F108" s="252" t="s">
        <v>1098</v>
      </c>
      <c r="G108" s="253" t="s">
        <v>72</v>
      </c>
      <c r="H108" s="253" t="s">
        <v>26</v>
      </c>
      <c r="I108" s="253" t="s">
        <v>15</v>
      </c>
      <c r="J108" s="254" t="s">
        <v>2490</v>
      </c>
      <c r="K108" s="255">
        <v>133450000</v>
      </c>
      <c r="L108" s="256" t="s">
        <v>173</v>
      </c>
      <c r="M108" s="256" t="s">
        <v>14</v>
      </c>
    </row>
    <row r="109" spans="1:13">
      <c r="A109" s="251" t="s">
        <v>2465</v>
      </c>
      <c r="B109" s="251" t="s">
        <v>2501</v>
      </c>
      <c r="C109" s="251" t="s">
        <v>2467</v>
      </c>
      <c r="D109" s="252" t="s">
        <v>2476</v>
      </c>
      <c r="E109" s="252" t="s">
        <v>2469</v>
      </c>
      <c r="F109" s="252" t="s">
        <v>1098</v>
      </c>
      <c r="G109" s="253" t="s">
        <v>72</v>
      </c>
      <c r="H109" s="253" t="s">
        <v>42</v>
      </c>
      <c r="I109" s="253" t="s">
        <v>15</v>
      </c>
      <c r="J109" s="254" t="s">
        <v>2490</v>
      </c>
      <c r="K109" s="255">
        <v>133450000</v>
      </c>
      <c r="L109" s="256" t="s">
        <v>173</v>
      </c>
      <c r="M109" s="256" t="s">
        <v>14</v>
      </c>
    </row>
    <row r="110" spans="1:13">
      <c r="A110" s="251" t="s">
        <v>2465</v>
      </c>
      <c r="B110" s="251" t="s">
        <v>2502</v>
      </c>
      <c r="C110" s="251" t="s">
        <v>2467</v>
      </c>
      <c r="D110" s="252" t="s">
        <v>2483</v>
      </c>
      <c r="E110" s="252" t="s">
        <v>2469</v>
      </c>
      <c r="F110" s="252" t="s">
        <v>1098</v>
      </c>
      <c r="G110" s="253" t="s">
        <v>70</v>
      </c>
      <c r="H110" s="253" t="s">
        <v>26</v>
      </c>
      <c r="I110" s="253" t="s">
        <v>15</v>
      </c>
      <c r="J110" s="254" t="s">
        <v>2490</v>
      </c>
      <c r="K110" s="255">
        <v>157650000</v>
      </c>
      <c r="L110" s="256" t="s">
        <v>173</v>
      </c>
      <c r="M110" s="256" t="s">
        <v>14</v>
      </c>
    </row>
    <row r="111" spans="1:13">
      <c r="A111" s="251" t="s">
        <v>2465</v>
      </c>
      <c r="B111" s="251" t="s">
        <v>2503</v>
      </c>
      <c r="C111" s="251" t="s">
        <v>2467</v>
      </c>
      <c r="D111" s="252" t="s">
        <v>2483</v>
      </c>
      <c r="E111" s="252" t="s">
        <v>2469</v>
      </c>
      <c r="F111" s="252" t="s">
        <v>1098</v>
      </c>
      <c r="G111" s="253" t="s">
        <v>70</v>
      </c>
      <c r="H111" s="253" t="s">
        <v>42</v>
      </c>
      <c r="I111" s="253" t="s">
        <v>15</v>
      </c>
      <c r="J111" s="254" t="s">
        <v>2490</v>
      </c>
      <c r="K111" s="255">
        <v>157650000</v>
      </c>
      <c r="L111" s="256" t="s">
        <v>173</v>
      </c>
      <c r="M111" s="256" t="s">
        <v>14</v>
      </c>
    </row>
    <row r="112" spans="1:13">
      <c r="A112" s="251" t="s">
        <v>2465</v>
      </c>
      <c r="B112" s="251" t="s">
        <v>2504</v>
      </c>
      <c r="C112" s="251" t="s">
        <v>2467</v>
      </c>
      <c r="D112" s="252" t="s">
        <v>2483</v>
      </c>
      <c r="E112" s="252" t="s">
        <v>2469</v>
      </c>
      <c r="F112" s="252" t="s">
        <v>1098</v>
      </c>
      <c r="G112" s="253" t="s">
        <v>74</v>
      </c>
      <c r="H112" s="253" t="s">
        <v>26</v>
      </c>
      <c r="I112" s="253" t="s">
        <v>15</v>
      </c>
      <c r="J112" s="254" t="s">
        <v>2490</v>
      </c>
      <c r="K112" s="255">
        <v>157650000</v>
      </c>
      <c r="L112" s="256" t="s">
        <v>173</v>
      </c>
      <c r="M112" s="256" t="s">
        <v>14</v>
      </c>
    </row>
    <row r="113" spans="1:13">
      <c r="A113" s="251" t="s">
        <v>2465</v>
      </c>
      <c r="B113" s="251" t="s">
        <v>2505</v>
      </c>
      <c r="C113" s="251" t="s">
        <v>2467</v>
      </c>
      <c r="D113" s="252" t="s">
        <v>2483</v>
      </c>
      <c r="E113" s="252" t="s">
        <v>2469</v>
      </c>
      <c r="F113" s="252" t="s">
        <v>1098</v>
      </c>
      <c r="G113" s="253" t="s">
        <v>74</v>
      </c>
      <c r="H113" s="253" t="s">
        <v>42</v>
      </c>
      <c r="I113" s="253" t="s">
        <v>15</v>
      </c>
      <c r="J113" s="254" t="s">
        <v>2490</v>
      </c>
      <c r="K113" s="255">
        <v>157650000</v>
      </c>
      <c r="L113" s="256" t="s">
        <v>173</v>
      </c>
      <c r="M113" s="256" t="s">
        <v>14</v>
      </c>
    </row>
    <row r="114" spans="1:13">
      <c r="A114" s="251" t="s">
        <v>2465</v>
      </c>
      <c r="B114" s="251" t="s">
        <v>2506</v>
      </c>
      <c r="C114" s="251" t="s">
        <v>2467</v>
      </c>
      <c r="D114" s="252" t="s">
        <v>2483</v>
      </c>
      <c r="E114" s="252" t="s">
        <v>2469</v>
      </c>
      <c r="F114" s="252" t="s">
        <v>1098</v>
      </c>
      <c r="G114" s="253" t="s">
        <v>72</v>
      </c>
      <c r="H114" s="253" t="s">
        <v>26</v>
      </c>
      <c r="I114" s="253" t="s">
        <v>15</v>
      </c>
      <c r="J114" s="254" t="s">
        <v>2490</v>
      </c>
      <c r="K114" s="255">
        <v>157650000</v>
      </c>
      <c r="L114" s="256" t="s">
        <v>173</v>
      </c>
      <c r="M114" s="256" t="s">
        <v>14</v>
      </c>
    </row>
    <row r="115" spans="1:13">
      <c r="A115" s="251" t="s">
        <v>2465</v>
      </c>
      <c r="B115" s="251" t="s">
        <v>2507</v>
      </c>
      <c r="C115" s="251" t="s">
        <v>2467</v>
      </c>
      <c r="D115" s="252" t="s">
        <v>2483</v>
      </c>
      <c r="E115" s="252" t="s">
        <v>2469</v>
      </c>
      <c r="F115" s="252" t="s">
        <v>1098</v>
      </c>
      <c r="G115" s="253" t="s">
        <v>72</v>
      </c>
      <c r="H115" s="253" t="s">
        <v>42</v>
      </c>
      <c r="I115" s="253" t="s">
        <v>15</v>
      </c>
      <c r="J115" s="254" t="s">
        <v>2490</v>
      </c>
      <c r="K115" s="255">
        <v>157650000</v>
      </c>
      <c r="L115" s="256" t="s">
        <v>173</v>
      </c>
      <c r="M115" s="256" t="s">
        <v>14</v>
      </c>
    </row>
    <row r="116" spans="1:13">
      <c r="A116" s="251" t="s">
        <v>2465</v>
      </c>
      <c r="B116" s="251" t="s">
        <v>10161</v>
      </c>
      <c r="C116" s="251" t="s">
        <v>2467</v>
      </c>
      <c r="D116" s="252" t="s">
        <v>10136</v>
      </c>
      <c r="E116" s="252" t="s">
        <v>2469</v>
      </c>
      <c r="F116" s="252" t="s">
        <v>1098</v>
      </c>
      <c r="G116" s="253" t="s">
        <v>70</v>
      </c>
      <c r="H116" s="253" t="s">
        <v>26</v>
      </c>
      <c r="I116" s="253" t="s">
        <v>15</v>
      </c>
      <c r="J116" s="254" t="s">
        <v>2490</v>
      </c>
      <c r="K116" s="255">
        <v>130000000</v>
      </c>
      <c r="L116" s="256" t="s">
        <v>173</v>
      </c>
      <c r="M116" s="256" t="s">
        <v>14</v>
      </c>
    </row>
    <row r="117" spans="1:13">
      <c r="A117" s="251" t="s">
        <v>2465</v>
      </c>
      <c r="B117" s="251" t="s">
        <v>10161</v>
      </c>
      <c r="C117" s="251" t="s">
        <v>2467</v>
      </c>
      <c r="D117" s="252" t="s">
        <v>10136</v>
      </c>
      <c r="E117" s="252" t="s">
        <v>2469</v>
      </c>
      <c r="F117" s="252" t="s">
        <v>1098</v>
      </c>
      <c r="G117" s="253" t="s">
        <v>70</v>
      </c>
      <c r="H117" s="253" t="s">
        <v>42</v>
      </c>
      <c r="I117" s="253" t="s">
        <v>15</v>
      </c>
      <c r="J117" s="254" t="s">
        <v>2490</v>
      </c>
      <c r="K117" s="255">
        <v>130000000</v>
      </c>
      <c r="L117" s="256" t="s">
        <v>173</v>
      </c>
      <c r="M117" s="256" t="s">
        <v>14</v>
      </c>
    </row>
    <row r="118" spans="1:13">
      <c r="A118" s="251" t="s">
        <v>2465</v>
      </c>
      <c r="B118" s="251" t="s">
        <v>10161</v>
      </c>
      <c r="C118" s="251" t="s">
        <v>2467</v>
      </c>
      <c r="D118" s="252" t="s">
        <v>10136</v>
      </c>
      <c r="E118" s="252" t="s">
        <v>2469</v>
      </c>
      <c r="F118" s="252" t="s">
        <v>1098</v>
      </c>
      <c r="G118" s="253" t="s">
        <v>74</v>
      </c>
      <c r="H118" s="253" t="s">
        <v>26</v>
      </c>
      <c r="I118" s="253" t="s">
        <v>15</v>
      </c>
      <c r="J118" s="254" t="s">
        <v>2490</v>
      </c>
      <c r="K118" s="255">
        <v>130000000</v>
      </c>
      <c r="L118" s="256" t="s">
        <v>173</v>
      </c>
      <c r="M118" s="256" t="s">
        <v>14</v>
      </c>
    </row>
    <row r="119" spans="1:13">
      <c r="A119" s="251" t="s">
        <v>2465</v>
      </c>
      <c r="B119" s="251" t="s">
        <v>10161</v>
      </c>
      <c r="C119" s="251" t="s">
        <v>2467</v>
      </c>
      <c r="D119" s="252" t="s">
        <v>10136</v>
      </c>
      <c r="E119" s="252" t="s">
        <v>2469</v>
      </c>
      <c r="F119" s="252" t="s">
        <v>1098</v>
      </c>
      <c r="G119" s="253" t="s">
        <v>74</v>
      </c>
      <c r="H119" s="253" t="s">
        <v>42</v>
      </c>
      <c r="I119" s="253" t="s">
        <v>15</v>
      </c>
      <c r="J119" s="254" t="s">
        <v>2490</v>
      </c>
      <c r="K119" s="255">
        <v>130000000</v>
      </c>
      <c r="L119" s="256" t="s">
        <v>173</v>
      </c>
      <c r="M119" s="256" t="s">
        <v>14</v>
      </c>
    </row>
    <row r="120" spans="1:13">
      <c r="A120" s="251" t="s">
        <v>2465</v>
      </c>
      <c r="B120" s="251" t="s">
        <v>10161</v>
      </c>
      <c r="C120" s="251" t="s">
        <v>2467</v>
      </c>
      <c r="D120" s="252" t="s">
        <v>10136</v>
      </c>
      <c r="E120" s="252" t="s">
        <v>2469</v>
      </c>
      <c r="F120" s="252" t="s">
        <v>1098</v>
      </c>
      <c r="G120" s="253" t="s">
        <v>72</v>
      </c>
      <c r="H120" s="253" t="s">
        <v>26</v>
      </c>
      <c r="I120" s="253" t="s">
        <v>15</v>
      </c>
      <c r="J120" s="254" t="s">
        <v>2490</v>
      </c>
      <c r="K120" s="255">
        <v>130000000</v>
      </c>
      <c r="L120" s="256" t="s">
        <v>173</v>
      </c>
      <c r="M120" s="256" t="s">
        <v>14</v>
      </c>
    </row>
    <row r="121" spans="1:13">
      <c r="A121" s="251" t="s">
        <v>2465</v>
      </c>
      <c r="B121" s="251" t="s">
        <v>10161</v>
      </c>
      <c r="C121" s="251" t="s">
        <v>2467</v>
      </c>
      <c r="D121" s="252" t="s">
        <v>10136</v>
      </c>
      <c r="E121" s="252" t="s">
        <v>2469</v>
      </c>
      <c r="F121" s="252" t="s">
        <v>1098</v>
      </c>
      <c r="G121" s="253" t="s">
        <v>72</v>
      </c>
      <c r="H121" s="253" t="s">
        <v>42</v>
      </c>
      <c r="I121" s="253" t="s">
        <v>15</v>
      </c>
      <c r="J121" s="254" t="s">
        <v>2490</v>
      </c>
      <c r="K121" s="255">
        <v>130000000</v>
      </c>
      <c r="L121" s="256" t="s">
        <v>173</v>
      </c>
      <c r="M121" s="256" t="s">
        <v>14</v>
      </c>
    </row>
    <row r="122" spans="1:13">
      <c r="A122" s="251" t="s">
        <v>2465</v>
      </c>
      <c r="B122" s="251" t="s">
        <v>10162</v>
      </c>
      <c r="C122" s="251" t="s">
        <v>2467</v>
      </c>
      <c r="D122" s="252" t="s">
        <v>10138</v>
      </c>
      <c r="E122" s="252" t="s">
        <v>2469</v>
      </c>
      <c r="F122" s="252" t="s">
        <v>1098</v>
      </c>
      <c r="G122" s="253" t="s">
        <v>70</v>
      </c>
      <c r="H122" s="253" t="s">
        <v>26</v>
      </c>
      <c r="I122" s="253" t="s">
        <v>15</v>
      </c>
      <c r="J122" s="254" t="s">
        <v>2490</v>
      </c>
      <c r="K122" s="255">
        <v>120000000</v>
      </c>
      <c r="L122" s="256" t="s">
        <v>173</v>
      </c>
      <c r="M122" s="256" t="s">
        <v>14</v>
      </c>
    </row>
    <row r="123" spans="1:13">
      <c r="A123" s="251" t="s">
        <v>2465</v>
      </c>
      <c r="B123" s="251" t="s">
        <v>10162</v>
      </c>
      <c r="C123" s="251" t="s">
        <v>2467</v>
      </c>
      <c r="D123" s="252" t="s">
        <v>10138</v>
      </c>
      <c r="E123" s="252" t="s">
        <v>2469</v>
      </c>
      <c r="F123" s="252" t="s">
        <v>1098</v>
      </c>
      <c r="G123" s="253" t="s">
        <v>70</v>
      </c>
      <c r="H123" s="253" t="s">
        <v>42</v>
      </c>
      <c r="I123" s="253" t="s">
        <v>15</v>
      </c>
      <c r="J123" s="254" t="s">
        <v>2490</v>
      </c>
      <c r="K123" s="255">
        <v>120000000</v>
      </c>
      <c r="L123" s="256" t="s">
        <v>173</v>
      </c>
      <c r="M123" s="256" t="s">
        <v>14</v>
      </c>
    </row>
    <row r="124" spans="1:13">
      <c r="A124" s="251" t="s">
        <v>2465</v>
      </c>
      <c r="B124" s="251" t="s">
        <v>10162</v>
      </c>
      <c r="C124" s="251" t="s">
        <v>2467</v>
      </c>
      <c r="D124" s="252" t="s">
        <v>10138</v>
      </c>
      <c r="E124" s="252" t="s">
        <v>2469</v>
      </c>
      <c r="F124" s="252" t="s">
        <v>1098</v>
      </c>
      <c r="G124" s="253" t="s">
        <v>74</v>
      </c>
      <c r="H124" s="253" t="s">
        <v>26</v>
      </c>
      <c r="I124" s="253" t="s">
        <v>15</v>
      </c>
      <c r="J124" s="254" t="s">
        <v>2490</v>
      </c>
      <c r="K124" s="255">
        <v>120000000</v>
      </c>
      <c r="L124" s="256" t="s">
        <v>173</v>
      </c>
      <c r="M124" s="256" t="s">
        <v>14</v>
      </c>
    </row>
    <row r="125" spans="1:13">
      <c r="A125" s="251" t="s">
        <v>2465</v>
      </c>
      <c r="B125" s="251" t="s">
        <v>10162</v>
      </c>
      <c r="C125" s="251" t="s">
        <v>2467</v>
      </c>
      <c r="D125" s="252" t="s">
        <v>10138</v>
      </c>
      <c r="E125" s="252" t="s">
        <v>2469</v>
      </c>
      <c r="F125" s="252" t="s">
        <v>1098</v>
      </c>
      <c r="G125" s="253" t="s">
        <v>74</v>
      </c>
      <c r="H125" s="253" t="s">
        <v>42</v>
      </c>
      <c r="I125" s="253" t="s">
        <v>15</v>
      </c>
      <c r="J125" s="254" t="s">
        <v>2490</v>
      </c>
      <c r="K125" s="255">
        <v>120000000</v>
      </c>
      <c r="L125" s="256" t="s">
        <v>173</v>
      </c>
      <c r="M125" s="256" t="s">
        <v>14</v>
      </c>
    </row>
    <row r="126" spans="1:13">
      <c r="A126" s="251" t="s">
        <v>2465</v>
      </c>
      <c r="B126" s="251" t="s">
        <v>10162</v>
      </c>
      <c r="C126" s="251" t="s">
        <v>2467</v>
      </c>
      <c r="D126" s="252" t="s">
        <v>10138</v>
      </c>
      <c r="E126" s="252" t="s">
        <v>2469</v>
      </c>
      <c r="F126" s="252" t="s">
        <v>1098</v>
      </c>
      <c r="G126" s="253" t="s">
        <v>72</v>
      </c>
      <c r="H126" s="253" t="s">
        <v>26</v>
      </c>
      <c r="I126" s="253" t="s">
        <v>15</v>
      </c>
      <c r="J126" s="254" t="s">
        <v>2490</v>
      </c>
      <c r="K126" s="255">
        <v>120000000</v>
      </c>
      <c r="L126" s="256" t="s">
        <v>173</v>
      </c>
      <c r="M126" s="256" t="s">
        <v>14</v>
      </c>
    </row>
    <row r="127" spans="1:13">
      <c r="A127" s="251" t="s">
        <v>2465</v>
      </c>
      <c r="B127" s="251" t="s">
        <v>10162</v>
      </c>
      <c r="C127" s="251" t="s">
        <v>2467</v>
      </c>
      <c r="D127" s="252" t="s">
        <v>10138</v>
      </c>
      <c r="E127" s="252" t="s">
        <v>2469</v>
      </c>
      <c r="F127" s="252" t="s">
        <v>1098</v>
      </c>
      <c r="G127" s="253" t="s">
        <v>72</v>
      </c>
      <c r="H127" s="253" t="s">
        <v>42</v>
      </c>
      <c r="I127" s="253" t="s">
        <v>15</v>
      </c>
      <c r="J127" s="254" t="s">
        <v>2490</v>
      </c>
      <c r="K127" s="255">
        <v>120000000</v>
      </c>
      <c r="L127" s="256" t="s">
        <v>173</v>
      </c>
      <c r="M127" s="256" t="s">
        <v>14</v>
      </c>
    </row>
    <row r="128" spans="1:13">
      <c r="A128" s="251" t="s">
        <v>2465</v>
      </c>
      <c r="B128" s="251" t="s">
        <v>10163</v>
      </c>
      <c r="C128" s="251" t="s">
        <v>2467</v>
      </c>
      <c r="D128" s="252" t="s">
        <v>10140</v>
      </c>
      <c r="E128" s="252" t="s">
        <v>2469</v>
      </c>
      <c r="F128" s="252" t="s">
        <v>1098</v>
      </c>
      <c r="G128" s="253" t="s">
        <v>70</v>
      </c>
      <c r="H128" s="253" t="s">
        <v>26</v>
      </c>
      <c r="I128" s="253" t="s">
        <v>15</v>
      </c>
      <c r="J128" s="254" t="s">
        <v>2490</v>
      </c>
      <c r="K128" s="255">
        <v>115000000</v>
      </c>
      <c r="L128" s="256" t="s">
        <v>173</v>
      </c>
      <c r="M128" s="256" t="s">
        <v>14</v>
      </c>
    </row>
    <row r="129" spans="1:13">
      <c r="A129" s="251" t="s">
        <v>2465</v>
      </c>
      <c r="B129" s="251" t="s">
        <v>10163</v>
      </c>
      <c r="C129" s="251" t="s">
        <v>2467</v>
      </c>
      <c r="D129" s="252" t="s">
        <v>10140</v>
      </c>
      <c r="E129" s="252" t="s">
        <v>2469</v>
      </c>
      <c r="F129" s="252" t="s">
        <v>1098</v>
      </c>
      <c r="G129" s="253" t="s">
        <v>70</v>
      </c>
      <c r="H129" s="253" t="s">
        <v>42</v>
      </c>
      <c r="I129" s="253" t="s">
        <v>15</v>
      </c>
      <c r="J129" s="254" t="s">
        <v>2490</v>
      </c>
      <c r="K129" s="255">
        <v>115000000</v>
      </c>
      <c r="L129" s="256" t="s">
        <v>173</v>
      </c>
      <c r="M129" s="256" t="s">
        <v>14</v>
      </c>
    </row>
    <row r="130" spans="1:13">
      <c r="A130" s="251" t="s">
        <v>2465</v>
      </c>
      <c r="B130" s="251" t="s">
        <v>10163</v>
      </c>
      <c r="C130" s="251" t="s">
        <v>2467</v>
      </c>
      <c r="D130" s="252" t="s">
        <v>10140</v>
      </c>
      <c r="E130" s="252" t="s">
        <v>2469</v>
      </c>
      <c r="F130" s="252" t="s">
        <v>1098</v>
      </c>
      <c r="G130" s="253" t="s">
        <v>74</v>
      </c>
      <c r="H130" s="253" t="s">
        <v>26</v>
      </c>
      <c r="I130" s="253" t="s">
        <v>15</v>
      </c>
      <c r="J130" s="254" t="s">
        <v>2490</v>
      </c>
      <c r="K130" s="255">
        <v>115000000</v>
      </c>
      <c r="L130" s="256" t="s">
        <v>173</v>
      </c>
      <c r="M130" s="256" t="s">
        <v>14</v>
      </c>
    </row>
    <row r="131" spans="1:13">
      <c r="A131" s="251" t="s">
        <v>2465</v>
      </c>
      <c r="B131" s="251" t="s">
        <v>10163</v>
      </c>
      <c r="C131" s="251" t="s">
        <v>2467</v>
      </c>
      <c r="D131" s="252" t="s">
        <v>10140</v>
      </c>
      <c r="E131" s="252" t="s">
        <v>2469</v>
      </c>
      <c r="F131" s="252" t="s">
        <v>1098</v>
      </c>
      <c r="G131" s="253" t="s">
        <v>74</v>
      </c>
      <c r="H131" s="253" t="s">
        <v>42</v>
      </c>
      <c r="I131" s="253" t="s">
        <v>15</v>
      </c>
      <c r="J131" s="254" t="s">
        <v>2490</v>
      </c>
      <c r="K131" s="255">
        <v>115000000</v>
      </c>
      <c r="L131" s="256" t="s">
        <v>173</v>
      </c>
      <c r="M131" s="256" t="s">
        <v>14</v>
      </c>
    </row>
    <row r="132" spans="1:13">
      <c r="A132" s="251" t="s">
        <v>2465</v>
      </c>
      <c r="B132" s="251" t="s">
        <v>10163</v>
      </c>
      <c r="C132" s="251" t="s">
        <v>2467</v>
      </c>
      <c r="D132" s="252" t="s">
        <v>10140</v>
      </c>
      <c r="E132" s="252" t="s">
        <v>2469</v>
      </c>
      <c r="F132" s="252" t="s">
        <v>1098</v>
      </c>
      <c r="G132" s="253" t="s">
        <v>72</v>
      </c>
      <c r="H132" s="253" t="s">
        <v>26</v>
      </c>
      <c r="I132" s="253" t="s">
        <v>15</v>
      </c>
      <c r="J132" s="254" t="s">
        <v>2490</v>
      </c>
      <c r="K132" s="255">
        <v>115000000</v>
      </c>
      <c r="L132" s="256" t="s">
        <v>173</v>
      </c>
      <c r="M132" s="256" t="s">
        <v>14</v>
      </c>
    </row>
    <row r="133" spans="1:13">
      <c r="A133" s="251" t="s">
        <v>2465</v>
      </c>
      <c r="B133" s="251" t="s">
        <v>10163</v>
      </c>
      <c r="C133" s="251" t="s">
        <v>2467</v>
      </c>
      <c r="D133" s="252" t="s">
        <v>10140</v>
      </c>
      <c r="E133" s="252" t="s">
        <v>2469</v>
      </c>
      <c r="F133" s="252" t="s">
        <v>1098</v>
      </c>
      <c r="G133" s="253" t="s">
        <v>72</v>
      </c>
      <c r="H133" s="253" t="s">
        <v>42</v>
      </c>
      <c r="I133" s="253" t="s">
        <v>15</v>
      </c>
      <c r="J133" s="254" t="s">
        <v>2490</v>
      </c>
      <c r="K133" s="255">
        <v>115000000</v>
      </c>
      <c r="L133" s="256" t="s">
        <v>173</v>
      </c>
      <c r="M133" s="256" t="s">
        <v>14</v>
      </c>
    </row>
    <row r="134" spans="1:13">
      <c r="A134" s="251" t="s">
        <v>2465</v>
      </c>
      <c r="B134" s="251" t="s">
        <v>10164</v>
      </c>
      <c r="C134" s="251" t="s">
        <v>2467</v>
      </c>
      <c r="D134" s="252" t="s">
        <v>10142</v>
      </c>
      <c r="E134" s="252" t="s">
        <v>2469</v>
      </c>
      <c r="F134" s="252" t="s">
        <v>1098</v>
      </c>
      <c r="G134" s="253" t="s">
        <v>70</v>
      </c>
      <c r="H134" s="253" t="s">
        <v>26</v>
      </c>
      <c r="I134" s="253" t="s">
        <v>15</v>
      </c>
      <c r="J134" s="254" t="s">
        <v>2490</v>
      </c>
      <c r="K134" s="255">
        <v>115000000</v>
      </c>
      <c r="L134" s="256" t="s">
        <v>173</v>
      </c>
      <c r="M134" s="256" t="s">
        <v>14</v>
      </c>
    </row>
    <row r="135" spans="1:13">
      <c r="A135" s="251" t="s">
        <v>2465</v>
      </c>
      <c r="B135" s="251" t="s">
        <v>10164</v>
      </c>
      <c r="C135" s="251" t="s">
        <v>2467</v>
      </c>
      <c r="D135" s="252" t="s">
        <v>10142</v>
      </c>
      <c r="E135" s="252" t="s">
        <v>2469</v>
      </c>
      <c r="F135" s="252" t="s">
        <v>1098</v>
      </c>
      <c r="G135" s="253" t="s">
        <v>70</v>
      </c>
      <c r="H135" s="253" t="s">
        <v>42</v>
      </c>
      <c r="I135" s="253" t="s">
        <v>15</v>
      </c>
      <c r="J135" s="254" t="s">
        <v>2490</v>
      </c>
      <c r="K135" s="255">
        <v>115000000</v>
      </c>
      <c r="L135" s="256" t="s">
        <v>173</v>
      </c>
      <c r="M135" s="256" t="s">
        <v>14</v>
      </c>
    </row>
    <row r="136" spans="1:13">
      <c r="A136" s="251" t="s">
        <v>2465</v>
      </c>
      <c r="B136" s="251" t="s">
        <v>10164</v>
      </c>
      <c r="C136" s="251" t="s">
        <v>2467</v>
      </c>
      <c r="D136" s="252" t="s">
        <v>10142</v>
      </c>
      <c r="E136" s="252" t="s">
        <v>2469</v>
      </c>
      <c r="F136" s="252" t="s">
        <v>1098</v>
      </c>
      <c r="G136" s="253" t="s">
        <v>74</v>
      </c>
      <c r="H136" s="253" t="s">
        <v>26</v>
      </c>
      <c r="I136" s="253" t="s">
        <v>15</v>
      </c>
      <c r="J136" s="254" t="s">
        <v>2490</v>
      </c>
      <c r="K136" s="255">
        <v>115000000</v>
      </c>
      <c r="L136" s="256" t="s">
        <v>173</v>
      </c>
      <c r="M136" s="256" t="s">
        <v>14</v>
      </c>
    </row>
    <row r="137" spans="1:13">
      <c r="A137" s="251" t="s">
        <v>2465</v>
      </c>
      <c r="B137" s="251" t="s">
        <v>10164</v>
      </c>
      <c r="C137" s="251" t="s">
        <v>2467</v>
      </c>
      <c r="D137" s="252" t="s">
        <v>10142</v>
      </c>
      <c r="E137" s="252" t="s">
        <v>2469</v>
      </c>
      <c r="F137" s="252" t="s">
        <v>1098</v>
      </c>
      <c r="G137" s="253" t="s">
        <v>74</v>
      </c>
      <c r="H137" s="253" t="s">
        <v>42</v>
      </c>
      <c r="I137" s="253" t="s">
        <v>15</v>
      </c>
      <c r="J137" s="254" t="s">
        <v>2490</v>
      </c>
      <c r="K137" s="255">
        <v>115000000</v>
      </c>
      <c r="L137" s="256" t="s">
        <v>173</v>
      </c>
      <c r="M137" s="256" t="s">
        <v>14</v>
      </c>
    </row>
    <row r="138" spans="1:13">
      <c r="A138" s="251" t="s">
        <v>2465</v>
      </c>
      <c r="B138" s="251" t="s">
        <v>10164</v>
      </c>
      <c r="C138" s="251" t="s">
        <v>2467</v>
      </c>
      <c r="D138" s="252" t="s">
        <v>10142</v>
      </c>
      <c r="E138" s="252" t="s">
        <v>2469</v>
      </c>
      <c r="F138" s="252" t="s">
        <v>1098</v>
      </c>
      <c r="G138" s="253" t="s">
        <v>72</v>
      </c>
      <c r="H138" s="253" t="s">
        <v>26</v>
      </c>
      <c r="I138" s="253" t="s">
        <v>15</v>
      </c>
      <c r="J138" s="254" t="s">
        <v>2490</v>
      </c>
      <c r="K138" s="255">
        <v>115000000</v>
      </c>
      <c r="L138" s="256" t="s">
        <v>173</v>
      </c>
      <c r="M138" s="256" t="s">
        <v>14</v>
      </c>
    </row>
    <row r="139" spans="1:13">
      <c r="A139" s="251" t="s">
        <v>2465</v>
      </c>
      <c r="B139" s="251" t="s">
        <v>10164</v>
      </c>
      <c r="C139" s="251" t="s">
        <v>2467</v>
      </c>
      <c r="D139" s="252" t="s">
        <v>10142</v>
      </c>
      <c r="E139" s="252" t="s">
        <v>2469</v>
      </c>
      <c r="F139" s="252" t="s">
        <v>1098</v>
      </c>
      <c r="G139" s="253" t="s">
        <v>72</v>
      </c>
      <c r="H139" s="253" t="s">
        <v>42</v>
      </c>
      <c r="I139" s="253" t="s">
        <v>15</v>
      </c>
      <c r="J139" s="254" t="s">
        <v>2490</v>
      </c>
      <c r="K139" s="255">
        <v>115000000</v>
      </c>
      <c r="L139" s="256" t="s">
        <v>173</v>
      </c>
      <c r="M139" s="256" t="s">
        <v>14</v>
      </c>
    </row>
    <row r="140" spans="1:13">
      <c r="A140" s="251" t="s">
        <v>2465</v>
      </c>
      <c r="B140" s="251" t="s">
        <v>10165</v>
      </c>
      <c r="C140" s="251" t="s">
        <v>2467</v>
      </c>
      <c r="D140" s="252" t="s">
        <v>10166</v>
      </c>
      <c r="E140" s="252" t="s">
        <v>2469</v>
      </c>
      <c r="F140" s="252" t="s">
        <v>1098</v>
      </c>
      <c r="G140" s="253" t="s">
        <v>70</v>
      </c>
      <c r="H140" s="253" t="s">
        <v>26</v>
      </c>
      <c r="I140" s="253" t="s">
        <v>15</v>
      </c>
      <c r="J140" s="254" t="s">
        <v>2490</v>
      </c>
      <c r="K140" s="255">
        <v>156000000</v>
      </c>
      <c r="L140" s="256" t="s">
        <v>173</v>
      </c>
      <c r="M140" s="256" t="s">
        <v>14</v>
      </c>
    </row>
    <row r="141" spans="1:13">
      <c r="A141" s="251" t="s">
        <v>2465</v>
      </c>
      <c r="B141" s="251" t="s">
        <v>10165</v>
      </c>
      <c r="C141" s="251" t="s">
        <v>2467</v>
      </c>
      <c r="D141" s="252" t="s">
        <v>10166</v>
      </c>
      <c r="E141" s="252" t="s">
        <v>2469</v>
      </c>
      <c r="F141" s="252" t="s">
        <v>1098</v>
      </c>
      <c r="G141" s="253" t="s">
        <v>70</v>
      </c>
      <c r="H141" s="253" t="s">
        <v>42</v>
      </c>
      <c r="I141" s="253" t="s">
        <v>15</v>
      </c>
      <c r="J141" s="254" t="s">
        <v>2490</v>
      </c>
      <c r="K141" s="255">
        <v>156000000</v>
      </c>
      <c r="L141" s="256" t="s">
        <v>173</v>
      </c>
      <c r="M141" s="256" t="s">
        <v>14</v>
      </c>
    </row>
    <row r="142" spans="1:13">
      <c r="A142" s="251" t="s">
        <v>2465</v>
      </c>
      <c r="B142" s="251" t="s">
        <v>10165</v>
      </c>
      <c r="C142" s="251" t="s">
        <v>2467</v>
      </c>
      <c r="D142" s="252" t="s">
        <v>10166</v>
      </c>
      <c r="E142" s="252" t="s">
        <v>2469</v>
      </c>
      <c r="F142" s="252" t="s">
        <v>1098</v>
      </c>
      <c r="G142" s="253" t="s">
        <v>74</v>
      </c>
      <c r="H142" s="253" t="s">
        <v>26</v>
      </c>
      <c r="I142" s="253" t="s">
        <v>15</v>
      </c>
      <c r="J142" s="254" t="s">
        <v>2490</v>
      </c>
      <c r="K142" s="255">
        <v>156000000</v>
      </c>
      <c r="L142" s="256" t="s">
        <v>173</v>
      </c>
      <c r="M142" s="256" t="s">
        <v>14</v>
      </c>
    </row>
    <row r="143" spans="1:13">
      <c r="A143" s="251" t="s">
        <v>2465</v>
      </c>
      <c r="B143" s="251" t="s">
        <v>10165</v>
      </c>
      <c r="C143" s="251" t="s">
        <v>2467</v>
      </c>
      <c r="D143" s="252" t="s">
        <v>10166</v>
      </c>
      <c r="E143" s="252" t="s">
        <v>2469</v>
      </c>
      <c r="F143" s="252" t="s">
        <v>1098</v>
      </c>
      <c r="G143" s="253" t="s">
        <v>74</v>
      </c>
      <c r="H143" s="253" t="s">
        <v>42</v>
      </c>
      <c r="I143" s="253" t="s">
        <v>15</v>
      </c>
      <c r="J143" s="254" t="s">
        <v>2490</v>
      </c>
      <c r="K143" s="255">
        <v>156000000</v>
      </c>
      <c r="L143" s="256" t="s">
        <v>173</v>
      </c>
      <c r="M143" s="256" t="s">
        <v>14</v>
      </c>
    </row>
    <row r="144" spans="1:13">
      <c r="A144" s="251" t="s">
        <v>2465</v>
      </c>
      <c r="B144" s="251" t="s">
        <v>10165</v>
      </c>
      <c r="C144" s="251" t="s">
        <v>2467</v>
      </c>
      <c r="D144" s="252" t="s">
        <v>10166</v>
      </c>
      <c r="E144" s="252" t="s">
        <v>2469</v>
      </c>
      <c r="F144" s="252" t="s">
        <v>1098</v>
      </c>
      <c r="G144" s="253" t="s">
        <v>72</v>
      </c>
      <c r="H144" s="253" t="s">
        <v>26</v>
      </c>
      <c r="I144" s="253" t="s">
        <v>15</v>
      </c>
      <c r="J144" s="254" t="s">
        <v>2490</v>
      </c>
      <c r="K144" s="255">
        <v>156000000</v>
      </c>
      <c r="L144" s="256" t="s">
        <v>173</v>
      </c>
      <c r="M144" s="256" t="s">
        <v>14</v>
      </c>
    </row>
    <row r="145" spans="1:13">
      <c r="A145" s="251" t="s">
        <v>2465</v>
      </c>
      <c r="B145" s="251" t="s">
        <v>10165</v>
      </c>
      <c r="C145" s="251" t="s">
        <v>2467</v>
      </c>
      <c r="D145" s="252" t="s">
        <v>10166</v>
      </c>
      <c r="E145" s="252" t="s">
        <v>2469</v>
      </c>
      <c r="F145" s="252" t="s">
        <v>1098</v>
      </c>
      <c r="G145" s="253" t="s">
        <v>72</v>
      </c>
      <c r="H145" s="253" t="s">
        <v>42</v>
      </c>
      <c r="I145" s="253" t="s">
        <v>15</v>
      </c>
      <c r="J145" s="254" t="s">
        <v>2490</v>
      </c>
      <c r="K145" s="255">
        <v>156000000</v>
      </c>
      <c r="L145" s="256" t="s">
        <v>173</v>
      </c>
      <c r="M145" s="256" t="s">
        <v>14</v>
      </c>
    </row>
    <row r="146" spans="1:13">
      <c r="A146" s="251" t="s">
        <v>2465</v>
      </c>
      <c r="B146" s="251" t="s">
        <v>10167</v>
      </c>
      <c r="C146" s="251" t="s">
        <v>2467</v>
      </c>
      <c r="D146" s="252" t="s">
        <v>10146</v>
      </c>
      <c r="E146" s="252" t="s">
        <v>2469</v>
      </c>
      <c r="F146" s="252" t="s">
        <v>1098</v>
      </c>
      <c r="G146" s="253" t="s">
        <v>70</v>
      </c>
      <c r="H146" s="253" t="s">
        <v>26</v>
      </c>
      <c r="I146" s="253" t="s">
        <v>15</v>
      </c>
      <c r="J146" s="254" t="s">
        <v>2490</v>
      </c>
      <c r="K146" s="255">
        <v>115000000</v>
      </c>
      <c r="L146" s="256" t="s">
        <v>173</v>
      </c>
      <c r="M146" s="256" t="s">
        <v>14</v>
      </c>
    </row>
    <row r="147" spans="1:13">
      <c r="A147" s="251" t="s">
        <v>2465</v>
      </c>
      <c r="B147" s="251" t="s">
        <v>10167</v>
      </c>
      <c r="C147" s="251" t="s">
        <v>2467</v>
      </c>
      <c r="D147" s="252" t="s">
        <v>10146</v>
      </c>
      <c r="E147" s="252" t="s">
        <v>2469</v>
      </c>
      <c r="F147" s="252" t="s">
        <v>1098</v>
      </c>
      <c r="G147" s="253" t="s">
        <v>70</v>
      </c>
      <c r="H147" s="253" t="s">
        <v>42</v>
      </c>
      <c r="I147" s="253" t="s">
        <v>15</v>
      </c>
      <c r="J147" s="254" t="s">
        <v>2490</v>
      </c>
      <c r="K147" s="255">
        <v>115000000</v>
      </c>
      <c r="L147" s="256" t="s">
        <v>173</v>
      </c>
      <c r="M147" s="256" t="s">
        <v>14</v>
      </c>
    </row>
    <row r="148" spans="1:13">
      <c r="A148" s="251" t="s">
        <v>2465</v>
      </c>
      <c r="B148" s="251" t="s">
        <v>10167</v>
      </c>
      <c r="C148" s="251" t="s">
        <v>2467</v>
      </c>
      <c r="D148" s="252" t="s">
        <v>10146</v>
      </c>
      <c r="E148" s="252" t="s">
        <v>2469</v>
      </c>
      <c r="F148" s="252" t="s">
        <v>1098</v>
      </c>
      <c r="G148" s="253" t="s">
        <v>74</v>
      </c>
      <c r="H148" s="253" t="s">
        <v>26</v>
      </c>
      <c r="I148" s="253" t="s">
        <v>15</v>
      </c>
      <c r="J148" s="254" t="s">
        <v>2490</v>
      </c>
      <c r="K148" s="255">
        <v>115000000</v>
      </c>
      <c r="L148" s="256" t="s">
        <v>173</v>
      </c>
      <c r="M148" s="256" t="s">
        <v>14</v>
      </c>
    </row>
    <row r="149" spans="1:13">
      <c r="A149" s="251" t="s">
        <v>2465</v>
      </c>
      <c r="B149" s="251" t="s">
        <v>10167</v>
      </c>
      <c r="C149" s="251" t="s">
        <v>2467</v>
      </c>
      <c r="D149" s="252" t="s">
        <v>10146</v>
      </c>
      <c r="E149" s="252" t="s">
        <v>2469</v>
      </c>
      <c r="F149" s="252" t="s">
        <v>1098</v>
      </c>
      <c r="G149" s="253" t="s">
        <v>74</v>
      </c>
      <c r="H149" s="253" t="s">
        <v>42</v>
      </c>
      <c r="I149" s="253" t="s">
        <v>15</v>
      </c>
      <c r="J149" s="254" t="s">
        <v>2490</v>
      </c>
      <c r="K149" s="255">
        <v>115000000</v>
      </c>
      <c r="L149" s="256" t="s">
        <v>173</v>
      </c>
      <c r="M149" s="256" t="s">
        <v>14</v>
      </c>
    </row>
    <row r="150" spans="1:13">
      <c r="A150" s="251" t="s">
        <v>2465</v>
      </c>
      <c r="B150" s="251" t="s">
        <v>10167</v>
      </c>
      <c r="C150" s="251" t="s">
        <v>2467</v>
      </c>
      <c r="D150" s="252" t="s">
        <v>10146</v>
      </c>
      <c r="E150" s="252" t="s">
        <v>2469</v>
      </c>
      <c r="F150" s="252" t="s">
        <v>1098</v>
      </c>
      <c r="G150" s="253" t="s">
        <v>72</v>
      </c>
      <c r="H150" s="253" t="s">
        <v>26</v>
      </c>
      <c r="I150" s="253" t="s">
        <v>15</v>
      </c>
      <c r="J150" s="254" t="s">
        <v>2490</v>
      </c>
      <c r="K150" s="255">
        <v>115000000</v>
      </c>
      <c r="L150" s="256" t="s">
        <v>173</v>
      </c>
      <c r="M150" s="256" t="s">
        <v>14</v>
      </c>
    </row>
    <row r="151" spans="1:13">
      <c r="A151" s="251" t="s">
        <v>2465</v>
      </c>
      <c r="B151" s="251" t="s">
        <v>10167</v>
      </c>
      <c r="C151" s="251" t="s">
        <v>2467</v>
      </c>
      <c r="D151" s="252" t="s">
        <v>10146</v>
      </c>
      <c r="E151" s="252" t="s">
        <v>2469</v>
      </c>
      <c r="F151" s="252" t="s">
        <v>1098</v>
      </c>
      <c r="G151" s="253" t="s">
        <v>72</v>
      </c>
      <c r="H151" s="253" t="s">
        <v>42</v>
      </c>
      <c r="I151" s="253" t="s">
        <v>15</v>
      </c>
      <c r="J151" s="254" t="s">
        <v>2490</v>
      </c>
      <c r="K151" s="255">
        <v>115000000</v>
      </c>
      <c r="L151" s="256" t="s">
        <v>173</v>
      </c>
      <c r="M151" s="256" t="s">
        <v>14</v>
      </c>
    </row>
    <row r="152" spans="1:13">
      <c r="A152" s="251" t="s">
        <v>2465</v>
      </c>
      <c r="B152" s="251" t="s">
        <v>10168</v>
      </c>
      <c r="C152" s="251" t="s">
        <v>2467</v>
      </c>
      <c r="D152" s="252" t="s">
        <v>10148</v>
      </c>
      <c r="E152" s="252" t="s">
        <v>2469</v>
      </c>
      <c r="F152" s="252" t="s">
        <v>1098</v>
      </c>
      <c r="G152" s="253" t="s">
        <v>70</v>
      </c>
      <c r="H152" s="253" t="s">
        <v>26</v>
      </c>
      <c r="I152" s="253" t="s">
        <v>15</v>
      </c>
      <c r="J152" s="254" t="s">
        <v>2490</v>
      </c>
      <c r="K152" s="255">
        <v>115000000</v>
      </c>
      <c r="L152" s="256" t="s">
        <v>173</v>
      </c>
      <c r="M152" s="256" t="s">
        <v>14</v>
      </c>
    </row>
    <row r="153" spans="1:13">
      <c r="A153" s="251" t="s">
        <v>2465</v>
      </c>
      <c r="B153" s="251" t="s">
        <v>10168</v>
      </c>
      <c r="C153" s="251" t="s">
        <v>2467</v>
      </c>
      <c r="D153" s="252" t="s">
        <v>10148</v>
      </c>
      <c r="E153" s="252" t="s">
        <v>2469</v>
      </c>
      <c r="F153" s="252" t="s">
        <v>1098</v>
      </c>
      <c r="G153" s="253" t="s">
        <v>70</v>
      </c>
      <c r="H153" s="253" t="s">
        <v>42</v>
      </c>
      <c r="I153" s="253" t="s">
        <v>15</v>
      </c>
      <c r="J153" s="254" t="s">
        <v>2490</v>
      </c>
      <c r="K153" s="255">
        <v>115000000</v>
      </c>
      <c r="L153" s="256" t="s">
        <v>173</v>
      </c>
      <c r="M153" s="256" t="s">
        <v>14</v>
      </c>
    </row>
    <row r="154" spans="1:13">
      <c r="A154" s="251" t="s">
        <v>2465</v>
      </c>
      <c r="B154" s="251" t="s">
        <v>10168</v>
      </c>
      <c r="C154" s="251" t="s">
        <v>2467</v>
      </c>
      <c r="D154" s="252" t="s">
        <v>10148</v>
      </c>
      <c r="E154" s="252" t="s">
        <v>2469</v>
      </c>
      <c r="F154" s="252" t="s">
        <v>1098</v>
      </c>
      <c r="G154" s="253" t="s">
        <v>74</v>
      </c>
      <c r="H154" s="253" t="s">
        <v>26</v>
      </c>
      <c r="I154" s="253" t="s">
        <v>15</v>
      </c>
      <c r="J154" s="254" t="s">
        <v>2490</v>
      </c>
      <c r="K154" s="255">
        <v>115000000</v>
      </c>
      <c r="L154" s="256" t="s">
        <v>173</v>
      </c>
      <c r="M154" s="256" t="s">
        <v>14</v>
      </c>
    </row>
    <row r="155" spans="1:13">
      <c r="A155" s="251" t="s">
        <v>2465</v>
      </c>
      <c r="B155" s="251" t="s">
        <v>10168</v>
      </c>
      <c r="C155" s="251" t="s">
        <v>2467</v>
      </c>
      <c r="D155" s="252" t="s">
        <v>10148</v>
      </c>
      <c r="E155" s="252" t="s">
        <v>2469</v>
      </c>
      <c r="F155" s="252" t="s">
        <v>1098</v>
      </c>
      <c r="G155" s="253" t="s">
        <v>74</v>
      </c>
      <c r="H155" s="253" t="s">
        <v>42</v>
      </c>
      <c r="I155" s="253" t="s">
        <v>15</v>
      </c>
      <c r="J155" s="254" t="s">
        <v>2490</v>
      </c>
      <c r="K155" s="255">
        <v>115000000</v>
      </c>
      <c r="L155" s="256" t="s">
        <v>173</v>
      </c>
      <c r="M155" s="256" t="s">
        <v>14</v>
      </c>
    </row>
    <row r="156" spans="1:13">
      <c r="A156" s="251" t="s">
        <v>2465</v>
      </c>
      <c r="B156" s="251" t="s">
        <v>10168</v>
      </c>
      <c r="C156" s="251" t="s">
        <v>2467</v>
      </c>
      <c r="D156" s="252" t="s">
        <v>10148</v>
      </c>
      <c r="E156" s="252" t="s">
        <v>2469</v>
      </c>
      <c r="F156" s="252" t="s">
        <v>1098</v>
      </c>
      <c r="G156" s="253" t="s">
        <v>72</v>
      </c>
      <c r="H156" s="253" t="s">
        <v>26</v>
      </c>
      <c r="I156" s="253" t="s">
        <v>15</v>
      </c>
      <c r="J156" s="254" t="s">
        <v>2490</v>
      </c>
      <c r="K156" s="255">
        <v>115000000</v>
      </c>
      <c r="L156" s="256" t="s">
        <v>173</v>
      </c>
      <c r="M156" s="256" t="s">
        <v>14</v>
      </c>
    </row>
    <row r="157" spans="1:13">
      <c r="A157" s="251" t="s">
        <v>2465</v>
      </c>
      <c r="B157" s="251" t="s">
        <v>10168</v>
      </c>
      <c r="C157" s="251" t="s">
        <v>2467</v>
      </c>
      <c r="D157" s="252" t="s">
        <v>10148</v>
      </c>
      <c r="E157" s="252" t="s">
        <v>2469</v>
      </c>
      <c r="F157" s="252" t="s">
        <v>1098</v>
      </c>
      <c r="G157" s="253" t="s">
        <v>72</v>
      </c>
      <c r="H157" s="253" t="s">
        <v>42</v>
      </c>
      <c r="I157" s="253" t="s">
        <v>15</v>
      </c>
      <c r="J157" s="254" t="s">
        <v>2490</v>
      </c>
      <c r="K157" s="255">
        <v>115000000</v>
      </c>
      <c r="L157" s="256" t="s">
        <v>173</v>
      </c>
      <c r="M157" s="256" t="s">
        <v>14</v>
      </c>
    </row>
    <row r="158" spans="1:13">
      <c r="A158" s="251" t="s">
        <v>2465</v>
      </c>
      <c r="B158" s="251" t="s">
        <v>10169</v>
      </c>
      <c r="C158" s="251" t="s">
        <v>2467</v>
      </c>
      <c r="D158" s="252" t="s">
        <v>10170</v>
      </c>
      <c r="E158" s="252" t="s">
        <v>2469</v>
      </c>
      <c r="F158" s="252" t="s">
        <v>1098</v>
      </c>
      <c r="G158" s="253" t="s">
        <v>70</v>
      </c>
      <c r="H158" s="253" t="s">
        <v>26</v>
      </c>
      <c r="I158" s="253" t="s">
        <v>15</v>
      </c>
      <c r="J158" s="254" t="s">
        <v>2490</v>
      </c>
      <c r="K158" s="255">
        <v>180000000</v>
      </c>
      <c r="L158" s="256" t="s">
        <v>173</v>
      </c>
      <c r="M158" s="256" t="s">
        <v>14</v>
      </c>
    </row>
    <row r="159" spans="1:13">
      <c r="A159" s="251" t="s">
        <v>2465</v>
      </c>
      <c r="B159" s="251" t="s">
        <v>10169</v>
      </c>
      <c r="C159" s="251" t="s">
        <v>2467</v>
      </c>
      <c r="D159" s="252" t="s">
        <v>10170</v>
      </c>
      <c r="E159" s="252" t="s">
        <v>2469</v>
      </c>
      <c r="F159" s="252" t="s">
        <v>1098</v>
      </c>
      <c r="G159" s="253" t="s">
        <v>70</v>
      </c>
      <c r="H159" s="253" t="s">
        <v>42</v>
      </c>
      <c r="I159" s="253" t="s">
        <v>15</v>
      </c>
      <c r="J159" s="254" t="s">
        <v>2490</v>
      </c>
      <c r="K159" s="255">
        <v>180000000</v>
      </c>
      <c r="L159" s="256" t="s">
        <v>173</v>
      </c>
      <c r="M159" s="256" t="s">
        <v>14</v>
      </c>
    </row>
    <row r="160" spans="1:13">
      <c r="A160" s="251" t="s">
        <v>2465</v>
      </c>
      <c r="B160" s="251" t="s">
        <v>10169</v>
      </c>
      <c r="C160" s="251" t="s">
        <v>2467</v>
      </c>
      <c r="D160" s="252" t="s">
        <v>10170</v>
      </c>
      <c r="E160" s="252" t="s">
        <v>2469</v>
      </c>
      <c r="F160" s="252" t="s">
        <v>1098</v>
      </c>
      <c r="G160" s="253" t="s">
        <v>74</v>
      </c>
      <c r="H160" s="253" t="s">
        <v>26</v>
      </c>
      <c r="I160" s="253" t="s">
        <v>15</v>
      </c>
      <c r="J160" s="254" t="s">
        <v>2490</v>
      </c>
      <c r="K160" s="255">
        <v>180000000</v>
      </c>
      <c r="L160" s="256" t="s">
        <v>173</v>
      </c>
      <c r="M160" s="256" t="s">
        <v>14</v>
      </c>
    </row>
    <row r="161" spans="1:13">
      <c r="A161" s="251" t="s">
        <v>2465</v>
      </c>
      <c r="B161" s="251" t="s">
        <v>10169</v>
      </c>
      <c r="C161" s="251" t="s">
        <v>2467</v>
      </c>
      <c r="D161" s="252" t="s">
        <v>10170</v>
      </c>
      <c r="E161" s="252" t="s">
        <v>2469</v>
      </c>
      <c r="F161" s="252" t="s">
        <v>1098</v>
      </c>
      <c r="G161" s="253" t="s">
        <v>74</v>
      </c>
      <c r="H161" s="253" t="s">
        <v>42</v>
      </c>
      <c r="I161" s="253" t="s">
        <v>15</v>
      </c>
      <c r="J161" s="254" t="s">
        <v>2490</v>
      </c>
      <c r="K161" s="255">
        <v>180000000</v>
      </c>
      <c r="L161" s="256" t="s">
        <v>173</v>
      </c>
      <c r="M161" s="256" t="s">
        <v>14</v>
      </c>
    </row>
    <row r="162" spans="1:13">
      <c r="A162" s="251" t="s">
        <v>2465</v>
      </c>
      <c r="B162" s="251" t="s">
        <v>10169</v>
      </c>
      <c r="C162" s="251" t="s">
        <v>2467</v>
      </c>
      <c r="D162" s="252" t="s">
        <v>10170</v>
      </c>
      <c r="E162" s="252" t="s">
        <v>2469</v>
      </c>
      <c r="F162" s="252" t="s">
        <v>1098</v>
      </c>
      <c r="G162" s="253" t="s">
        <v>72</v>
      </c>
      <c r="H162" s="253" t="s">
        <v>26</v>
      </c>
      <c r="I162" s="253" t="s">
        <v>15</v>
      </c>
      <c r="J162" s="254" t="s">
        <v>2490</v>
      </c>
      <c r="K162" s="255">
        <v>180000000</v>
      </c>
      <c r="L162" s="256" t="s">
        <v>173</v>
      </c>
      <c r="M162" s="256" t="s">
        <v>14</v>
      </c>
    </row>
    <row r="163" spans="1:13">
      <c r="A163" s="251" t="s">
        <v>2465</v>
      </c>
      <c r="B163" s="251" t="s">
        <v>10169</v>
      </c>
      <c r="C163" s="251" t="s">
        <v>2467</v>
      </c>
      <c r="D163" s="252" t="s">
        <v>10170</v>
      </c>
      <c r="E163" s="252" t="s">
        <v>2469</v>
      </c>
      <c r="F163" s="252" t="s">
        <v>1098</v>
      </c>
      <c r="G163" s="253" t="s">
        <v>72</v>
      </c>
      <c r="H163" s="253" t="s">
        <v>42</v>
      </c>
      <c r="I163" s="253" t="s">
        <v>15</v>
      </c>
      <c r="J163" s="254" t="s">
        <v>2490</v>
      </c>
      <c r="K163" s="255">
        <v>180000000</v>
      </c>
      <c r="L163" s="256" t="s">
        <v>173</v>
      </c>
      <c r="M163" s="256" t="s">
        <v>14</v>
      </c>
    </row>
    <row r="164" spans="1:13">
      <c r="A164" s="251" t="s">
        <v>2465</v>
      </c>
      <c r="B164" s="251" t="s">
        <v>10171</v>
      </c>
      <c r="C164" s="251" t="s">
        <v>2467</v>
      </c>
      <c r="D164" s="252" t="s">
        <v>10152</v>
      </c>
      <c r="E164" s="252" t="s">
        <v>2469</v>
      </c>
      <c r="F164" s="252" t="s">
        <v>1098</v>
      </c>
      <c r="G164" s="253" t="s">
        <v>70</v>
      </c>
      <c r="H164" s="253" t="s">
        <v>26</v>
      </c>
      <c r="I164" s="253" t="s">
        <v>15</v>
      </c>
      <c r="J164" s="254" t="s">
        <v>2490</v>
      </c>
      <c r="K164" s="255">
        <v>155000000</v>
      </c>
      <c r="L164" s="256" t="s">
        <v>173</v>
      </c>
      <c r="M164" s="256" t="s">
        <v>14</v>
      </c>
    </row>
    <row r="165" spans="1:13">
      <c r="A165" s="251" t="s">
        <v>2465</v>
      </c>
      <c r="B165" s="251" t="s">
        <v>10171</v>
      </c>
      <c r="C165" s="251" t="s">
        <v>2467</v>
      </c>
      <c r="D165" s="252" t="s">
        <v>10152</v>
      </c>
      <c r="E165" s="252" t="s">
        <v>2469</v>
      </c>
      <c r="F165" s="252" t="s">
        <v>1098</v>
      </c>
      <c r="G165" s="253" t="s">
        <v>70</v>
      </c>
      <c r="H165" s="253" t="s">
        <v>42</v>
      </c>
      <c r="I165" s="253" t="s">
        <v>15</v>
      </c>
      <c r="J165" s="254" t="s">
        <v>2490</v>
      </c>
      <c r="K165" s="255">
        <v>155000000</v>
      </c>
      <c r="L165" s="256" t="s">
        <v>173</v>
      </c>
      <c r="M165" s="256" t="s">
        <v>14</v>
      </c>
    </row>
    <row r="166" spans="1:13">
      <c r="A166" s="251" t="s">
        <v>2465</v>
      </c>
      <c r="B166" s="251" t="s">
        <v>10171</v>
      </c>
      <c r="C166" s="251" t="s">
        <v>2467</v>
      </c>
      <c r="D166" s="252" t="s">
        <v>10152</v>
      </c>
      <c r="E166" s="252" t="s">
        <v>2469</v>
      </c>
      <c r="F166" s="252" t="s">
        <v>1098</v>
      </c>
      <c r="G166" s="253" t="s">
        <v>74</v>
      </c>
      <c r="H166" s="253" t="s">
        <v>26</v>
      </c>
      <c r="I166" s="253" t="s">
        <v>15</v>
      </c>
      <c r="J166" s="254" t="s">
        <v>2490</v>
      </c>
      <c r="K166" s="255">
        <v>155000000</v>
      </c>
      <c r="L166" s="256" t="s">
        <v>173</v>
      </c>
      <c r="M166" s="256" t="s">
        <v>14</v>
      </c>
    </row>
    <row r="167" spans="1:13">
      <c r="A167" s="251" t="s">
        <v>2465</v>
      </c>
      <c r="B167" s="251" t="s">
        <v>10171</v>
      </c>
      <c r="C167" s="251" t="s">
        <v>2467</v>
      </c>
      <c r="D167" s="252" t="s">
        <v>10152</v>
      </c>
      <c r="E167" s="252" t="s">
        <v>2469</v>
      </c>
      <c r="F167" s="252" t="s">
        <v>1098</v>
      </c>
      <c r="G167" s="253" t="s">
        <v>74</v>
      </c>
      <c r="H167" s="253" t="s">
        <v>42</v>
      </c>
      <c r="I167" s="253" t="s">
        <v>15</v>
      </c>
      <c r="J167" s="254" t="s">
        <v>2490</v>
      </c>
      <c r="K167" s="255">
        <v>155000000</v>
      </c>
      <c r="L167" s="256" t="s">
        <v>173</v>
      </c>
      <c r="M167" s="256" t="s">
        <v>14</v>
      </c>
    </row>
    <row r="168" spans="1:13">
      <c r="A168" s="251" t="s">
        <v>2465</v>
      </c>
      <c r="B168" s="251" t="s">
        <v>10171</v>
      </c>
      <c r="C168" s="251" t="s">
        <v>2467</v>
      </c>
      <c r="D168" s="252" t="s">
        <v>10152</v>
      </c>
      <c r="E168" s="252" t="s">
        <v>2469</v>
      </c>
      <c r="F168" s="252" t="s">
        <v>1098</v>
      </c>
      <c r="G168" s="253" t="s">
        <v>72</v>
      </c>
      <c r="H168" s="253" t="s">
        <v>26</v>
      </c>
      <c r="I168" s="253" t="s">
        <v>15</v>
      </c>
      <c r="J168" s="254" t="s">
        <v>2490</v>
      </c>
      <c r="K168" s="255">
        <v>155000000</v>
      </c>
      <c r="L168" s="256" t="s">
        <v>173</v>
      </c>
      <c r="M168" s="256" t="s">
        <v>14</v>
      </c>
    </row>
    <row r="169" spans="1:13">
      <c r="A169" s="251" t="s">
        <v>2465</v>
      </c>
      <c r="B169" s="251" t="s">
        <v>10171</v>
      </c>
      <c r="C169" s="251" t="s">
        <v>2467</v>
      </c>
      <c r="D169" s="252" t="s">
        <v>10152</v>
      </c>
      <c r="E169" s="252" t="s">
        <v>2469</v>
      </c>
      <c r="F169" s="252" t="s">
        <v>1098</v>
      </c>
      <c r="G169" s="253" t="s">
        <v>72</v>
      </c>
      <c r="H169" s="253" t="s">
        <v>42</v>
      </c>
      <c r="I169" s="253" t="s">
        <v>15</v>
      </c>
      <c r="J169" s="254" t="s">
        <v>2490</v>
      </c>
      <c r="K169" s="255">
        <v>155000000</v>
      </c>
      <c r="L169" s="256" t="s">
        <v>173</v>
      </c>
      <c r="M169" s="256" t="s">
        <v>14</v>
      </c>
    </row>
    <row r="170" spans="1:13">
      <c r="A170" s="251" t="s">
        <v>2465</v>
      </c>
      <c r="B170" s="251" t="s">
        <v>10172</v>
      </c>
      <c r="C170" s="251" t="s">
        <v>2467</v>
      </c>
      <c r="D170" s="252" t="s">
        <v>10154</v>
      </c>
      <c r="E170" s="252" t="s">
        <v>2469</v>
      </c>
      <c r="F170" s="252" t="s">
        <v>1098</v>
      </c>
      <c r="G170" s="253" t="s">
        <v>70</v>
      </c>
      <c r="H170" s="253" t="s">
        <v>26</v>
      </c>
      <c r="I170" s="253" t="s">
        <v>15</v>
      </c>
      <c r="J170" s="254" t="s">
        <v>2490</v>
      </c>
      <c r="K170" s="255">
        <v>130000000</v>
      </c>
      <c r="L170" s="256" t="s">
        <v>173</v>
      </c>
      <c r="M170" s="256" t="s">
        <v>14</v>
      </c>
    </row>
    <row r="171" spans="1:13">
      <c r="A171" s="251" t="s">
        <v>2465</v>
      </c>
      <c r="B171" s="251" t="s">
        <v>10172</v>
      </c>
      <c r="C171" s="251" t="s">
        <v>2467</v>
      </c>
      <c r="D171" s="252" t="s">
        <v>10154</v>
      </c>
      <c r="E171" s="252" t="s">
        <v>2469</v>
      </c>
      <c r="F171" s="252" t="s">
        <v>1098</v>
      </c>
      <c r="G171" s="253" t="s">
        <v>70</v>
      </c>
      <c r="H171" s="253" t="s">
        <v>42</v>
      </c>
      <c r="I171" s="253" t="s">
        <v>15</v>
      </c>
      <c r="J171" s="254" t="s">
        <v>2490</v>
      </c>
      <c r="K171" s="255">
        <v>130000000</v>
      </c>
      <c r="L171" s="256" t="s">
        <v>173</v>
      </c>
      <c r="M171" s="256" t="s">
        <v>14</v>
      </c>
    </row>
    <row r="172" spans="1:13">
      <c r="A172" s="251" t="s">
        <v>2465</v>
      </c>
      <c r="B172" s="251" t="s">
        <v>10172</v>
      </c>
      <c r="C172" s="251" t="s">
        <v>2467</v>
      </c>
      <c r="D172" s="252" t="s">
        <v>10154</v>
      </c>
      <c r="E172" s="252" t="s">
        <v>2469</v>
      </c>
      <c r="F172" s="252" t="s">
        <v>1098</v>
      </c>
      <c r="G172" s="253" t="s">
        <v>74</v>
      </c>
      <c r="H172" s="253" t="s">
        <v>26</v>
      </c>
      <c r="I172" s="253" t="s">
        <v>15</v>
      </c>
      <c r="J172" s="254" t="s">
        <v>2490</v>
      </c>
      <c r="K172" s="255">
        <v>130000000</v>
      </c>
      <c r="L172" s="256" t="s">
        <v>173</v>
      </c>
      <c r="M172" s="256" t="s">
        <v>14</v>
      </c>
    </row>
    <row r="173" spans="1:13">
      <c r="A173" s="251" t="s">
        <v>2465</v>
      </c>
      <c r="B173" s="251" t="s">
        <v>10172</v>
      </c>
      <c r="C173" s="251" t="s">
        <v>2467</v>
      </c>
      <c r="D173" s="252" t="s">
        <v>10154</v>
      </c>
      <c r="E173" s="252" t="s">
        <v>2469</v>
      </c>
      <c r="F173" s="252" t="s">
        <v>1098</v>
      </c>
      <c r="G173" s="253" t="s">
        <v>74</v>
      </c>
      <c r="H173" s="253" t="s">
        <v>42</v>
      </c>
      <c r="I173" s="253" t="s">
        <v>15</v>
      </c>
      <c r="J173" s="254" t="s">
        <v>2490</v>
      </c>
      <c r="K173" s="255">
        <v>130000000</v>
      </c>
      <c r="L173" s="256" t="s">
        <v>173</v>
      </c>
      <c r="M173" s="256" t="s">
        <v>14</v>
      </c>
    </row>
    <row r="174" spans="1:13">
      <c r="A174" s="251" t="s">
        <v>2465</v>
      </c>
      <c r="B174" s="251" t="s">
        <v>10172</v>
      </c>
      <c r="C174" s="251" t="s">
        <v>2467</v>
      </c>
      <c r="D174" s="252" t="s">
        <v>10154</v>
      </c>
      <c r="E174" s="252" t="s">
        <v>2469</v>
      </c>
      <c r="F174" s="252" t="s">
        <v>1098</v>
      </c>
      <c r="G174" s="253" t="s">
        <v>72</v>
      </c>
      <c r="H174" s="253" t="s">
        <v>26</v>
      </c>
      <c r="I174" s="253" t="s">
        <v>15</v>
      </c>
      <c r="J174" s="254" t="s">
        <v>2490</v>
      </c>
      <c r="K174" s="255">
        <v>130000000</v>
      </c>
      <c r="L174" s="256" t="s">
        <v>173</v>
      </c>
      <c r="M174" s="256" t="s">
        <v>14</v>
      </c>
    </row>
    <row r="175" spans="1:13">
      <c r="A175" s="251" t="s">
        <v>2465</v>
      </c>
      <c r="B175" s="251" t="s">
        <v>10172</v>
      </c>
      <c r="C175" s="251" t="s">
        <v>2467</v>
      </c>
      <c r="D175" s="252" t="s">
        <v>10154</v>
      </c>
      <c r="E175" s="252" t="s">
        <v>2469</v>
      </c>
      <c r="F175" s="252" t="s">
        <v>1098</v>
      </c>
      <c r="G175" s="253" t="s">
        <v>72</v>
      </c>
      <c r="H175" s="253" t="s">
        <v>42</v>
      </c>
      <c r="I175" s="253" t="s">
        <v>15</v>
      </c>
      <c r="J175" s="254" t="s">
        <v>2490</v>
      </c>
      <c r="K175" s="255">
        <v>130000000</v>
      </c>
      <c r="L175" s="256" t="s">
        <v>173</v>
      </c>
      <c r="M175" s="256" t="s">
        <v>14</v>
      </c>
    </row>
    <row r="176" spans="1:13">
      <c r="A176" s="251" t="s">
        <v>2465</v>
      </c>
      <c r="B176" s="251" t="s">
        <v>10173</v>
      </c>
      <c r="C176" s="251" t="s">
        <v>2467</v>
      </c>
      <c r="D176" s="252" t="s">
        <v>10156</v>
      </c>
      <c r="E176" s="252" t="s">
        <v>2469</v>
      </c>
      <c r="F176" s="252" t="s">
        <v>1098</v>
      </c>
      <c r="G176" s="253" t="s">
        <v>70</v>
      </c>
      <c r="H176" s="253" t="s">
        <v>26</v>
      </c>
      <c r="I176" s="253" t="s">
        <v>15</v>
      </c>
      <c r="J176" s="254" t="s">
        <v>2490</v>
      </c>
      <c r="K176" s="255">
        <v>180000000</v>
      </c>
      <c r="L176" s="256" t="s">
        <v>173</v>
      </c>
      <c r="M176" s="256" t="s">
        <v>14</v>
      </c>
    </row>
    <row r="177" spans="1:13">
      <c r="A177" s="251" t="s">
        <v>2465</v>
      </c>
      <c r="B177" s="251" t="s">
        <v>10173</v>
      </c>
      <c r="C177" s="251" t="s">
        <v>2467</v>
      </c>
      <c r="D177" s="252" t="s">
        <v>10156</v>
      </c>
      <c r="E177" s="252" t="s">
        <v>2469</v>
      </c>
      <c r="F177" s="252" t="s">
        <v>1098</v>
      </c>
      <c r="G177" s="253" t="s">
        <v>70</v>
      </c>
      <c r="H177" s="253" t="s">
        <v>42</v>
      </c>
      <c r="I177" s="253" t="s">
        <v>15</v>
      </c>
      <c r="J177" s="254" t="s">
        <v>2490</v>
      </c>
      <c r="K177" s="255">
        <v>180000000</v>
      </c>
      <c r="L177" s="256" t="s">
        <v>173</v>
      </c>
      <c r="M177" s="256" t="s">
        <v>14</v>
      </c>
    </row>
    <row r="178" spans="1:13">
      <c r="A178" s="251" t="s">
        <v>2465</v>
      </c>
      <c r="B178" s="251" t="s">
        <v>10173</v>
      </c>
      <c r="C178" s="251" t="s">
        <v>2467</v>
      </c>
      <c r="D178" s="252" t="s">
        <v>10156</v>
      </c>
      <c r="E178" s="252" t="s">
        <v>2469</v>
      </c>
      <c r="F178" s="252" t="s">
        <v>1098</v>
      </c>
      <c r="G178" s="253" t="s">
        <v>74</v>
      </c>
      <c r="H178" s="253" t="s">
        <v>26</v>
      </c>
      <c r="I178" s="253" t="s">
        <v>15</v>
      </c>
      <c r="J178" s="254" t="s">
        <v>2490</v>
      </c>
      <c r="K178" s="255">
        <v>180000000</v>
      </c>
      <c r="L178" s="256" t="s">
        <v>173</v>
      </c>
      <c r="M178" s="256" t="s">
        <v>14</v>
      </c>
    </row>
    <row r="179" spans="1:13">
      <c r="A179" s="251" t="s">
        <v>2465</v>
      </c>
      <c r="B179" s="251" t="s">
        <v>10173</v>
      </c>
      <c r="C179" s="251" t="s">
        <v>2467</v>
      </c>
      <c r="D179" s="252" t="s">
        <v>10156</v>
      </c>
      <c r="E179" s="252" t="s">
        <v>2469</v>
      </c>
      <c r="F179" s="252" t="s">
        <v>1098</v>
      </c>
      <c r="G179" s="253" t="s">
        <v>74</v>
      </c>
      <c r="H179" s="253" t="s">
        <v>42</v>
      </c>
      <c r="I179" s="253" t="s">
        <v>15</v>
      </c>
      <c r="J179" s="254" t="s">
        <v>2490</v>
      </c>
      <c r="K179" s="255">
        <v>180000000</v>
      </c>
      <c r="L179" s="256" t="s">
        <v>173</v>
      </c>
      <c r="M179" s="256" t="s">
        <v>14</v>
      </c>
    </row>
    <row r="180" spans="1:13">
      <c r="A180" s="251" t="s">
        <v>2465</v>
      </c>
      <c r="B180" s="251" t="s">
        <v>10173</v>
      </c>
      <c r="C180" s="251" t="s">
        <v>2467</v>
      </c>
      <c r="D180" s="252" t="s">
        <v>10156</v>
      </c>
      <c r="E180" s="252" t="s">
        <v>2469</v>
      </c>
      <c r="F180" s="252" t="s">
        <v>1098</v>
      </c>
      <c r="G180" s="253" t="s">
        <v>72</v>
      </c>
      <c r="H180" s="253" t="s">
        <v>26</v>
      </c>
      <c r="I180" s="253" t="s">
        <v>15</v>
      </c>
      <c r="J180" s="254" t="s">
        <v>2490</v>
      </c>
      <c r="K180" s="255">
        <v>180000000</v>
      </c>
      <c r="L180" s="256" t="s">
        <v>173</v>
      </c>
      <c r="M180" s="256" t="s">
        <v>14</v>
      </c>
    </row>
    <row r="181" spans="1:13">
      <c r="A181" s="251" t="s">
        <v>2465</v>
      </c>
      <c r="B181" s="251" t="s">
        <v>10173</v>
      </c>
      <c r="C181" s="251" t="s">
        <v>2467</v>
      </c>
      <c r="D181" s="252" t="s">
        <v>10156</v>
      </c>
      <c r="E181" s="252" t="s">
        <v>2469</v>
      </c>
      <c r="F181" s="252" t="s">
        <v>1098</v>
      </c>
      <c r="G181" s="253" t="s">
        <v>72</v>
      </c>
      <c r="H181" s="253" t="s">
        <v>42</v>
      </c>
      <c r="I181" s="253" t="s">
        <v>15</v>
      </c>
      <c r="J181" s="254" t="s">
        <v>2490</v>
      </c>
      <c r="K181" s="255">
        <v>180000000</v>
      </c>
      <c r="L181" s="256" t="s">
        <v>173</v>
      </c>
      <c r="M181" s="256" t="s">
        <v>14</v>
      </c>
    </row>
    <row r="182" spans="1:13">
      <c r="A182" s="251" t="s">
        <v>2465</v>
      </c>
      <c r="B182" s="251" t="s">
        <v>10174</v>
      </c>
      <c r="C182" s="251" t="s">
        <v>2467</v>
      </c>
      <c r="D182" s="252" t="s">
        <v>10158</v>
      </c>
      <c r="E182" s="252" t="s">
        <v>2469</v>
      </c>
      <c r="F182" s="252" t="s">
        <v>1098</v>
      </c>
      <c r="G182" s="253" t="s">
        <v>70</v>
      </c>
      <c r="H182" s="253" t="s">
        <v>26</v>
      </c>
      <c r="I182" s="253" t="s">
        <v>15</v>
      </c>
      <c r="J182" s="254" t="s">
        <v>2490</v>
      </c>
      <c r="K182" s="255">
        <v>155000000</v>
      </c>
      <c r="L182" s="256" t="s">
        <v>173</v>
      </c>
      <c r="M182" s="256" t="s">
        <v>14</v>
      </c>
    </row>
    <row r="183" spans="1:13">
      <c r="A183" s="251" t="s">
        <v>2465</v>
      </c>
      <c r="B183" s="251" t="s">
        <v>10174</v>
      </c>
      <c r="C183" s="251" t="s">
        <v>2467</v>
      </c>
      <c r="D183" s="252" t="s">
        <v>10158</v>
      </c>
      <c r="E183" s="252" t="s">
        <v>2469</v>
      </c>
      <c r="F183" s="252" t="s">
        <v>1098</v>
      </c>
      <c r="G183" s="253" t="s">
        <v>70</v>
      </c>
      <c r="H183" s="253" t="s">
        <v>42</v>
      </c>
      <c r="I183" s="253" t="s">
        <v>15</v>
      </c>
      <c r="J183" s="254" t="s">
        <v>2490</v>
      </c>
      <c r="K183" s="255">
        <v>155000000</v>
      </c>
      <c r="L183" s="256" t="s">
        <v>173</v>
      </c>
      <c r="M183" s="256" t="s">
        <v>14</v>
      </c>
    </row>
    <row r="184" spans="1:13">
      <c r="A184" s="251" t="s">
        <v>2465</v>
      </c>
      <c r="B184" s="251" t="s">
        <v>10174</v>
      </c>
      <c r="C184" s="251" t="s">
        <v>2467</v>
      </c>
      <c r="D184" s="252" t="s">
        <v>10158</v>
      </c>
      <c r="E184" s="252" t="s">
        <v>2469</v>
      </c>
      <c r="F184" s="252" t="s">
        <v>1098</v>
      </c>
      <c r="G184" s="253" t="s">
        <v>74</v>
      </c>
      <c r="H184" s="253" t="s">
        <v>26</v>
      </c>
      <c r="I184" s="253" t="s">
        <v>15</v>
      </c>
      <c r="J184" s="254" t="s">
        <v>2490</v>
      </c>
      <c r="K184" s="255">
        <v>155000000</v>
      </c>
      <c r="L184" s="256" t="s">
        <v>173</v>
      </c>
      <c r="M184" s="256" t="s">
        <v>14</v>
      </c>
    </row>
    <row r="185" spans="1:13">
      <c r="A185" s="251" t="s">
        <v>2465</v>
      </c>
      <c r="B185" s="251" t="s">
        <v>10174</v>
      </c>
      <c r="C185" s="251" t="s">
        <v>2467</v>
      </c>
      <c r="D185" s="252" t="s">
        <v>10158</v>
      </c>
      <c r="E185" s="252" t="s">
        <v>2469</v>
      </c>
      <c r="F185" s="252" t="s">
        <v>1098</v>
      </c>
      <c r="G185" s="253" t="s">
        <v>74</v>
      </c>
      <c r="H185" s="253" t="s">
        <v>42</v>
      </c>
      <c r="I185" s="253" t="s">
        <v>15</v>
      </c>
      <c r="J185" s="254" t="s">
        <v>2490</v>
      </c>
      <c r="K185" s="255">
        <v>155000000</v>
      </c>
      <c r="L185" s="256" t="s">
        <v>173</v>
      </c>
      <c r="M185" s="256" t="s">
        <v>14</v>
      </c>
    </row>
    <row r="186" spans="1:13">
      <c r="A186" s="251" t="s">
        <v>2465</v>
      </c>
      <c r="B186" s="251" t="s">
        <v>10174</v>
      </c>
      <c r="C186" s="251" t="s">
        <v>2467</v>
      </c>
      <c r="D186" s="252" t="s">
        <v>10158</v>
      </c>
      <c r="E186" s="252" t="s">
        <v>2469</v>
      </c>
      <c r="F186" s="252" t="s">
        <v>1098</v>
      </c>
      <c r="G186" s="253" t="s">
        <v>72</v>
      </c>
      <c r="H186" s="253" t="s">
        <v>26</v>
      </c>
      <c r="I186" s="253" t="s">
        <v>15</v>
      </c>
      <c r="J186" s="254" t="s">
        <v>2490</v>
      </c>
      <c r="K186" s="255">
        <v>155000000</v>
      </c>
      <c r="L186" s="256" t="s">
        <v>173</v>
      </c>
      <c r="M186" s="256" t="s">
        <v>14</v>
      </c>
    </row>
    <row r="187" spans="1:13">
      <c r="A187" s="251" t="s">
        <v>2465</v>
      </c>
      <c r="B187" s="251" t="s">
        <v>10174</v>
      </c>
      <c r="C187" s="251" t="s">
        <v>2467</v>
      </c>
      <c r="D187" s="252" t="s">
        <v>10158</v>
      </c>
      <c r="E187" s="252" t="s">
        <v>2469</v>
      </c>
      <c r="F187" s="252" t="s">
        <v>1098</v>
      </c>
      <c r="G187" s="253" t="s">
        <v>72</v>
      </c>
      <c r="H187" s="253" t="s">
        <v>42</v>
      </c>
      <c r="I187" s="253" t="s">
        <v>15</v>
      </c>
      <c r="J187" s="254" t="s">
        <v>2490</v>
      </c>
      <c r="K187" s="255">
        <v>155000000</v>
      </c>
      <c r="L187" s="256" t="s">
        <v>173</v>
      </c>
      <c r="M187" s="256" t="s">
        <v>14</v>
      </c>
    </row>
    <row r="188" spans="1:13">
      <c r="A188" s="251" t="s">
        <v>2465</v>
      </c>
      <c r="B188" s="251" t="s">
        <v>10175</v>
      </c>
      <c r="C188" s="251" t="s">
        <v>2467</v>
      </c>
      <c r="D188" s="252" t="s">
        <v>10160</v>
      </c>
      <c r="E188" s="252" t="s">
        <v>2469</v>
      </c>
      <c r="F188" s="252" t="s">
        <v>1098</v>
      </c>
      <c r="G188" s="253" t="s">
        <v>70</v>
      </c>
      <c r="H188" s="253" t="s">
        <v>26</v>
      </c>
      <c r="I188" s="253" t="s">
        <v>15</v>
      </c>
      <c r="J188" s="254" t="s">
        <v>2490</v>
      </c>
      <c r="K188" s="255">
        <v>130000000</v>
      </c>
      <c r="L188" s="256" t="s">
        <v>173</v>
      </c>
      <c r="M188" s="256" t="s">
        <v>14</v>
      </c>
    </row>
    <row r="189" spans="1:13">
      <c r="A189" s="251" t="s">
        <v>2465</v>
      </c>
      <c r="B189" s="251" t="s">
        <v>10175</v>
      </c>
      <c r="C189" s="251" t="s">
        <v>2467</v>
      </c>
      <c r="D189" s="252" t="s">
        <v>10160</v>
      </c>
      <c r="E189" s="252" t="s">
        <v>2469</v>
      </c>
      <c r="F189" s="252" t="s">
        <v>1098</v>
      </c>
      <c r="G189" s="253" t="s">
        <v>70</v>
      </c>
      <c r="H189" s="253" t="s">
        <v>42</v>
      </c>
      <c r="I189" s="253" t="s">
        <v>15</v>
      </c>
      <c r="J189" s="254" t="s">
        <v>2490</v>
      </c>
      <c r="K189" s="255">
        <v>130000000</v>
      </c>
      <c r="L189" s="256" t="s">
        <v>173</v>
      </c>
      <c r="M189" s="256" t="s">
        <v>14</v>
      </c>
    </row>
    <row r="190" spans="1:13">
      <c r="A190" s="251" t="s">
        <v>2465</v>
      </c>
      <c r="B190" s="251" t="s">
        <v>10175</v>
      </c>
      <c r="C190" s="251" t="s">
        <v>2467</v>
      </c>
      <c r="D190" s="252" t="s">
        <v>10160</v>
      </c>
      <c r="E190" s="252" t="s">
        <v>2469</v>
      </c>
      <c r="F190" s="252" t="s">
        <v>1098</v>
      </c>
      <c r="G190" s="253" t="s">
        <v>74</v>
      </c>
      <c r="H190" s="253" t="s">
        <v>26</v>
      </c>
      <c r="I190" s="253" t="s">
        <v>15</v>
      </c>
      <c r="J190" s="254" t="s">
        <v>2490</v>
      </c>
      <c r="K190" s="255">
        <v>130000000</v>
      </c>
      <c r="L190" s="256" t="s">
        <v>173</v>
      </c>
      <c r="M190" s="256" t="s">
        <v>14</v>
      </c>
    </row>
    <row r="191" spans="1:13">
      <c r="A191" s="251" t="s">
        <v>2465</v>
      </c>
      <c r="B191" s="251" t="s">
        <v>10175</v>
      </c>
      <c r="C191" s="251" t="s">
        <v>2467</v>
      </c>
      <c r="D191" s="252" t="s">
        <v>10160</v>
      </c>
      <c r="E191" s="252" t="s">
        <v>2469</v>
      </c>
      <c r="F191" s="252" t="s">
        <v>1098</v>
      </c>
      <c r="G191" s="253" t="s">
        <v>74</v>
      </c>
      <c r="H191" s="253" t="s">
        <v>42</v>
      </c>
      <c r="I191" s="253" t="s">
        <v>15</v>
      </c>
      <c r="J191" s="254" t="s">
        <v>2490</v>
      </c>
      <c r="K191" s="255">
        <v>130000000</v>
      </c>
      <c r="L191" s="256" t="s">
        <v>173</v>
      </c>
      <c r="M191" s="256" t="s">
        <v>14</v>
      </c>
    </row>
    <row r="192" spans="1:13">
      <c r="A192" s="251" t="s">
        <v>2465</v>
      </c>
      <c r="B192" s="251" t="s">
        <v>10175</v>
      </c>
      <c r="C192" s="251" t="s">
        <v>2467</v>
      </c>
      <c r="D192" s="252" t="s">
        <v>10160</v>
      </c>
      <c r="E192" s="252" t="s">
        <v>2469</v>
      </c>
      <c r="F192" s="252" t="s">
        <v>1098</v>
      </c>
      <c r="G192" s="253" t="s">
        <v>72</v>
      </c>
      <c r="H192" s="253" t="s">
        <v>26</v>
      </c>
      <c r="I192" s="253" t="s">
        <v>15</v>
      </c>
      <c r="J192" s="254" t="s">
        <v>2490</v>
      </c>
      <c r="K192" s="255">
        <v>130000000</v>
      </c>
      <c r="L192" s="256" t="s">
        <v>173</v>
      </c>
      <c r="M192" s="256" t="s">
        <v>14</v>
      </c>
    </row>
    <row r="193" spans="1:13">
      <c r="A193" s="251" t="s">
        <v>2465</v>
      </c>
      <c r="B193" s="251" t="s">
        <v>10175</v>
      </c>
      <c r="C193" s="251" t="s">
        <v>2467</v>
      </c>
      <c r="D193" s="252" t="s">
        <v>10160</v>
      </c>
      <c r="E193" s="252" t="s">
        <v>2469</v>
      </c>
      <c r="F193" s="252" t="s">
        <v>1098</v>
      </c>
      <c r="G193" s="253" t="s">
        <v>72</v>
      </c>
      <c r="H193" s="253" t="s">
        <v>42</v>
      </c>
      <c r="I193" s="253" t="s">
        <v>15</v>
      </c>
      <c r="J193" s="254" t="s">
        <v>2490</v>
      </c>
      <c r="K193" s="255">
        <v>130000000</v>
      </c>
      <c r="L193" s="256" t="s">
        <v>173</v>
      </c>
      <c r="M193" s="256" t="s">
        <v>14</v>
      </c>
    </row>
    <row r="194" spans="1:13">
      <c r="A194" s="251" t="s">
        <v>2465</v>
      </c>
      <c r="B194" s="251" t="s">
        <v>10176</v>
      </c>
      <c r="C194" s="251" t="s">
        <v>2467</v>
      </c>
      <c r="D194" s="252" t="s">
        <v>9191</v>
      </c>
      <c r="E194" s="252" t="s">
        <v>29</v>
      </c>
      <c r="F194" s="252" t="s">
        <v>21</v>
      </c>
      <c r="G194" s="253" t="s">
        <v>9192</v>
      </c>
      <c r="H194" s="253" t="s">
        <v>26</v>
      </c>
      <c r="I194" s="253" t="s">
        <v>167</v>
      </c>
      <c r="J194" s="254" t="s">
        <v>174</v>
      </c>
      <c r="K194" s="255">
        <v>280000</v>
      </c>
      <c r="L194" s="256" t="s">
        <v>2057</v>
      </c>
      <c r="M194" s="256" t="s">
        <v>14</v>
      </c>
    </row>
    <row r="195" spans="1:13">
      <c r="A195" s="251" t="s">
        <v>2465</v>
      </c>
      <c r="B195" s="251" t="s">
        <v>10176</v>
      </c>
      <c r="C195" s="251" t="s">
        <v>2467</v>
      </c>
      <c r="D195" s="252" t="s">
        <v>9191</v>
      </c>
      <c r="E195" s="252" t="s">
        <v>29</v>
      </c>
      <c r="F195" s="252" t="s">
        <v>21</v>
      </c>
      <c r="G195" s="253" t="s">
        <v>9193</v>
      </c>
      <c r="H195" s="253" t="s">
        <v>26</v>
      </c>
      <c r="I195" s="253" t="s">
        <v>167</v>
      </c>
      <c r="J195" s="254" t="s">
        <v>174</v>
      </c>
      <c r="K195" s="255">
        <v>280000</v>
      </c>
      <c r="L195" s="256" t="s">
        <v>2057</v>
      </c>
      <c r="M195" s="256" t="s">
        <v>14</v>
      </c>
    </row>
    <row r="196" spans="1:13">
      <c r="A196" s="251" t="s">
        <v>2465</v>
      </c>
      <c r="B196" s="251" t="s">
        <v>10176</v>
      </c>
      <c r="C196" s="251" t="s">
        <v>2467</v>
      </c>
      <c r="D196" s="252" t="s">
        <v>9191</v>
      </c>
      <c r="E196" s="252" t="s">
        <v>29</v>
      </c>
      <c r="F196" s="252" t="s">
        <v>21</v>
      </c>
      <c r="G196" s="253" t="s">
        <v>9194</v>
      </c>
      <c r="H196" s="253" t="s">
        <v>26</v>
      </c>
      <c r="I196" s="253" t="s">
        <v>167</v>
      </c>
      <c r="J196" s="254" t="s">
        <v>174</v>
      </c>
      <c r="K196" s="255">
        <v>280000</v>
      </c>
      <c r="L196" s="256" t="s">
        <v>2057</v>
      </c>
      <c r="M196" s="256" t="s">
        <v>14</v>
      </c>
    </row>
    <row r="197" spans="1:13">
      <c r="A197" s="251" t="s">
        <v>2465</v>
      </c>
      <c r="B197" s="251" t="s">
        <v>9196</v>
      </c>
      <c r="C197" s="251" t="s">
        <v>2467</v>
      </c>
      <c r="D197" s="252" t="s">
        <v>9195</v>
      </c>
      <c r="E197" s="252" t="s">
        <v>29</v>
      </c>
      <c r="F197" s="252" t="s">
        <v>21</v>
      </c>
      <c r="G197" s="253" t="s">
        <v>9192</v>
      </c>
      <c r="H197" s="253" t="s">
        <v>26</v>
      </c>
      <c r="I197" s="253" t="s">
        <v>167</v>
      </c>
      <c r="J197" s="254" t="s">
        <v>174</v>
      </c>
      <c r="K197" s="255">
        <v>280000</v>
      </c>
      <c r="L197" s="256" t="s">
        <v>2057</v>
      </c>
      <c r="M197" s="256" t="s">
        <v>14</v>
      </c>
    </row>
    <row r="198" spans="1:13">
      <c r="A198" s="251" t="s">
        <v>2465</v>
      </c>
      <c r="B198" s="251" t="s">
        <v>9196</v>
      </c>
      <c r="C198" s="251" t="s">
        <v>2467</v>
      </c>
      <c r="D198" s="252" t="s">
        <v>9195</v>
      </c>
      <c r="E198" s="252" t="s">
        <v>29</v>
      </c>
      <c r="F198" s="252" t="s">
        <v>21</v>
      </c>
      <c r="G198" s="253" t="s">
        <v>9193</v>
      </c>
      <c r="H198" s="253" t="s">
        <v>26</v>
      </c>
      <c r="I198" s="253" t="s">
        <v>167</v>
      </c>
      <c r="J198" s="254" t="s">
        <v>174</v>
      </c>
      <c r="K198" s="255">
        <v>280000</v>
      </c>
      <c r="L198" s="256" t="s">
        <v>2057</v>
      </c>
      <c r="M198" s="256" t="s">
        <v>14</v>
      </c>
    </row>
    <row r="199" spans="1:13">
      <c r="A199" s="251" t="s">
        <v>2465</v>
      </c>
      <c r="B199" s="251" t="s">
        <v>9196</v>
      </c>
      <c r="C199" s="251" t="s">
        <v>2467</v>
      </c>
      <c r="D199" s="252" t="s">
        <v>9195</v>
      </c>
      <c r="E199" s="252" t="s">
        <v>29</v>
      </c>
      <c r="F199" s="252" t="s">
        <v>21</v>
      </c>
      <c r="G199" s="253" t="s">
        <v>9194</v>
      </c>
      <c r="H199" s="253" t="s">
        <v>26</v>
      </c>
      <c r="I199" s="253" t="s">
        <v>167</v>
      </c>
      <c r="J199" s="254" t="s">
        <v>174</v>
      </c>
      <c r="K199" s="255">
        <v>280000</v>
      </c>
      <c r="L199" s="256" t="s">
        <v>2057</v>
      </c>
      <c r="M199" s="256" t="s">
        <v>14</v>
      </c>
    </row>
    <row r="200" spans="1:13">
      <c r="A200" s="251" t="s">
        <v>2465</v>
      </c>
      <c r="B200" s="251" t="s">
        <v>10177</v>
      </c>
      <c r="C200" s="251" t="s">
        <v>2467</v>
      </c>
      <c r="D200" s="252" t="s">
        <v>9197</v>
      </c>
      <c r="E200" s="252" t="s">
        <v>29</v>
      </c>
      <c r="F200" s="252" t="s">
        <v>21</v>
      </c>
      <c r="G200" s="253" t="s">
        <v>9192</v>
      </c>
      <c r="H200" s="253" t="s">
        <v>26</v>
      </c>
      <c r="I200" s="253" t="s">
        <v>167</v>
      </c>
      <c r="J200" s="254" t="s">
        <v>174</v>
      </c>
      <c r="K200" s="255">
        <v>280000</v>
      </c>
      <c r="L200" s="256" t="s">
        <v>2057</v>
      </c>
      <c r="M200" s="256" t="s">
        <v>14</v>
      </c>
    </row>
    <row r="201" spans="1:13">
      <c r="A201" s="251" t="s">
        <v>2465</v>
      </c>
      <c r="B201" s="251" t="s">
        <v>10177</v>
      </c>
      <c r="C201" s="251" t="s">
        <v>2467</v>
      </c>
      <c r="D201" s="252" t="s">
        <v>9197</v>
      </c>
      <c r="E201" s="252" t="s">
        <v>29</v>
      </c>
      <c r="F201" s="252" t="s">
        <v>21</v>
      </c>
      <c r="G201" s="253" t="s">
        <v>9193</v>
      </c>
      <c r="H201" s="253" t="s">
        <v>26</v>
      </c>
      <c r="I201" s="253" t="s">
        <v>167</v>
      </c>
      <c r="J201" s="254" t="s">
        <v>174</v>
      </c>
      <c r="K201" s="255">
        <v>280000</v>
      </c>
      <c r="L201" s="256" t="s">
        <v>2057</v>
      </c>
      <c r="M201" s="256" t="s">
        <v>14</v>
      </c>
    </row>
    <row r="202" spans="1:13">
      <c r="A202" s="251" t="s">
        <v>2465</v>
      </c>
      <c r="B202" s="251" t="s">
        <v>10177</v>
      </c>
      <c r="C202" s="251" t="s">
        <v>2467</v>
      </c>
      <c r="D202" s="252" t="s">
        <v>9197</v>
      </c>
      <c r="E202" s="252" t="s">
        <v>29</v>
      </c>
      <c r="F202" s="252" t="s">
        <v>21</v>
      </c>
      <c r="G202" s="253" t="s">
        <v>9194</v>
      </c>
      <c r="H202" s="253" t="s">
        <v>26</v>
      </c>
      <c r="I202" s="253" t="s">
        <v>167</v>
      </c>
      <c r="J202" s="254" t="s">
        <v>174</v>
      </c>
      <c r="K202" s="255">
        <v>280000</v>
      </c>
      <c r="L202" s="256" t="s">
        <v>2057</v>
      </c>
      <c r="M202" s="256" t="s">
        <v>14</v>
      </c>
    </row>
  </sheetData>
  <autoFilter ref="A1:M37"/>
  <conditionalFormatting sqref="B1 B47:B1048576">
    <cfRule type="duplicateValues" dxfId="44" priority="2"/>
    <cfRule type="duplicateValues" dxfId="43" priority="3"/>
    <cfRule type="duplicateValues" dxfId="42" priority="4"/>
    <cfRule type="duplicateValues" dxfId="41" priority="5"/>
  </conditionalFormatting>
  <conditionalFormatting sqref="B2:B46">
    <cfRule type="duplicateValues" dxfId="40" priority="1"/>
  </conditionalFormatting>
  <dataValidations count="2">
    <dataValidation type="list" allowBlank="1" showInputMessage="1" showErrorMessage="1" sqref="L2:L202">
      <formula1>"Sí,No"</formula1>
    </dataValidation>
    <dataValidation type="list" allowBlank="1" showInputMessage="1" showErrorMessage="1" sqref="M2:M202">
      <formula1>"COP,USD"</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F6AAD643DE7A7459019B957E0E986B5" ma:contentTypeVersion="19" ma:contentTypeDescription="Crear nuevo documento." ma:contentTypeScope="" ma:versionID="74cab85d2b9ca4db93d536bd906bf749">
  <xsd:schema xmlns:xsd="http://www.w3.org/2001/XMLSchema" xmlns:xs="http://www.w3.org/2001/XMLSchema" xmlns:p="http://schemas.microsoft.com/office/2006/metadata/properties" xmlns:ns1="http://schemas.microsoft.com/sharepoint/v3" xmlns:ns2="100d7df5-0e9a-4fca-984e-da1804d5950e" xmlns:ns3="697c4dee-e7ec-4d95-9444-4931b2058c5c" targetNamespace="http://schemas.microsoft.com/office/2006/metadata/properties" ma:root="true" ma:fieldsID="48f6cca43445d5177c55b63aad04cab2" ns1:_="" ns2:_="" ns3:_="">
    <xsd:import namespace="http://schemas.microsoft.com/sharepoint/v3"/>
    <xsd:import namespace="100d7df5-0e9a-4fca-984e-da1804d5950e"/>
    <xsd:import namespace="697c4dee-e7ec-4d95-9444-4931b2058c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0d7df5-0e9a-4fca-984e-da1804d595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97c4dee-e7ec-4d95-9444-4931b2058c5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b380140-b850-473f-b20f-3b0340aabce8}" ma:internalName="TaxCatchAll" ma:showField="CatchAllData" ma:web="697c4dee-e7ec-4d95-9444-4931b2058c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697c4dee-e7ec-4d95-9444-4931b2058c5c" xsi:nil="true"/>
    <lcf76f155ced4ddcb4097134ff3c332f xmlns="100d7df5-0e9a-4fca-984e-da1804d5950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D4F401-32E3-48A1-A938-F48EBEDDA5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0d7df5-0e9a-4fca-984e-da1804d5950e"/>
    <ds:schemaRef ds:uri="697c4dee-e7ec-4d95-9444-4931b2058c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3617C3-813F-4CE6-AA69-599EF07F7ECE}">
  <ds:schemaRefs>
    <ds:schemaRef ds:uri="http://schemas.openxmlformats.org/package/2006/metadata/core-properties"/>
    <ds:schemaRef ds:uri="http://purl.org/dc/terms/"/>
    <ds:schemaRef ds:uri="http://purl.org/dc/dcmitype/"/>
    <ds:schemaRef ds:uri="697c4dee-e7ec-4d95-9444-4931b2058c5c"/>
    <ds:schemaRef ds:uri="100d7df5-0e9a-4fca-984e-da1804d5950e"/>
    <ds:schemaRef ds:uri="http://www.w3.org/XML/1998/namespace"/>
    <ds:schemaRef ds:uri="http://schemas.microsoft.com/office/2006/documentManagement/types"/>
    <ds:schemaRef ds:uri="http://purl.org/dc/elements/1.1/"/>
    <ds:schemaRef ds:uri="http://schemas.microsoft.com/office/infopath/2007/PartnerControl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CE11124B-7A66-4326-8F36-6184D1B707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4</vt:i4>
      </vt:variant>
    </vt:vector>
  </HeadingPairs>
  <TitlesOfParts>
    <vt:vector size="30" baseType="lpstr">
      <vt:lpstr>Servinformación</vt:lpstr>
      <vt:lpstr>Integrasoft</vt:lpstr>
      <vt:lpstr>Analitica</vt:lpstr>
      <vt:lpstr>Heinsohn HGS</vt:lpstr>
      <vt:lpstr>Tecnoprocesos-cie</vt:lpstr>
      <vt:lpstr>Nexura</vt:lpstr>
      <vt:lpstr>Xertica Colombia SAS</vt:lpstr>
      <vt:lpstr>SYSMAN SAS</vt:lpstr>
      <vt:lpstr>SOAINT</vt:lpstr>
      <vt:lpstr>Softmanagement</vt:lpstr>
      <vt:lpstr>GRUPOINVESCO</vt:lpstr>
      <vt:lpstr>Macro Proyectos SAS</vt:lpstr>
      <vt:lpstr>Digital Ware</vt:lpstr>
      <vt:lpstr>Creangel</vt:lpstr>
      <vt:lpstr>Novasoft</vt:lpstr>
      <vt:lpstr>Pensemos</vt:lpstr>
      <vt:lpstr>SAP Colombia</vt:lpstr>
      <vt:lpstr>Control Online International  </vt:lpstr>
      <vt:lpstr>High Tech Software</vt:lpstr>
      <vt:lpstr>Global Technology Services</vt:lpstr>
      <vt:lpstr>SG-Skannia</vt:lpstr>
      <vt:lpstr>Alfapeople</vt:lpstr>
      <vt:lpstr>UT SOFTWARE EPX CCE</vt:lpstr>
      <vt:lpstr>ADA</vt:lpstr>
      <vt:lpstr>BEXTA</vt:lpstr>
      <vt:lpstr>RICOH</vt:lpstr>
      <vt:lpstr>Alfapeople!Área_de_impresión</vt:lpstr>
      <vt:lpstr>'SG-Skannia'!Área_de_impresión</vt:lpstr>
      <vt:lpstr>'SYSMAN SAS'!Área_de_impresión</vt:lpstr>
      <vt:lpstr>'Tecnoprocesos-cie'!Área_de_impresión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dc:creator>
  <cp:lastModifiedBy>HP</cp:lastModifiedBy>
  <dcterms:created xsi:type="dcterms:W3CDTF">2020-05-23T01:37:42Z</dcterms:created>
  <dcterms:modified xsi:type="dcterms:W3CDTF">2024-03-22T14:24:40Z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0x0101002F6AAD643DE7A7459019B957E0E986B5</vt:lpwstr>
  </property>
  <property fmtid="{D5CDD505-2E9C-101B-9397-08002B2CF9AE}" pid="3" name="MediaServiceImageTags">
    <vt:lpwstr/>
  </property>
</Properties>
</file>